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415D5EA3-71DE-4DC9-AE01-1902D6086831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Synthèse" sheetId="1" r:id="rId1"/>
    <sheet name="Bilan – Actif" sheetId="2" r:id="rId2"/>
    <sheet name="Bilan – Passif" sheetId="3" r:id="rId3"/>
    <sheet name="Mode d'emploi" sheetId="4" r:id="rId4"/>
  </sheets>
  <definedNames>
    <definedName name="_xlnm.Print_Area" localSheetId="0">Synthèse!$A$1:$N$40</definedName>
    <definedName name="_xlnm.Print_Titles" localSheetId="1">'Bilan – Actif'!$1:$7</definedName>
    <definedName name="_xlnm.Print_Titles" localSheetId="2">'Bilan – Passif'!$1:$7</definedName>
    <definedName name="Liste_FormeJuridique">Synthèse!$P$40:$P$49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3" i="3" l="1"/>
  <c r="E23" i="3"/>
  <c r="D23" i="3"/>
  <c r="C23" i="3"/>
  <c r="R47" i="1" s="1"/>
  <c r="F22" i="3"/>
  <c r="E22" i="3"/>
  <c r="F21" i="3"/>
  <c r="E21" i="3"/>
  <c r="F20" i="3"/>
  <c r="E20" i="3"/>
  <c r="F19" i="3"/>
  <c r="E19" i="3"/>
  <c r="F18" i="3"/>
  <c r="E18" i="3"/>
  <c r="F16" i="3"/>
  <c r="E16" i="3"/>
  <c r="D14" i="3"/>
  <c r="D25" i="3" s="1"/>
  <c r="C14" i="3"/>
  <c r="H17" i="1" s="1"/>
  <c r="J17" i="1" s="1"/>
  <c r="F13" i="3"/>
  <c r="E13" i="3"/>
  <c r="F12" i="3"/>
  <c r="E12" i="3"/>
  <c r="F11" i="3"/>
  <c r="E11" i="3"/>
  <c r="F10" i="3"/>
  <c r="E10" i="3"/>
  <c r="F9" i="3"/>
  <c r="E9" i="3"/>
  <c r="D27" i="2"/>
  <c r="C27" i="2"/>
  <c r="F25" i="2"/>
  <c r="D18" i="1" s="1"/>
  <c r="D25" i="2"/>
  <c r="C25" i="2"/>
  <c r="E24" i="2"/>
  <c r="G24" i="2" s="1"/>
  <c r="E23" i="2"/>
  <c r="H22" i="2"/>
  <c r="G22" i="2"/>
  <c r="E22" i="2"/>
  <c r="E21" i="2"/>
  <c r="H21" i="2" s="1"/>
  <c r="E20" i="2"/>
  <c r="R42" i="1" s="1"/>
  <c r="E19" i="2"/>
  <c r="R41" i="1" s="1"/>
  <c r="E18" i="2"/>
  <c r="H18" i="2" s="1"/>
  <c r="F16" i="2"/>
  <c r="V41" i="1" s="1"/>
  <c r="D16" i="2"/>
  <c r="C16" i="2"/>
  <c r="H15" i="2"/>
  <c r="E15" i="2"/>
  <c r="G15" i="2" s="1"/>
  <c r="E14" i="2"/>
  <c r="H14" i="2" s="1"/>
  <c r="E13" i="2"/>
  <c r="G13" i="2" s="1"/>
  <c r="H12" i="2"/>
  <c r="G12" i="2"/>
  <c r="E12" i="2"/>
  <c r="E11" i="2"/>
  <c r="H11" i="2" s="1"/>
  <c r="E10" i="2"/>
  <c r="H10" i="2" s="1"/>
  <c r="E9" i="2"/>
  <c r="E16" i="2" s="1"/>
  <c r="R46" i="1"/>
  <c r="V44" i="1"/>
  <c r="U44" i="1"/>
  <c r="V43" i="1"/>
  <c r="U43" i="1"/>
  <c r="R43" i="1"/>
  <c r="D24" i="1"/>
  <c r="C24" i="1"/>
  <c r="D23" i="1"/>
  <c r="C23" i="1"/>
  <c r="D22" i="1"/>
  <c r="C22" i="1"/>
  <c r="D21" i="1"/>
  <c r="D20" i="1"/>
  <c r="D19" i="1"/>
  <c r="I18" i="1"/>
  <c r="D17" i="1"/>
  <c r="K12" i="1"/>
  <c r="H12" i="1"/>
  <c r="H10" i="1"/>
  <c r="G16" i="2" l="1"/>
  <c r="R40" i="1"/>
  <c r="C17" i="1"/>
  <c r="H16" i="2"/>
  <c r="U41" i="1"/>
  <c r="H13" i="2"/>
  <c r="G20" i="2"/>
  <c r="C19" i="1"/>
  <c r="H20" i="2"/>
  <c r="E10" i="1"/>
  <c r="H22" i="1"/>
  <c r="J22" i="1" s="1"/>
  <c r="G14" i="2"/>
  <c r="I22" i="1"/>
  <c r="R45" i="1"/>
  <c r="G21" i="2"/>
  <c r="F27" i="2"/>
  <c r="E14" i="3"/>
  <c r="K10" i="1"/>
  <c r="H19" i="1"/>
  <c r="J19" i="1" s="1"/>
  <c r="F14" i="3"/>
  <c r="I19" i="1"/>
  <c r="G9" i="2"/>
  <c r="H23" i="2"/>
  <c r="C21" i="1"/>
  <c r="G11" i="2"/>
  <c r="H24" i="2"/>
  <c r="E25" i="2"/>
  <c r="E27" i="2" s="1"/>
  <c r="I21" i="1"/>
  <c r="V42" i="1"/>
  <c r="G19" i="2"/>
  <c r="H18" i="1"/>
  <c r="J18" i="1" s="1"/>
  <c r="H19" i="2"/>
  <c r="H9" i="2"/>
  <c r="G23" i="2"/>
  <c r="H20" i="1"/>
  <c r="J20" i="1" s="1"/>
  <c r="G10" i="2"/>
  <c r="I20" i="1"/>
  <c r="I17" i="1"/>
  <c r="G18" i="2"/>
  <c r="C20" i="1"/>
  <c r="C25" i="3"/>
  <c r="E7" i="1" l="1"/>
  <c r="C27" i="3"/>
  <c r="E27" i="3" s="1"/>
  <c r="H27" i="2"/>
  <c r="G27" i="2"/>
  <c r="B10" i="1"/>
  <c r="K7" i="1"/>
  <c r="E21" i="1"/>
  <c r="E17" i="1"/>
  <c r="E19" i="1"/>
  <c r="E20" i="1"/>
  <c r="G18" i="3"/>
  <c r="G10" i="3"/>
  <c r="E24" i="1"/>
  <c r="G23" i="3"/>
  <c r="G12" i="3"/>
  <c r="G19" i="3"/>
  <c r="G11" i="3"/>
  <c r="F25" i="3"/>
  <c r="E25" i="3"/>
  <c r="G9" i="3"/>
  <c r="E12" i="1"/>
  <c r="G20" i="3"/>
  <c r="G16" i="3"/>
  <c r="E23" i="1"/>
  <c r="G22" i="3"/>
  <c r="E22" i="1"/>
  <c r="G21" i="3"/>
  <c r="G13" i="3"/>
  <c r="D27" i="3"/>
  <c r="B12" i="1"/>
  <c r="C18" i="1"/>
  <c r="H25" i="2"/>
  <c r="E18" i="1"/>
  <c r="U42" i="1"/>
  <c r="G25" i="2"/>
  <c r="H21" i="1"/>
  <c r="J21" i="1" s="1"/>
  <c r="G14" i="3"/>
</calcChain>
</file>

<file path=xl/sharedStrings.xml><?xml version="1.0" encoding="utf-8"?>
<sst xmlns="http://schemas.openxmlformats.org/spreadsheetml/2006/main" count="171" uniqueCount="143">
  <si>
    <t xml:space="preserve">   BILAN COMPTABLE · EXERCICE 2027</t>
  </si>
  <si>
    <t xml:space="preserve">[ RAISON SOCIALE ]   </t>
  </si>
  <si>
    <t xml:space="preserve">   Synthèse &amp; indicateurs</t>
  </si>
  <si>
    <t xml:space="preserve">EXERCICE CLOS LE 31/12/2027   </t>
  </si>
  <si>
    <t>Raison sociale</t>
  </si>
  <si>
    <t>[ Votre société ]</t>
  </si>
  <si>
    <t>Forme juridique</t>
  </si>
  <si>
    <t>SAS</t>
  </si>
  <si>
    <t>SIREN</t>
  </si>
  <si>
    <t>000 000 000</t>
  </si>
  <si>
    <t>Clôture</t>
  </si>
  <si>
    <t>31/12/2027</t>
  </si>
  <si>
    <t>ÉQUILIBRE DU BILAN</t>
  </si>
  <si>
    <t>TOTAL DU BILAN</t>
  </si>
  <si>
    <t>CAPITAUX PROPRES</t>
  </si>
  <si>
    <t>DETTES TOTALES</t>
  </si>
  <si>
    <t>TRÉSORERIE NETTE</t>
  </si>
  <si>
    <t>BILAN EN GRANDES MASSES</t>
  </si>
  <si>
    <t>INDICATEURS FINANCIERS</t>
  </si>
  <si>
    <t>Poste</t>
  </si>
  <si>
    <t>2027</t>
  </si>
  <si>
    <t>2026</t>
  </si>
  <si>
    <t>Poids</t>
  </si>
  <si>
    <t>Indicateur</t>
  </si>
  <si>
    <t>Appréciation</t>
  </si>
  <si>
    <t>Actif immobilisé</t>
  </si>
  <si>
    <t>Fonds de roulement (FR)</t>
  </si>
  <si>
    <t>Actif circulant</t>
  </si>
  <si>
    <t>Besoin en fonds de roulement</t>
  </si>
  <si>
    <t>— Stocks</t>
  </si>
  <si>
    <t>Trésorerie nette (FR − BFR)</t>
  </si>
  <si>
    <t>— Créances</t>
  </si>
  <si>
    <t>Autonomie financière</t>
  </si>
  <si>
    <t>— Trésorerie</t>
  </si>
  <si>
    <t>Liquidité générale</t>
  </si>
  <si>
    <t>Capitaux propres</t>
  </si>
  <si>
    <t>Taux d'endettement</t>
  </si>
  <si>
    <t>Provisions</t>
  </si>
  <si>
    <t>Dettes</t>
  </si>
  <si>
    <t>SA</t>
  </si>
  <si>
    <t>Immobilisé</t>
  </si>
  <si>
    <t>Stocks</t>
  </si>
  <si>
    <t>SASU</t>
  </si>
  <si>
    <t>Créances</t>
  </si>
  <si>
    <t>SARL</t>
  </si>
  <si>
    <t>Trésorerie</t>
  </si>
  <si>
    <t>EURL</t>
  </si>
  <si>
    <t>SNC</t>
  </si>
  <si>
    <t>SCI</t>
  </si>
  <si>
    <t>EI</t>
  </si>
  <si>
    <t>Association</t>
  </si>
  <si>
    <t>Autre</t>
  </si>
  <si>
    <t xml:space="preserve">   EMPLOIS · CE QUE L'ENTREPRISE POSSÈDE</t>
  </si>
  <si>
    <t xml:space="preserve">   Bilan — Actif</t>
  </si>
  <si>
    <t>Saisissez le Brut et les Amortissements/Dépréciations : la valeur Nette se calcule automatiquement. Colonnes sur fond crème = à compléter.</t>
  </si>
  <si>
    <t>Poste d'actif</t>
  </si>
  <si>
    <t>Brut 2027</t>
  </si>
  <si>
    <t>Amort. &amp; dépréc. 2027</t>
  </si>
  <si>
    <t>Net 2027</t>
  </si>
  <si>
    <t>Net 2026</t>
  </si>
  <si>
    <t>Var. €</t>
  </si>
  <si>
    <t>Var. %</t>
  </si>
  <si>
    <t>ACTIF IMMOBILISÉ</t>
  </si>
  <si>
    <t>Immobilisations incorporelles</t>
  </si>
  <si>
    <t>Terrains</t>
  </si>
  <si>
    <t>Constructions</t>
  </si>
  <si>
    <t>Installations techniques &amp; matériel</t>
  </si>
  <si>
    <t>Matériel de transport</t>
  </si>
  <si>
    <t>Matériel de bureau &amp; informatique</t>
  </si>
  <si>
    <t>Immobilisations financières</t>
  </si>
  <si>
    <t>Total de l'actif immobilisé</t>
  </si>
  <si>
    <t>ACTIF CIRCULANT</t>
  </si>
  <si>
    <t>Stocks de matières premières &amp; marchandises</t>
  </si>
  <si>
    <t>Stocks de produits finis &amp; en-cours</t>
  </si>
  <si>
    <t>Créances clients &amp; comptes rattachés</t>
  </si>
  <si>
    <t>Autres créances (TVA, État, divers)</t>
  </si>
  <si>
    <t>Valeurs mobilières de placement</t>
  </si>
  <si>
    <t>Disponibilités (banque &amp; caisse)</t>
  </si>
  <si>
    <t>Charges constatées d'avance</t>
  </si>
  <si>
    <t>Total de l'actif circulant</t>
  </si>
  <si>
    <t>TOTAL DE L'ACTIF</t>
  </si>
  <si>
    <t xml:space="preserve">   RESSOURCES · CE QUE L'ENTREPRISE DOIT</t>
  </si>
  <si>
    <t xml:space="preserve">   Bilan — Passif</t>
  </si>
  <si>
    <t>Saisissez les montants 2027 et 2026 (colonnes sur fond crème). Le passif doit être égal à l'actif : le contrôle d'équilibre figure en bas de tableau.</t>
  </si>
  <si>
    <t>Poste de passif</t>
  </si>
  <si>
    <t>Poids 2027</t>
  </si>
  <si>
    <t>Capital social</t>
  </si>
  <si>
    <t>Réserves (légale &amp; autres)</t>
  </si>
  <si>
    <t>Report à nouveau</t>
  </si>
  <si>
    <t>Résultat de l'exercice</t>
  </si>
  <si>
    <t>Subventions d'investissement</t>
  </si>
  <si>
    <t>Total des capitaux propres</t>
  </si>
  <si>
    <t>PROVISIONS</t>
  </si>
  <si>
    <t>Provisions pour risques &amp; charges</t>
  </si>
  <si>
    <t>DETTES</t>
  </si>
  <si>
    <t>Emprunts auprès des établissements de crédit</t>
  </si>
  <si>
    <t>Dettes fournisseurs &amp; comptes rattachés</t>
  </si>
  <si>
    <t>Dettes fiscales &amp; sociales</t>
  </si>
  <si>
    <t>Autres dettes</t>
  </si>
  <si>
    <t>Produits constatés d'avance</t>
  </si>
  <si>
    <t>Total des dettes</t>
  </si>
  <si>
    <t>TOTAL DU PASSIF</t>
  </si>
  <si>
    <t>Contrôle d'équilibre  ·  Actif − Passif</t>
  </si>
  <si>
    <t xml:space="preserve">   GUIDE D'UTILISATION</t>
  </si>
  <si>
    <t xml:space="preserve">   Mode d'emploi</t>
  </si>
  <si>
    <t>Ce classeur met en forme un bilan comptable (actif / passif) selon la logique du Plan Comptable Général. Données fictives à remplacer.</t>
  </si>
  <si>
    <t>À QUOI SERT CHAQUE FEUILLE</t>
  </si>
  <si>
    <t>Synthèse</t>
  </si>
  <si>
    <t>Vue d'ensemble : équilibre du bilan, grandes masses, ratios et graphiques. Rien à saisir, tout se calcule.</t>
  </si>
  <si>
    <t>Bilan – Actif</t>
  </si>
  <si>
    <t>Ce que l'entreprise possède. Vous saisissez le Brut et les amortissements ; la valeur Nette se calcule.</t>
  </si>
  <si>
    <t>Bilan – Passif</t>
  </si>
  <si>
    <t>Ce que l'entreprise doit et ses capitaux propres. Contrôle d'équilibre automatique en bas de tableau.</t>
  </si>
  <si>
    <t>Mode d'emploi</t>
  </si>
  <si>
    <t>Ce guide.</t>
  </si>
  <si>
    <t>PRINCIPE : L'ACTIF EST TOUJOURS ÉGAL AU PASSIF</t>
  </si>
  <si>
    <t>Actif = emplois</t>
  </si>
  <si>
    <t>Ce que l'entreprise possède et l'usage fait des ressources (immobilisations, stocks, créances, trésorerie).</t>
  </si>
  <si>
    <t>Passif = ressources</t>
  </si>
  <si>
    <t>L'origine des financements (capitaux propres, provisions, dettes).</t>
  </si>
  <si>
    <t>Équilibre</t>
  </si>
  <si>
    <t>Total de l'actif = Total du passif. Le contrôle passe au rouge en cas d'écart.</t>
  </si>
  <si>
    <t>LES RATIOS EN UN COUP D'ŒIL</t>
  </si>
  <si>
    <t>Ressources stables − actif immobilisé. Positif = les emplois durables sont financés.</t>
  </si>
  <si>
    <t>Stocks + créances − dettes d'exploitation. C'est le besoin de financement du cycle.</t>
  </si>
  <si>
    <t>Trésorerie nette</t>
  </si>
  <si>
    <t>FR − BFR. Doit rester positive pour faire face aux échéances.</t>
  </si>
  <si>
    <t>Capitaux propres / total du passif. Plus le ratio est élevé, plus l'entreprise est indépendante.</t>
  </si>
  <si>
    <t>Actif circulant / dettes à court terme. Supérieur à 1 = les dettes courtes sont couvertes.</t>
  </si>
  <si>
    <t>Dettes financières / capitaux propres. Plus il est bas, plus la structure est saine.</t>
  </si>
  <si>
    <t>REPÈRES DE SAISIE</t>
  </si>
  <si>
    <t>Cellules sur fond crème</t>
  </si>
  <si>
    <t>Les seules cellules à compléter : montants, identification, année précédente.</t>
  </si>
  <si>
    <t>Valeur nette</t>
  </si>
  <si>
    <t>Calculée automatiquement (Brut − Amortissements). Ne pas la saisir.</t>
  </si>
  <si>
    <t>Montants</t>
  </si>
  <si>
    <t>En euros (€), séparateur décimal virgule, sans décimales pour les postes de bilan.</t>
  </si>
  <si>
    <t>Dates</t>
  </si>
  <si>
    <t>Format JJ/MM/AAAA.</t>
  </si>
  <si>
    <t>Exercice</t>
  </si>
  <si>
    <t>Données d'exemple portant sur l'exercice 2027 (comparé à 2026).</t>
  </si>
  <si>
    <t>Appréciations</t>
  </si>
  <si>
    <t>Favorable / À surveiller / Vigilance : lecture rapide des ratios.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</si>
</sst>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"/>
    <numFmt numFmtId="165" formatCode="0.0%"/>
    <numFmt numFmtId="166" formatCode="\+#,##0&quot; €&quot;;\-#,##0&quot; €&quot;;0&quot; €&quot;"/>
    <numFmt numFmtId="167" formatCode="\+0.0%;\-0.0%;0.0%"/>
  </numFmts>
  <fonts count="23" x14ac:knownFonts="1">
    <font>
      <sz val="11"/>
      <color theme="1"/>
      <name val="Calibri"/>
      <family val="2"/>
      <charset val="1"/>
    </font>
    <font>
      <b/>
      <sz val="9"/>
      <color rgb="FFE7DCC0"/>
      <name val="Calibri"/>
      <charset val="1"/>
    </font>
    <font>
      <b/>
      <sz val="8"/>
      <color rgb="FFAEB9AF"/>
      <name val="Calibri"/>
      <charset val="1"/>
    </font>
    <font>
      <sz val="21"/>
      <color rgb="FFFFFFFF"/>
      <name val="Calibri Light"/>
      <charset val="1"/>
    </font>
    <font>
      <b/>
      <sz val="8.5"/>
      <color rgb="FFAEB9AF"/>
      <name val="Calibri"/>
      <charset val="1"/>
    </font>
    <font>
      <b/>
      <sz val="8"/>
      <color rgb="FF8A938C"/>
      <name val="Calibri"/>
      <charset val="1"/>
    </font>
    <font>
      <b/>
      <sz val="10"/>
      <color rgb="FF1D2621"/>
      <name val="Calibri"/>
      <charset val="1"/>
    </font>
    <font>
      <b/>
      <sz val="9"/>
      <color rgb="FF1C4E3E"/>
      <name val="Calibri"/>
      <charset val="1"/>
    </font>
    <font>
      <b/>
      <sz val="11"/>
      <color rgb="FF2E7D57"/>
      <name val="Calibri"/>
      <charset val="1"/>
    </font>
    <font>
      <b/>
      <sz val="12"/>
      <color rgb="FF2E7D57"/>
      <name val="Calibri"/>
      <charset val="1"/>
    </font>
    <font>
      <b/>
      <sz val="20"/>
      <color rgb="FF1C4E3E"/>
      <name val="Calibri Light"/>
      <charset val="1"/>
    </font>
    <font>
      <b/>
      <sz val="9"/>
      <color rgb="FF5C6E63"/>
      <name val="Calibri"/>
      <charset val="1"/>
    </font>
    <font>
      <b/>
      <sz val="10"/>
      <color rgb="FF1C4E3E"/>
      <name val="Calibri"/>
      <charset val="1"/>
    </font>
    <font>
      <b/>
      <sz val="8"/>
      <color rgb="FF4A7A67"/>
      <name val="Calibri"/>
      <charset val="1"/>
    </font>
    <font>
      <b/>
      <sz val="9"/>
      <color rgb="FF1D2621"/>
      <name val="Calibri"/>
      <charset val="1"/>
    </font>
    <font>
      <sz val="9"/>
      <color rgb="FF5C6E63"/>
      <name val="Calibri"/>
      <charset val="1"/>
    </font>
    <font>
      <sz val="9"/>
      <color rgb="FF1D2621"/>
      <name val="Calibri"/>
      <charset val="1"/>
    </font>
    <font>
      <i/>
      <sz val="9"/>
      <color rgb="FF8A938C"/>
      <name val="Calibri"/>
      <charset val="1"/>
    </font>
    <font>
      <b/>
      <sz val="9"/>
      <color rgb="FFFFFFFF"/>
      <name val="Calibri"/>
      <charset val="1"/>
    </font>
    <font>
      <sz val="10"/>
      <color rgb="FF1D2621"/>
      <name val="Calibri"/>
      <charset val="1"/>
    </font>
    <font>
      <sz val="10"/>
      <color rgb="FF5C6E63"/>
      <name val="Calibri"/>
      <charset val="1"/>
    </font>
    <font>
      <b/>
      <sz val="12"/>
      <color rgb="FFFFFFFF"/>
      <name val="Calibri Light"/>
      <charset val="1"/>
    </font>
    <font>
      <i/>
      <sz val="10"/>
      <color rgb="FF4A7A67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12352A"/>
        <bgColor rgb="FF1D2621"/>
      </patternFill>
    </fill>
    <fill>
      <patternFill patternType="solid">
        <fgColor rgb="FFA9822F"/>
        <bgColor rgb="FF878787"/>
      </patternFill>
    </fill>
    <fill>
      <patternFill patternType="solid">
        <fgColor rgb="FFFBF6E6"/>
        <bgColor rgb="FFF2F4F1"/>
      </patternFill>
    </fill>
    <fill>
      <patternFill patternType="solid">
        <fgColor rgb="FFF2F4F1"/>
        <bgColor rgb="FFFBF6E6"/>
      </patternFill>
    </fill>
    <fill>
      <patternFill patternType="solid">
        <fgColor rgb="FF1C4E3E"/>
        <bgColor rgb="FF12352A"/>
      </patternFill>
    </fill>
    <fill>
      <patternFill patternType="solid">
        <fgColor rgb="FFFAFBF9"/>
        <bgColor rgb="FFFFFFFF"/>
      </patternFill>
    </fill>
  </fills>
  <borders count="9">
    <border>
      <left/>
      <right/>
      <top/>
      <bottom/>
      <diagonal/>
    </border>
    <border>
      <left style="thin">
        <color rgb="FFE8DFC2"/>
      </left>
      <right style="thin">
        <color rgb="FFE8DFC2"/>
      </right>
      <top style="thin">
        <color rgb="FFE8DFC2"/>
      </top>
      <bottom style="thin">
        <color rgb="FFE8DFC2"/>
      </bottom>
      <diagonal/>
    </border>
    <border>
      <left/>
      <right/>
      <top/>
      <bottom style="medium">
        <color rgb="FFA9822F"/>
      </bottom>
      <diagonal/>
    </border>
    <border>
      <left/>
      <right style="thin">
        <color rgb="FFC9CFC7"/>
      </right>
      <top/>
      <bottom/>
      <diagonal/>
    </border>
    <border>
      <left/>
      <right style="thin">
        <color rgb="FFC9CFC7"/>
      </right>
      <top/>
      <bottom style="medium">
        <color rgb="FFA9822F"/>
      </bottom>
      <diagonal/>
    </border>
    <border>
      <left/>
      <right/>
      <top/>
      <bottom style="thin">
        <color rgb="FFC9CFC7"/>
      </bottom>
      <diagonal/>
    </border>
    <border>
      <left/>
      <right/>
      <top/>
      <bottom style="thin">
        <color rgb="FFE1E5DF"/>
      </bottom>
      <diagonal/>
    </border>
    <border>
      <left style="thin">
        <color rgb="FFE8DFC2"/>
      </left>
      <right style="thin">
        <color rgb="FFE8DFC2"/>
      </right>
      <top style="thin">
        <color rgb="FFE8DFC2"/>
      </top>
      <bottom style="thin">
        <color rgb="FFE1E5DF"/>
      </bottom>
      <diagonal/>
    </border>
    <border>
      <left/>
      <right/>
      <top/>
      <bottom style="medium">
        <color rgb="FFC9CFC7"/>
      </bottom>
      <diagonal/>
    </border>
  </borders>
  <cellStyleXfs count="1">
    <xf numFmtId="0" fontId="0" fillId="0" borderId="0"/>
  </cellStyleXfs>
  <cellXfs count="67">
    <xf numFmtId="0" fontId="0" fillId="0" borderId="0" xfId="0"/>
    <xf numFmtId="164" fontId="10" fillId="5" borderId="0" xfId="0" applyNumberFormat="1" applyFont="1" applyFill="1" applyAlignment="1">
      <alignment horizontal="left" vertical="center"/>
    </xf>
    <xf numFmtId="164" fontId="10" fillId="5" borderId="3" xfId="0" applyNumberFormat="1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0" fillId="3" borderId="0" xfId="0" applyFill="1"/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5" fillId="0" borderId="0" xfId="0" applyFont="1"/>
    <xf numFmtId="0" fontId="6" fillId="4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2" xfId="0" applyBorder="1"/>
    <xf numFmtId="0" fontId="12" fillId="0" borderId="5" xfId="0" applyFont="1" applyBorder="1" applyAlignment="1">
      <alignment horizontal="left" vertical="center"/>
    </xf>
    <xf numFmtId="0" fontId="0" fillId="0" borderId="5" xfId="0" applyBorder="1"/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/>
    </xf>
    <xf numFmtId="165" fontId="15" fillId="0" borderId="6" xfId="0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left" vertical="center"/>
    </xf>
    <xf numFmtId="164" fontId="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left" vertical="center"/>
    </xf>
    <xf numFmtId="164" fontId="16" fillId="0" borderId="6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2" fontId="7" fillId="0" borderId="6" xfId="0" applyNumberFormat="1" applyFont="1" applyBorder="1" applyAlignment="1">
      <alignment horizontal="right" vertical="center"/>
    </xf>
    <xf numFmtId="2" fontId="15" fillId="0" borderId="6" xfId="0" applyNumberFormat="1" applyFont="1" applyBorder="1" applyAlignment="1">
      <alignment horizontal="right" vertical="center"/>
    </xf>
    <xf numFmtId="164" fontId="0" fillId="0" borderId="0" xfId="0" applyNumberFormat="1"/>
    <xf numFmtId="0" fontId="18" fillId="6" borderId="2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/>
    </xf>
    <xf numFmtId="164" fontId="19" fillId="4" borderId="7" xfId="0" applyNumberFormat="1" applyFont="1" applyFill="1" applyBorder="1" applyAlignment="1">
      <alignment horizontal="right" vertical="center"/>
    </xf>
    <xf numFmtId="164" fontId="12" fillId="7" borderId="6" xfId="0" applyNumberFormat="1" applyFont="1" applyFill="1" applyBorder="1" applyAlignment="1">
      <alignment horizontal="right" vertical="center"/>
    </xf>
    <xf numFmtId="164" fontId="20" fillId="4" borderId="7" xfId="0" applyNumberFormat="1" applyFont="1" applyFill="1" applyBorder="1" applyAlignment="1">
      <alignment horizontal="right" vertical="center"/>
    </xf>
    <xf numFmtId="166" fontId="16" fillId="0" borderId="6" xfId="0" applyNumberFormat="1" applyFont="1" applyBorder="1" applyAlignment="1">
      <alignment horizontal="right" vertical="center"/>
    </xf>
    <xf numFmtId="167" fontId="16" fillId="0" borderId="6" xfId="0" applyNumberFormat="1" applyFont="1" applyBorder="1" applyAlignment="1">
      <alignment horizontal="right" vertical="center"/>
    </xf>
    <xf numFmtId="0" fontId="12" fillId="5" borderId="8" xfId="0" applyFont="1" applyFill="1" applyBorder="1" applyAlignment="1">
      <alignment horizontal="left" vertical="center"/>
    </xf>
    <xf numFmtId="164" fontId="12" fillId="5" borderId="8" xfId="0" applyNumberFormat="1" applyFont="1" applyFill="1" applyBorder="1" applyAlignment="1">
      <alignment horizontal="right" vertical="center"/>
    </xf>
    <xf numFmtId="166" fontId="7" fillId="5" borderId="8" xfId="0" applyNumberFormat="1" applyFont="1" applyFill="1" applyBorder="1" applyAlignment="1">
      <alignment horizontal="right" vertical="center"/>
    </xf>
    <xf numFmtId="167" fontId="7" fillId="5" borderId="8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left" vertical="center"/>
    </xf>
    <xf numFmtId="164" fontId="21" fillId="2" borderId="0" xfId="0" applyNumberFormat="1" applyFont="1" applyFill="1" applyAlignment="1">
      <alignment horizontal="right" vertical="center"/>
    </xf>
    <xf numFmtId="166" fontId="18" fillId="2" borderId="0" xfId="0" applyNumberFormat="1" applyFont="1" applyFill="1" applyAlignment="1">
      <alignment horizontal="right" vertical="center"/>
    </xf>
    <xf numFmtId="167" fontId="18" fillId="2" borderId="0" xfId="0" applyNumberFormat="1" applyFont="1" applyFill="1" applyAlignment="1">
      <alignment horizontal="right" vertical="center"/>
    </xf>
    <xf numFmtId="165" fontId="7" fillId="5" borderId="8" xfId="0" applyNumberFormat="1" applyFont="1" applyFill="1" applyBorder="1" applyAlignment="1">
      <alignment horizontal="right" vertical="center"/>
    </xf>
    <xf numFmtId="0" fontId="0" fillId="2" borderId="0" xfId="0" applyFill="1"/>
    <xf numFmtId="166" fontId="6" fillId="0" borderId="5" xfId="0" applyNumberFormat="1" applyFont="1" applyBorder="1" applyAlignment="1">
      <alignment horizontal="right" vertical="center"/>
    </xf>
    <xf numFmtId="166" fontId="20" fillId="0" borderId="5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0" xfId="0" applyFont="1"/>
    <xf numFmtId="0" fontId="6" fillId="0" borderId="5" xfId="0" applyFont="1" applyBorder="1" applyAlignment="1">
      <alignment horizontal="center" vertical="center"/>
    </xf>
    <xf numFmtId="0" fontId="22" fillId="0" borderId="0" xfId="0" applyFont="1"/>
    <xf numFmtId="0" fontId="19" fillId="0" borderId="6" xfId="0" applyFont="1" applyBorder="1" applyAlignment="1">
      <alignment horizontal="left" vertical="center" wrapText="1"/>
    </xf>
  </cellXfs>
  <cellStyles count="1">
    <cellStyle name="Standard" xfId="0" builtinId="0"/>
  </cellStyles>
  <dxfs count="11">
    <dxf>
      <font>
        <sz val="9"/>
        <color rgb="FFA23A2E"/>
        <name val="Calibri"/>
        <charset val="1"/>
      </font>
    </dxf>
    <dxf>
      <font>
        <sz val="9"/>
        <color rgb="FF2E7D57"/>
        <name val="Calibri"/>
        <charset val="1"/>
      </font>
    </dxf>
    <dxf>
      <font>
        <b/>
        <sz val="10"/>
        <color rgb="FFA23A2E"/>
        <name val="Calibri"/>
        <charset val="1"/>
      </font>
      <fill>
        <patternFill>
          <bgColor rgb="FFF0DBD6"/>
        </patternFill>
      </fill>
    </dxf>
    <dxf>
      <font>
        <b/>
        <sz val="10"/>
        <color rgb="FF2E7D57"/>
        <name val="Calibri"/>
        <charset val="1"/>
      </font>
      <fill>
        <patternFill>
          <bgColor rgb="FFE4EFE9"/>
        </patternFill>
      </fill>
    </dxf>
    <dxf>
      <font>
        <sz val="9"/>
        <color rgb="FFA23A2E"/>
        <name val="Calibri"/>
        <charset val="1"/>
      </font>
    </dxf>
    <dxf>
      <font>
        <sz val="9"/>
        <color rgb="FF2E7D57"/>
        <name val="Calibri"/>
        <charset val="1"/>
      </font>
    </dxf>
    <dxf>
      <font>
        <b/>
        <sz val="12"/>
        <color rgb="FFA23A2E"/>
        <name val="Calibri"/>
        <charset val="1"/>
      </font>
    </dxf>
    <dxf>
      <font>
        <b/>
        <sz val="9"/>
        <color rgb="FFA23A2E"/>
        <name val="Calibri"/>
        <charset val="1"/>
      </font>
      <fill>
        <patternFill>
          <bgColor rgb="FFF0DBD6"/>
        </patternFill>
      </fill>
    </dxf>
    <dxf>
      <font>
        <b/>
        <sz val="9"/>
        <color rgb="FF8A5A12"/>
        <name val="Calibri"/>
        <charset val="1"/>
      </font>
      <fill>
        <patternFill>
          <bgColor rgb="FFF3E8D2"/>
        </patternFill>
      </fill>
    </dxf>
    <dxf>
      <font>
        <b/>
        <sz val="9"/>
        <color rgb="FF2E7D57"/>
        <name val="Calibri"/>
        <charset val="1"/>
      </font>
      <fill>
        <patternFill>
          <bgColor rgb="FFE4EFE9"/>
        </patternFill>
      </fill>
    </dxf>
    <dxf>
      <font>
        <b/>
        <sz val="11"/>
        <color rgb="FFA23A2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AFBF9"/>
      <rgbColor rgb="FFFF00FF"/>
      <rgbColor rgb="FF00FFFF"/>
      <rgbColor rgb="FF800000"/>
      <rgbColor rgb="FF008000"/>
      <rgbColor rgb="FF000080"/>
      <rgbColor rgb="FFA9822F"/>
      <rgbColor rgb="FF800080"/>
      <rgbColor rgb="FF2C6A54"/>
      <rgbColor rgb="FFAEB9AF"/>
      <rgbColor rgb="FF878787"/>
      <rgbColor rgb="FF9999FF"/>
      <rgbColor rgb="FF8A5A12"/>
      <rgbColor rgb="FFFBF6E6"/>
      <rgbColor rgb="FFE4EFE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4A7A67"/>
      <rgbColor rgb="FF0000FF"/>
      <rgbColor rgb="FF00CCFF"/>
      <rgbColor rgb="FFF2F4F1"/>
      <rgbColor rgb="FFE1E5DF"/>
      <rgbColor rgb="FFF3E8D2"/>
      <rgbColor rgb="FFC9CFC7"/>
      <rgbColor rgb="FFF0DBD6"/>
      <rgbColor rgb="FFE8DFC2"/>
      <rgbColor rgb="FFE7DCC0"/>
      <rgbColor rgb="FF4F81BD"/>
      <rgbColor rgb="FF33CCCC"/>
      <rgbColor rgb="FF99CC00"/>
      <rgbColor rgb="FFFFCC00"/>
      <rgbColor rgb="FFFF9900"/>
      <rgbColor rgb="FFFF6600"/>
      <rgbColor rgb="FF5C6E63"/>
      <rgbColor rgb="FF8A938C"/>
      <rgbColor rgb="FF1C4E3E"/>
      <rgbColor rgb="FF2E7D57"/>
      <rgbColor rgb="FF12352A"/>
      <rgbColor rgb="FF333300"/>
      <rgbColor rgb="FFA23A2E"/>
      <rgbColor rgb="FF993366"/>
      <rgbColor rgb="FF333399"/>
      <rgbColor rgb="FF1D26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4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Répartition de l'actif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C4E3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1BC4-45CB-9108-841BE4D9618E}"/>
              </c:ext>
            </c:extLst>
          </c:dPt>
          <c:dPt>
            <c:idx val="1"/>
            <c:bubble3D val="0"/>
            <c:spPr>
              <a:solidFill>
                <a:srgbClr val="2C6A5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1BC4-45CB-9108-841BE4D9618E}"/>
              </c:ext>
            </c:extLst>
          </c:dPt>
          <c:dPt>
            <c:idx val="2"/>
            <c:bubble3D val="0"/>
            <c:spPr>
              <a:solidFill>
                <a:srgbClr val="4A7A6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1BC4-45CB-9108-841BE4D9618E}"/>
              </c:ext>
            </c:extLst>
          </c:dPt>
          <c:dPt>
            <c:idx val="3"/>
            <c:bubble3D val="0"/>
            <c:spPr>
              <a:solidFill>
                <a:srgbClr val="A9822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1BC4-45CB-9108-841BE4D9618E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1BC4-45CB-9108-841BE4D9618E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1BC4-45CB-9108-841BE4D9618E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1BC4-45CB-9108-841BE4D9618E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1BC4-45CB-9108-841BE4D961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Synthèse!$Q$40:$Q$43</c:f>
              <c:strCache>
                <c:ptCount val="4"/>
                <c:pt idx="0">
                  <c:v>Immobilisé</c:v>
                </c:pt>
                <c:pt idx="1">
                  <c:v>Stocks</c:v>
                </c:pt>
                <c:pt idx="2">
                  <c:v>Créances</c:v>
                </c:pt>
                <c:pt idx="3">
                  <c:v>Trésorerie</c:v>
                </c:pt>
              </c:strCache>
            </c:strRef>
          </c:cat>
          <c:val>
            <c:numRef>
              <c:f>Synthèse!$R$40:$R$43</c:f>
              <c:numCache>
                <c:formatCode>#,##0" €"</c:formatCode>
                <c:ptCount val="4"/>
                <c:pt idx="0">
                  <c:v>405000</c:v>
                </c:pt>
                <c:pt idx="1">
                  <c:v>130000</c:v>
                </c:pt>
                <c:pt idx="2">
                  <c:v>145000</c:v>
                </c:pt>
                <c:pt idx="3">
                  <c:v>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C4-45CB-9108-841BE4D96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0"/>
    <c:dispBlanksAs val="gap"/>
    <c:showDLblsOverMax val="1"/>
  </c:chart>
  <c:spPr>
    <a:solidFill>
      <a:srgbClr val="F2F4F1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Structure du passif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C4E3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CCD3-45F2-98A7-E6595C78CB36}"/>
              </c:ext>
            </c:extLst>
          </c:dPt>
          <c:dPt>
            <c:idx val="1"/>
            <c:bubble3D val="0"/>
            <c:spPr>
              <a:solidFill>
                <a:srgbClr val="A9822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CD3-45F2-98A7-E6595C78CB36}"/>
              </c:ext>
            </c:extLst>
          </c:dPt>
          <c:dPt>
            <c:idx val="2"/>
            <c:bubble3D val="0"/>
            <c:spPr>
              <a:solidFill>
                <a:srgbClr val="A23A2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CCD3-45F2-98A7-E6595C78CB36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CCD3-45F2-98A7-E6595C78CB36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CCD3-45F2-98A7-E6595C78CB36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CCD3-45F2-98A7-E6595C78CB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Synthèse!$Q$45:$Q$47</c:f>
              <c:strCache>
                <c:ptCount val="3"/>
                <c:pt idx="0">
                  <c:v>Capitaux propres</c:v>
                </c:pt>
                <c:pt idx="1">
                  <c:v>Provisions</c:v>
                </c:pt>
                <c:pt idx="2">
                  <c:v>Dettes</c:v>
                </c:pt>
              </c:strCache>
            </c:strRef>
          </c:cat>
          <c:val>
            <c:numRef>
              <c:f>Synthèse!$R$45:$R$47</c:f>
              <c:numCache>
                <c:formatCode>#,##0" €"</c:formatCode>
                <c:ptCount val="3"/>
                <c:pt idx="0">
                  <c:v>405000</c:v>
                </c:pt>
                <c:pt idx="1">
                  <c:v>25000</c:v>
                </c:pt>
                <c:pt idx="2">
                  <c:v>335000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CD3-45F2-98A7-E6595C78C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0"/>
    <c:dispBlanksAs val="gap"/>
    <c:showDLblsOverMax val="1"/>
  </c:chart>
  <c:spPr>
    <a:solidFill>
      <a:srgbClr val="F2F4F1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Grandes masses : 2027 vs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Synthèse!$U$40</c:f>
              <c:strCache>
                <c:ptCount val="1"/>
                <c:pt idx="0">
                  <c:v>2027</c:v>
                </c:pt>
              </c:strCache>
            </c:strRef>
          </c:tx>
          <c:spPr>
            <a:solidFill>
              <a:srgbClr val="1C4E3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Synthèse!$T$41:$T$44</c:f>
              <c:strCache>
                <c:ptCount val="4"/>
                <c:pt idx="0">
                  <c:v>Actif immobilisé</c:v>
                </c:pt>
                <c:pt idx="1">
                  <c:v>Actif circulant</c:v>
                </c:pt>
                <c:pt idx="2">
                  <c:v>Capitaux propres</c:v>
                </c:pt>
                <c:pt idx="3">
                  <c:v>Dettes</c:v>
                </c:pt>
              </c:strCache>
            </c:strRef>
          </c:cat>
          <c:val>
            <c:numRef>
              <c:f>Synthèse!$U$41:$U$44</c:f>
              <c:numCache>
                <c:formatCode>#,##0" €"</c:formatCode>
                <c:ptCount val="4"/>
                <c:pt idx="0">
                  <c:v>405000</c:v>
                </c:pt>
                <c:pt idx="1">
                  <c:v>360000</c:v>
                </c:pt>
                <c:pt idx="2">
                  <c:v>405000</c:v>
                </c:pt>
                <c:pt idx="3">
                  <c:v>335000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04-4A63-8229-D8305E699CEB}"/>
            </c:ext>
          </c:extLst>
        </c:ser>
        <c:ser>
          <c:idx val="1"/>
          <c:order val="1"/>
          <c:tx>
            <c:strRef>
              <c:f>Synthèse!$V$40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E7DCC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Synthèse!$T$41:$T$44</c:f>
              <c:strCache>
                <c:ptCount val="4"/>
                <c:pt idx="0">
                  <c:v>Actif immobilisé</c:v>
                </c:pt>
                <c:pt idx="1">
                  <c:v>Actif circulant</c:v>
                </c:pt>
                <c:pt idx="2">
                  <c:v>Capitaux propres</c:v>
                </c:pt>
                <c:pt idx="3">
                  <c:v>Dettes</c:v>
                </c:pt>
              </c:strCache>
            </c:strRef>
          </c:cat>
          <c:val>
            <c:numRef>
              <c:f>Synthèse!$V$41:$V$44</c:f>
              <c:numCache>
                <c:formatCode>#,##0" €"</c:formatCode>
                <c:ptCount val="4"/>
                <c:pt idx="0">
                  <c:v>442000</c:v>
                </c:pt>
                <c:pt idx="1">
                  <c:v>258000</c:v>
                </c:pt>
                <c:pt idx="2">
                  <c:v>362000</c:v>
                </c:pt>
                <c:pt idx="3">
                  <c:v>318000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04-4A63-8229-D8305E699C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85837756"/>
        <c:axId val="60152883"/>
      </c:barChart>
      <c:catAx>
        <c:axId val="858377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0152883"/>
        <c:crosses val="autoZero"/>
        <c:auto val="1"/>
        <c:lblAlgn val="ctr"/>
        <c:lblOffset val="100"/>
        <c:noMultiLvlLbl val="0"/>
      </c:catAx>
      <c:valAx>
        <c:axId val="6015288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583775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0"/>
    <c:dispBlanksAs val="gap"/>
    <c:showDLblsOverMax val="1"/>
  </c:chart>
  <c:spPr>
    <a:solidFill>
      <a:srgbClr val="F2F4F1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3</xdr:col>
      <xdr:colOff>415800</xdr:colOff>
      <xdr:row>38</xdr:row>
      <xdr:rowOff>17640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485775</xdr:colOff>
      <xdr:row>26</xdr:row>
      <xdr:rowOff>0</xdr:rowOff>
    </xdr:from>
    <xdr:to>
      <xdr:col>6</xdr:col>
      <xdr:colOff>1896120</xdr:colOff>
      <xdr:row>38</xdr:row>
      <xdr:rowOff>17640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2000249</xdr:colOff>
      <xdr:row>26</xdr:row>
      <xdr:rowOff>0</xdr:rowOff>
    </xdr:from>
    <xdr:to>
      <xdr:col>12</xdr:col>
      <xdr:colOff>733424</xdr:colOff>
      <xdr:row>38</xdr:row>
      <xdr:rowOff>17640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showGridLines="0" tabSelected="1" zoomScaleNormal="100" workbookViewId="0">
      <selection activeCell="L44" sqref="L44"/>
    </sheetView>
  </sheetViews>
  <sheetFormatPr baseColWidth="10" defaultColWidth="8.7109375" defaultRowHeight="15" x14ac:dyDescent="0.25"/>
  <cols>
    <col min="1" max="1" width="2" customWidth="1"/>
    <col min="2" max="2" width="22" customWidth="1"/>
    <col min="3" max="4" width="15" customWidth="1"/>
    <col min="5" max="5" width="13" customWidth="1"/>
    <col min="6" max="6" width="3" customWidth="1"/>
    <col min="7" max="7" width="30" customWidth="1"/>
    <col min="8" max="9" width="13" customWidth="1"/>
    <col min="10" max="10" width="14" customWidth="1"/>
    <col min="11" max="11" width="13" customWidth="1"/>
    <col min="12" max="13" width="11" customWidth="1"/>
    <col min="14" max="14" width="2" customWidth="1"/>
    <col min="16" max="22" width="13" hidden="1" customWidth="1"/>
  </cols>
  <sheetData>
    <row r="1" spans="1:14" ht="19.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3" t="s">
        <v>1</v>
      </c>
      <c r="L1" s="13"/>
      <c r="M1" s="13"/>
      <c r="N1" s="13"/>
    </row>
    <row r="2" spans="1:14" ht="33.75" customHeight="1" x14ac:dyDescent="0.25">
      <c r="A2" s="12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1" t="s">
        <v>3</v>
      </c>
      <c r="L2" s="11"/>
      <c r="M2" s="11"/>
      <c r="N2" s="11"/>
    </row>
    <row r="3" spans="1:14" ht="3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7.5" customHeight="1" x14ac:dyDescent="0.25"/>
    <row r="5" spans="1:14" ht="19.5" customHeight="1" x14ac:dyDescent="0.25">
      <c r="B5" s="16" t="s">
        <v>4</v>
      </c>
      <c r="C5" s="9" t="s">
        <v>5</v>
      </c>
      <c r="D5" s="9"/>
      <c r="E5" s="18" t="s">
        <v>6</v>
      </c>
      <c r="G5" s="17" t="s">
        <v>7</v>
      </c>
      <c r="H5" s="18" t="s">
        <v>8</v>
      </c>
      <c r="I5" s="9" t="s">
        <v>9</v>
      </c>
      <c r="J5" s="9"/>
      <c r="K5" s="18" t="s">
        <v>10</v>
      </c>
      <c r="L5" s="8" t="s">
        <v>11</v>
      </c>
      <c r="M5" s="8"/>
    </row>
    <row r="6" spans="1:14" ht="6" customHeight="1" x14ac:dyDescent="0.25"/>
    <row r="7" spans="1:14" ht="24" customHeight="1" x14ac:dyDescent="0.25">
      <c r="B7" s="7" t="s">
        <v>12</v>
      </c>
      <c r="C7" s="7"/>
      <c r="D7" s="7"/>
      <c r="E7" s="6" t="str">
        <f>IF(ROUND('Bilan – Actif'!E27-'Bilan – Passif'!C25,0)=0,"Actif = Passif — bilan équilibré","Écart : "&amp;TEXT('Bilan – Actif'!E27-'Bilan – Passif'!C25,"#,##0")&amp;" € — à corriger")</f>
        <v>Actif = Passif — bilan équilibré</v>
      </c>
      <c r="F7" s="6"/>
      <c r="G7" s="6"/>
      <c r="H7" s="6"/>
      <c r="I7" s="6"/>
      <c r="J7" s="6"/>
      <c r="K7" s="5" t="str">
        <f>IF(ROUND('Bilan – Actif'!E27-'Bilan – Passif'!C25,0)=0,"✓","!")</f>
        <v>✓</v>
      </c>
      <c r="L7" s="5"/>
      <c r="M7" s="5"/>
      <c r="N7" s="19"/>
    </row>
    <row r="8" spans="1:14" ht="6" customHeight="1" x14ac:dyDescent="0.25"/>
    <row r="9" spans="1:14" x14ac:dyDescent="0.25">
      <c r="B9" s="4" t="s">
        <v>13</v>
      </c>
      <c r="C9" s="4"/>
      <c r="D9" s="4"/>
      <c r="E9" s="4" t="s">
        <v>14</v>
      </c>
      <c r="F9" s="4"/>
      <c r="G9" s="4"/>
      <c r="H9" s="4" t="s">
        <v>15</v>
      </c>
      <c r="I9" s="4"/>
      <c r="J9" s="4"/>
      <c r="K9" s="3" t="s">
        <v>16</v>
      </c>
      <c r="L9" s="3"/>
      <c r="M9" s="3"/>
    </row>
    <row r="10" spans="1:14" ht="18" customHeight="1" x14ac:dyDescent="0.25">
      <c r="B10" s="2">
        <f>'Bilan – Actif'!E27</f>
        <v>765000</v>
      </c>
      <c r="C10" s="2"/>
      <c r="D10" s="2"/>
      <c r="E10" s="2">
        <f>'Bilan – Passif'!C14</f>
        <v>405000</v>
      </c>
      <c r="F10" s="2"/>
      <c r="G10" s="2"/>
      <c r="H10" s="2">
        <f>'Bilan – Passif'!C23</f>
        <v>335000</v>
      </c>
      <c r="I10" s="2"/>
      <c r="J10" s="2"/>
      <c r="K10" s="1">
        <f>('Bilan – Actif'!E22+'Bilan – Actif'!E23)</f>
        <v>80000</v>
      </c>
      <c r="L10" s="1"/>
      <c r="M10" s="1"/>
    </row>
    <row r="11" spans="1:14" ht="18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1"/>
      <c r="L11" s="1"/>
      <c r="M11" s="1"/>
    </row>
    <row r="12" spans="1:14" x14ac:dyDescent="0.25">
      <c r="B12" s="59" t="str">
        <f>"2026 : "&amp;TEXT('Bilan – Actif'!F27,"#,##0")&amp;" €"</f>
        <v>2026 : 700000,0 €</v>
      </c>
      <c r="C12" s="59"/>
      <c r="D12" s="59"/>
      <c r="E12" s="59" t="str">
        <f>"soit "&amp;TEXT(IFERROR('Bilan – Passif'!C14/'Bilan – Passif'!C25,0),"0.0%")&amp;" du passif"</f>
        <v>soit 53% du passif</v>
      </c>
      <c r="F12" s="59"/>
      <c r="G12" s="59"/>
      <c r="H12" s="59" t="str">
        <f>"dont emprunts "&amp;TEXT('Bilan – Passif'!C18,"#,##0")&amp;" €"</f>
        <v>dont emprunts 180000,0 €</v>
      </c>
      <c r="I12" s="59"/>
      <c r="J12" s="59"/>
      <c r="K12" s="60" t="str">
        <f>"FR − BFR (voir ratios)"</f>
        <v>FR − BFR (voir ratios)</v>
      </c>
      <c r="L12" s="60"/>
      <c r="M12" s="60"/>
    </row>
    <row r="13" spans="1:14" ht="6" customHeight="1" x14ac:dyDescent="0.25"/>
    <row r="15" spans="1:14" ht="19.5" customHeight="1" x14ac:dyDescent="0.25">
      <c r="A15" s="15"/>
      <c r="B15" s="20" t="s">
        <v>17</v>
      </c>
      <c r="C15" s="21"/>
      <c r="D15" s="21"/>
      <c r="E15" s="21"/>
      <c r="G15" s="20" t="s">
        <v>18</v>
      </c>
      <c r="H15" s="21"/>
      <c r="I15" s="21"/>
      <c r="J15" s="21"/>
      <c r="K15" s="21"/>
      <c r="L15" s="21"/>
      <c r="M15" s="21"/>
    </row>
    <row r="16" spans="1:14" x14ac:dyDescent="0.25">
      <c r="B16" s="22" t="s">
        <v>19</v>
      </c>
      <c r="C16" s="23" t="s">
        <v>20</v>
      </c>
      <c r="D16" s="23" t="s">
        <v>21</v>
      </c>
      <c r="E16" s="23" t="s">
        <v>22</v>
      </c>
      <c r="G16" s="22" t="s">
        <v>23</v>
      </c>
      <c r="H16" s="23" t="s">
        <v>20</v>
      </c>
      <c r="I16" s="23" t="s">
        <v>21</v>
      </c>
      <c r="J16" s="61" t="s">
        <v>24</v>
      </c>
      <c r="K16" s="61"/>
      <c r="L16" s="61"/>
      <c r="M16" s="61"/>
    </row>
    <row r="17" spans="2:13" x14ac:dyDescent="0.25">
      <c r="B17" s="24" t="s">
        <v>25</v>
      </c>
      <c r="C17" s="25">
        <f>'Bilan – Actif'!E16</f>
        <v>405000</v>
      </c>
      <c r="D17" s="26">
        <f>'Bilan – Actif'!F16</f>
        <v>442000</v>
      </c>
      <c r="E17" s="27">
        <f>IFERROR('Bilan – Actif'!E16/'Bilan – Actif'!E27,"")</f>
        <v>0.52941176470588236</v>
      </c>
      <c r="G17" s="28" t="s">
        <v>26</v>
      </c>
      <c r="H17" s="29">
        <f>('Bilan – Passif'!C14+'Bilan – Passif'!C16+'Bilan – Passif'!C18-'Bilan – Actif'!E16)</f>
        <v>205000</v>
      </c>
      <c r="I17" s="26">
        <f>('Bilan – Passif'!D14+'Bilan – Passif'!D16+'Bilan – Passif'!D18-'Bilan – Actif'!F16)</f>
        <v>140000</v>
      </c>
      <c r="J17" s="62" t="str">
        <f>IF(H17&gt;0,"Favorable",IF(H17=0,"À surveiller","Vigilance"))</f>
        <v>Favorable</v>
      </c>
      <c r="K17" s="62"/>
      <c r="L17" s="62"/>
      <c r="M17" s="62"/>
    </row>
    <row r="18" spans="2:13" x14ac:dyDescent="0.25">
      <c r="B18" s="24" t="s">
        <v>27</v>
      </c>
      <c r="C18" s="25">
        <f>'Bilan – Actif'!E25</f>
        <v>360000</v>
      </c>
      <c r="D18" s="26">
        <f>'Bilan – Actif'!F25</f>
        <v>258000</v>
      </c>
      <c r="E18" s="27">
        <f>IFERROR('Bilan – Actif'!E25/'Bilan – Actif'!E27,"")</f>
        <v>0.47058823529411764</v>
      </c>
      <c r="G18" s="28" t="s">
        <v>28</v>
      </c>
      <c r="H18" s="29">
        <f>(('Bilan – Actif'!E18+'Bilan – Actif'!E19)+('Bilan – Actif'!E20+'Bilan – Actif'!E21)+'Bilan – Actif'!E24-('Bilan – Passif'!C19+'Bilan – Passif'!C20+'Bilan – Passif'!C21+'Bilan – Passif'!C22))</f>
        <v>125000</v>
      </c>
      <c r="I18" s="26">
        <f>(('Bilan – Actif'!F18+'Bilan – Actif'!F19)+('Bilan – Actif'!F20+'Bilan – Actif'!F21)+'Bilan – Actif'!F24-('Bilan – Passif'!D19+'Bilan – Passif'!D20+'Bilan – Passif'!D21+'Bilan – Passif'!D22))</f>
        <v>130000</v>
      </c>
      <c r="J18" s="62" t="str">
        <f>IF(H18&gt;0,"Besoin à financer",IF(H18&lt;0,"Ressource dégagée","Neutre"))</f>
        <v>Besoin à financer</v>
      </c>
      <c r="K18" s="62"/>
      <c r="L18" s="62"/>
      <c r="M18" s="62"/>
    </row>
    <row r="19" spans="2:13" x14ac:dyDescent="0.25">
      <c r="B19" s="30" t="s">
        <v>29</v>
      </c>
      <c r="C19" s="31">
        <f>('Bilan – Actif'!E18+'Bilan – Actif'!E19)</f>
        <v>130000</v>
      </c>
      <c r="D19" s="26">
        <f>('Bilan – Actif'!F18+'Bilan – Actif'!F19)</f>
        <v>117000</v>
      </c>
      <c r="E19" s="27">
        <f>IFERROR(('Bilan – Actif'!E18+'Bilan – Actif'!E19)/'Bilan – Actif'!E27,"")</f>
        <v>0.16993464052287582</v>
      </c>
      <c r="G19" s="28" t="s">
        <v>30</v>
      </c>
      <c r="H19" s="29">
        <f>(('Bilan – Passif'!C14+'Bilan – Passif'!C16+'Bilan – Passif'!C18-'Bilan – Actif'!E16)-(('Bilan – Actif'!E18+'Bilan – Actif'!E19)+('Bilan – Actif'!E20+'Bilan – Actif'!E21)+'Bilan – Actif'!E24-('Bilan – Passif'!C19+'Bilan – Passif'!C20+'Bilan – Passif'!C21+'Bilan – Passif'!C22)))</f>
        <v>80000</v>
      </c>
      <c r="I19" s="26">
        <f>(('Bilan – Passif'!D14+'Bilan – Passif'!D16+'Bilan – Passif'!D18-'Bilan – Actif'!F16)-(('Bilan – Actif'!F18+'Bilan – Actif'!F19)+('Bilan – Actif'!F20+'Bilan – Actif'!F21)+'Bilan – Actif'!F24-('Bilan – Passif'!D19+'Bilan – Passif'!D20+'Bilan – Passif'!D21+'Bilan – Passif'!D22)))</f>
        <v>10000</v>
      </c>
      <c r="J19" s="62" t="str">
        <f>IF(H19&gt;=0,"Favorable","Vigilance")</f>
        <v>Favorable</v>
      </c>
      <c r="K19" s="62"/>
      <c r="L19" s="62"/>
      <c r="M19" s="62"/>
    </row>
    <row r="20" spans="2:13" x14ac:dyDescent="0.25">
      <c r="B20" s="30" t="s">
        <v>31</v>
      </c>
      <c r="C20" s="31">
        <f>('Bilan – Actif'!E20+'Bilan – Actif'!E21)</f>
        <v>145000</v>
      </c>
      <c r="D20" s="26">
        <f>('Bilan – Actif'!F20+'Bilan – Actif'!F21)</f>
        <v>128000</v>
      </c>
      <c r="E20" s="27">
        <f>IFERROR(('Bilan – Actif'!E20+'Bilan – Actif'!E21)/'Bilan – Actif'!E27,"")</f>
        <v>0.18954248366013071</v>
      </c>
      <c r="G20" s="28" t="s">
        <v>32</v>
      </c>
      <c r="H20" s="32">
        <f>IFERROR('Bilan – Passif'!C14/'Bilan – Passif'!C25,0)</f>
        <v>0.52941176470588236</v>
      </c>
      <c r="I20" s="27">
        <f>IFERROR('Bilan – Passif'!D14/'Bilan – Passif'!D25,0)</f>
        <v>0.51714285714285713</v>
      </c>
      <c r="J20" s="62" t="str">
        <f>IF(H20&gt;=0.4,"Favorable",IF(H20&gt;=0.2,"À surveiller","Vigilance"))</f>
        <v>Favorable</v>
      </c>
      <c r="K20" s="62"/>
      <c r="L20" s="62"/>
      <c r="M20" s="62"/>
    </row>
    <row r="21" spans="2:13" x14ac:dyDescent="0.25">
      <c r="B21" s="30" t="s">
        <v>33</v>
      </c>
      <c r="C21" s="31">
        <f>('Bilan – Actif'!E22+'Bilan – Actif'!E23)</f>
        <v>80000</v>
      </c>
      <c r="D21" s="26">
        <f>('Bilan – Actif'!F22+'Bilan – Actif'!F23)</f>
        <v>10000</v>
      </c>
      <c r="E21" s="27">
        <f>IFERROR(('Bilan – Actif'!E22+'Bilan – Actif'!E23)/'Bilan – Actif'!E27,"")</f>
        <v>0.10457516339869281</v>
      </c>
      <c r="G21" s="28" t="s">
        <v>34</v>
      </c>
      <c r="H21" s="33">
        <f>IFERROR('Bilan – Actif'!E25/('Bilan – Passif'!C19+'Bilan – Passif'!C20+'Bilan – Passif'!C21+'Bilan – Passif'!C22),0)</f>
        <v>2.3225806451612905</v>
      </c>
      <c r="I21" s="34">
        <f>IFERROR('Bilan – Actif'!F25/('Bilan – Passif'!D19+'Bilan – Passif'!D20+'Bilan – Passif'!D21+'Bilan – Passif'!D22),0)</f>
        <v>2.1864406779661016</v>
      </c>
      <c r="J21" s="62" t="str">
        <f>IF(H21&gt;=1.5,"Favorable",IF(H21&gt;=1,"À surveiller","Vigilance"))</f>
        <v>Favorable</v>
      </c>
      <c r="K21" s="62"/>
      <c r="L21" s="62"/>
      <c r="M21" s="62"/>
    </row>
    <row r="22" spans="2:13" x14ac:dyDescent="0.25">
      <c r="B22" s="24" t="s">
        <v>35</v>
      </c>
      <c r="C22" s="25">
        <f>'Bilan – Passif'!C14</f>
        <v>405000</v>
      </c>
      <c r="D22" s="26">
        <f>'Bilan – Passif'!D14</f>
        <v>362000</v>
      </c>
      <c r="E22" s="27">
        <f>IFERROR('Bilan – Passif'!C14/'Bilan – Passif'!C25,"")</f>
        <v>0.52941176470588236</v>
      </c>
      <c r="G22" s="28" t="s">
        <v>36</v>
      </c>
      <c r="H22" s="32">
        <f>IFERROR('Bilan – Passif'!C18/'Bilan – Passif'!C14,0)</f>
        <v>0.44444444444444442</v>
      </c>
      <c r="I22" s="27">
        <f>IFERROR('Bilan – Passif'!D18/'Bilan – Passif'!D14,0)</f>
        <v>0.5524861878453039</v>
      </c>
      <c r="J22" s="62" t="str">
        <f>IF(H22&lt;=0.5,"Favorable",IF(H22&lt;=1,"À surveiller","Vigilance"))</f>
        <v>Favorable</v>
      </c>
      <c r="K22" s="62"/>
      <c r="L22" s="62"/>
      <c r="M22" s="62"/>
    </row>
    <row r="23" spans="2:13" x14ac:dyDescent="0.25">
      <c r="B23" s="24" t="s">
        <v>37</v>
      </c>
      <c r="C23" s="25">
        <f>'Bilan – Passif'!C16</f>
        <v>25000</v>
      </c>
      <c r="D23" s="26">
        <f>'Bilan – Passif'!D16</f>
        <v>20000</v>
      </c>
      <c r="E23" s="27">
        <f>IFERROR('Bilan – Passif'!C16/'Bilan – Passif'!C25,"")</f>
        <v>3.2679738562091505E-2</v>
      </c>
    </row>
    <row r="24" spans="2:13" x14ac:dyDescent="0.25">
      <c r="B24" s="24" t="s">
        <v>38</v>
      </c>
      <c r="C24" s="25">
        <f>'Bilan – Passif'!C23</f>
        <v>335000</v>
      </c>
      <c r="D24" s="26">
        <f>'Bilan – Passif'!D23</f>
        <v>318000</v>
      </c>
      <c r="E24" s="27">
        <f>IFERROR('Bilan – Passif'!C23/'Bilan – Passif'!C25,"")</f>
        <v>0.43790849673202614</v>
      </c>
    </row>
    <row r="40" spans="16:22" x14ac:dyDescent="0.25">
      <c r="P40" t="s">
        <v>39</v>
      </c>
      <c r="Q40" t="s">
        <v>40</v>
      </c>
      <c r="R40" s="35">
        <f>'Bilan – Actif'!E16</f>
        <v>405000</v>
      </c>
      <c r="U40" t="s">
        <v>20</v>
      </c>
      <c r="V40" t="s">
        <v>21</v>
      </c>
    </row>
    <row r="41" spans="16:22" x14ac:dyDescent="0.25">
      <c r="P41" t="s">
        <v>7</v>
      </c>
      <c r="Q41" t="s">
        <v>41</v>
      </c>
      <c r="R41" s="35">
        <f>('Bilan – Actif'!E18+'Bilan – Actif'!E19)</f>
        <v>130000</v>
      </c>
      <c r="T41" t="s">
        <v>25</v>
      </c>
      <c r="U41" s="35">
        <f>'Bilan – Actif'!E16</f>
        <v>405000</v>
      </c>
      <c r="V41" s="35">
        <f>'Bilan – Actif'!F16</f>
        <v>442000</v>
      </c>
    </row>
    <row r="42" spans="16:22" x14ac:dyDescent="0.25">
      <c r="P42" t="s">
        <v>42</v>
      </c>
      <c r="Q42" t="s">
        <v>43</v>
      </c>
      <c r="R42" s="35">
        <f>('Bilan – Actif'!E20+'Bilan – Actif'!E21)</f>
        <v>145000</v>
      </c>
      <c r="T42" t="s">
        <v>27</v>
      </c>
      <c r="U42" s="35">
        <f>'Bilan – Actif'!E25</f>
        <v>360000</v>
      </c>
      <c r="V42" s="35">
        <f>'Bilan – Actif'!F25</f>
        <v>258000</v>
      </c>
    </row>
    <row r="43" spans="16:22" x14ac:dyDescent="0.25">
      <c r="P43" t="s">
        <v>44</v>
      </c>
      <c r="Q43" t="s">
        <v>45</v>
      </c>
      <c r="R43" s="35">
        <f>('Bilan – Actif'!E22+'Bilan – Actif'!E23)</f>
        <v>80000</v>
      </c>
      <c r="T43" t="s">
        <v>35</v>
      </c>
      <c r="U43" s="35">
        <f>'Bilan – Passif'!C14</f>
        <v>405000</v>
      </c>
      <c r="V43" s="35">
        <f>'Bilan – Passif'!D14</f>
        <v>362000</v>
      </c>
    </row>
    <row r="44" spans="16:22" x14ac:dyDescent="0.25">
      <c r="P44" t="s">
        <v>46</v>
      </c>
      <c r="T44" t="s">
        <v>38</v>
      </c>
      <c r="U44" s="35">
        <f>'Bilan – Passif'!C23</f>
        <v>335000</v>
      </c>
      <c r="V44" s="35">
        <f>'Bilan – Passif'!D23</f>
        <v>318000</v>
      </c>
    </row>
    <row r="45" spans="16:22" x14ac:dyDescent="0.25">
      <c r="P45" t="s">
        <v>47</v>
      </c>
      <c r="Q45" t="s">
        <v>35</v>
      </c>
      <c r="R45" s="35">
        <f>'Bilan – Passif'!C14</f>
        <v>405000</v>
      </c>
    </row>
    <row r="46" spans="16:22" x14ac:dyDescent="0.25">
      <c r="P46" t="s">
        <v>48</v>
      </c>
      <c r="Q46" t="s">
        <v>37</v>
      </c>
      <c r="R46" s="35">
        <f>'Bilan – Passif'!C16</f>
        <v>25000</v>
      </c>
    </row>
    <row r="47" spans="16:22" x14ac:dyDescent="0.25">
      <c r="P47" t="s">
        <v>49</v>
      </c>
      <c r="Q47" t="s">
        <v>38</v>
      </c>
      <c r="R47" s="35">
        <f>'Bilan – Passif'!C23</f>
        <v>335000</v>
      </c>
    </row>
    <row r="48" spans="16:22" x14ac:dyDescent="0.25">
      <c r="P48" t="s">
        <v>50</v>
      </c>
    </row>
    <row r="49" spans="16:16" x14ac:dyDescent="0.25">
      <c r="P49" t="s">
        <v>51</v>
      </c>
    </row>
  </sheetData>
  <mergeCells count="30">
    <mergeCell ref="J22:M22"/>
    <mergeCell ref="J17:M17"/>
    <mergeCell ref="J18:M18"/>
    <mergeCell ref="J19:M19"/>
    <mergeCell ref="J20:M20"/>
    <mergeCell ref="J21:M21"/>
    <mergeCell ref="B12:D12"/>
    <mergeCell ref="E12:G12"/>
    <mergeCell ref="H12:J12"/>
    <mergeCell ref="K12:M12"/>
    <mergeCell ref="J16:M16"/>
    <mergeCell ref="B9:D9"/>
    <mergeCell ref="E9:G9"/>
    <mergeCell ref="H9:J9"/>
    <mergeCell ref="K9:M9"/>
    <mergeCell ref="B10:D11"/>
    <mergeCell ref="E10:G11"/>
    <mergeCell ref="H10:J11"/>
    <mergeCell ref="K10:M11"/>
    <mergeCell ref="C5:D5"/>
    <mergeCell ref="I5:J5"/>
    <mergeCell ref="L5:M5"/>
    <mergeCell ref="B7:D7"/>
    <mergeCell ref="E7:J7"/>
    <mergeCell ref="K7:M7"/>
    <mergeCell ref="A1:J1"/>
    <mergeCell ref="K1:N1"/>
    <mergeCell ref="A2:J2"/>
    <mergeCell ref="K2:N2"/>
    <mergeCell ref="A3:N3"/>
  </mergeCells>
  <conditionalFormatting sqref="E17:E24">
    <cfRule type="dataBar" priority="4">
      <dataBar>
        <cfvo type="num" val="0"/>
        <cfvo type="num" val="1"/>
        <color rgb="FFBFD6C9"/>
      </dataBar>
      <extLst>
        <ext xmlns:x14="http://schemas.microsoft.com/office/spreadsheetml/2009/9/main" uri="{B025F937-C7B1-47D3-B67F-A62EFF666E3E}">
          <x14:id>{F6E38B44-A9D1-47E9-A95C-582562AE2B41}</x14:id>
        </ext>
      </extLst>
    </cfRule>
  </conditionalFormatting>
  <conditionalFormatting sqref="J17:J22">
    <cfRule type="cellIs" dxfId="9" priority="5" operator="equal">
      <formula>"Favorable"</formula>
    </cfRule>
    <cfRule type="cellIs" dxfId="8" priority="6" operator="equal">
      <formula>"À surveiller"</formula>
    </cfRule>
    <cfRule type="cellIs" dxfId="7" priority="7" operator="equal">
      <formula>"Vigilance"</formula>
    </cfRule>
  </conditionalFormatting>
  <dataValidations count="1">
    <dataValidation type="list" allowBlank="1" sqref="G5" xr:uid="{00000000-0002-0000-0000-000000000000}">
      <formula1>Liste_FormeJuridique</formula1>
      <formula2>0</formula2>
    </dataValidation>
  </dataValidations>
  <printOptions horizontalCentered="1"/>
  <pageMargins left="0.3" right="0.3" top="0.4" bottom="0.4" header="0.511811023622047" footer="0.511811023622047"/>
  <pageSetup paperSize="9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2000000}">
            <xm:f>ROUND('Bilan – Actif'!E27-'Bilan – Passif'!C25,0)&lt;&gt;0</xm:f>
            <x14:dxf>
              <font>
                <b/>
                <sz val="11"/>
                <color rgb="FFA23A2E"/>
                <name val="Calibri"/>
                <charset val="1"/>
              </font>
            </x14:dxf>
          </x14:cfRule>
          <xm:sqref>E7</xm:sqref>
        </x14:conditionalFormatting>
        <x14:conditionalFormatting xmlns:xm="http://schemas.microsoft.com/office/excel/2006/main">
          <x14:cfRule type="dataBar" id="{F6E38B44-A9D1-47E9-A95C-582562AE2B41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BFD6C9"/>
            </x14:dataBar>
          </x14:cfRule>
          <xm:sqref>E17:E24</xm:sqref>
        </x14:conditionalFormatting>
        <x14:conditionalFormatting xmlns:xm="http://schemas.microsoft.com/office/excel/2006/main">
          <x14:cfRule type="expression" priority="3" id="{00000000-000E-0000-0000-000003000000}">
            <xm:f>ROUND('Bilan – Actif'!E27-'Bilan – Passif'!C25,0)&lt;&gt;0</xm:f>
            <x14:dxf>
              <font>
                <b/>
                <sz val="12"/>
                <color rgb="FFA23A2E"/>
                <name val="Calibri"/>
                <charset val="1"/>
              </font>
            </x14:dxf>
          </x14:cfRule>
          <xm:sqref>K7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" customWidth="1"/>
    <col min="2" max="2" width="46" customWidth="1"/>
    <col min="3" max="3" width="16" customWidth="1"/>
    <col min="4" max="4" width="19" customWidth="1"/>
    <col min="5" max="6" width="16" customWidth="1"/>
    <col min="7" max="7" width="15" customWidth="1"/>
    <col min="8" max="8" width="11" customWidth="1"/>
  </cols>
  <sheetData>
    <row r="1" spans="1:8" ht="19.5" customHeight="1" x14ac:dyDescent="0.25">
      <c r="A1" s="14" t="s">
        <v>52</v>
      </c>
      <c r="B1" s="14"/>
      <c r="C1" s="14"/>
      <c r="D1" s="14"/>
      <c r="E1" s="13" t="s">
        <v>1</v>
      </c>
      <c r="F1" s="13"/>
      <c r="G1" s="13"/>
      <c r="H1" s="13"/>
    </row>
    <row r="2" spans="1:8" ht="33.75" customHeight="1" x14ac:dyDescent="0.25">
      <c r="A2" s="12" t="s">
        <v>53</v>
      </c>
      <c r="B2" s="12"/>
      <c r="C2" s="12"/>
      <c r="D2" s="12"/>
      <c r="E2" s="11" t="s">
        <v>3</v>
      </c>
      <c r="F2" s="11"/>
      <c r="G2" s="11"/>
      <c r="H2" s="11"/>
    </row>
    <row r="3" spans="1:8" ht="3" customHeight="1" x14ac:dyDescent="0.25">
      <c r="A3" s="10"/>
      <c r="B3" s="10"/>
      <c r="C3" s="10"/>
      <c r="D3" s="10"/>
      <c r="E3" s="10"/>
      <c r="F3" s="10"/>
      <c r="G3" s="10"/>
      <c r="H3" s="10"/>
    </row>
    <row r="4" spans="1:8" ht="7.5" customHeight="1" x14ac:dyDescent="0.25"/>
    <row r="5" spans="1:8" x14ac:dyDescent="0.25">
      <c r="B5" s="63" t="s">
        <v>54</v>
      </c>
      <c r="C5" s="63"/>
      <c r="D5" s="63"/>
      <c r="E5" s="63"/>
      <c r="F5" s="63"/>
      <c r="G5" s="63"/>
      <c r="H5" s="63"/>
    </row>
    <row r="6" spans="1:8" ht="3.75" customHeight="1" x14ac:dyDescent="0.25"/>
    <row r="7" spans="1:8" ht="27.75" customHeight="1" x14ac:dyDescent="0.25">
      <c r="B7" s="36" t="s">
        <v>55</v>
      </c>
      <c r="C7" s="37" t="s">
        <v>56</v>
      </c>
      <c r="D7" s="37" t="s">
        <v>57</v>
      </c>
      <c r="E7" s="37" t="s">
        <v>58</v>
      </c>
      <c r="F7" s="37" t="s">
        <v>59</v>
      </c>
      <c r="G7" s="37" t="s">
        <v>60</v>
      </c>
      <c r="H7" s="37" t="s">
        <v>61</v>
      </c>
    </row>
    <row r="8" spans="1:8" ht="19.5" customHeight="1" x14ac:dyDescent="0.25">
      <c r="A8" s="15"/>
      <c r="B8" s="20" t="s">
        <v>62</v>
      </c>
      <c r="C8" s="21"/>
      <c r="D8" s="21"/>
      <c r="E8" s="21"/>
      <c r="F8" s="21"/>
      <c r="G8" s="21"/>
      <c r="H8" s="21"/>
    </row>
    <row r="9" spans="1:8" x14ac:dyDescent="0.25">
      <c r="B9" s="38" t="s">
        <v>63</v>
      </c>
      <c r="C9" s="39">
        <v>40000</v>
      </c>
      <c r="D9" s="39">
        <v>15000</v>
      </c>
      <c r="E9" s="40">
        <f t="shared" ref="E9:E15" si="0">C9-D9</f>
        <v>25000</v>
      </c>
      <c r="F9" s="41">
        <v>30000</v>
      </c>
      <c r="G9" s="42">
        <f t="shared" ref="G9:G16" si="1">E9-F9</f>
        <v>-5000</v>
      </c>
      <c r="H9" s="43">
        <f t="shared" ref="H9:H16" si="2">IFERROR((E9-F9)/F9,"")</f>
        <v>-0.16666666666666666</v>
      </c>
    </row>
    <row r="10" spans="1:8" x14ac:dyDescent="0.25">
      <c r="B10" s="38" t="s">
        <v>64</v>
      </c>
      <c r="C10" s="39">
        <v>80000</v>
      </c>
      <c r="D10" s="39">
        <v>0</v>
      </c>
      <c r="E10" s="40">
        <f t="shared" si="0"/>
        <v>80000</v>
      </c>
      <c r="F10" s="41">
        <v>80000</v>
      </c>
      <c r="G10" s="42">
        <f t="shared" si="1"/>
        <v>0</v>
      </c>
      <c r="H10" s="43">
        <f t="shared" si="2"/>
        <v>0</v>
      </c>
    </row>
    <row r="11" spans="1:8" x14ac:dyDescent="0.25">
      <c r="B11" s="38" t="s">
        <v>65</v>
      </c>
      <c r="C11" s="39">
        <v>220000</v>
      </c>
      <c r="D11" s="39">
        <v>60000</v>
      </c>
      <c r="E11" s="40">
        <f t="shared" si="0"/>
        <v>160000</v>
      </c>
      <c r="F11" s="41">
        <v>172000</v>
      </c>
      <c r="G11" s="42">
        <f t="shared" si="1"/>
        <v>-12000</v>
      </c>
      <c r="H11" s="43">
        <f t="shared" si="2"/>
        <v>-6.9767441860465115E-2</v>
      </c>
    </row>
    <row r="12" spans="1:8" x14ac:dyDescent="0.25">
      <c r="B12" s="38" t="s">
        <v>66</v>
      </c>
      <c r="C12" s="39">
        <v>150000</v>
      </c>
      <c r="D12" s="39">
        <v>70000</v>
      </c>
      <c r="E12" s="40">
        <f t="shared" si="0"/>
        <v>80000</v>
      </c>
      <c r="F12" s="41">
        <v>95000</v>
      </c>
      <c r="G12" s="42">
        <f t="shared" si="1"/>
        <v>-15000</v>
      </c>
      <c r="H12" s="43">
        <f t="shared" si="2"/>
        <v>-0.15789473684210525</v>
      </c>
    </row>
    <row r="13" spans="1:8" x14ac:dyDescent="0.25">
      <c r="B13" s="38" t="s">
        <v>67</v>
      </c>
      <c r="C13" s="39">
        <v>60000</v>
      </c>
      <c r="D13" s="39">
        <v>35000</v>
      </c>
      <c r="E13" s="40">
        <f t="shared" si="0"/>
        <v>25000</v>
      </c>
      <c r="F13" s="41">
        <v>30000</v>
      </c>
      <c r="G13" s="42">
        <f t="shared" si="1"/>
        <v>-5000</v>
      </c>
      <c r="H13" s="43">
        <f t="shared" si="2"/>
        <v>-0.16666666666666666</v>
      </c>
    </row>
    <row r="14" spans="1:8" x14ac:dyDescent="0.25">
      <c r="B14" s="38" t="s">
        <v>68</v>
      </c>
      <c r="C14" s="39">
        <v>45000</v>
      </c>
      <c r="D14" s="39">
        <v>30000</v>
      </c>
      <c r="E14" s="40">
        <f t="shared" si="0"/>
        <v>15000</v>
      </c>
      <c r="F14" s="41">
        <v>17000</v>
      </c>
      <c r="G14" s="42">
        <f t="shared" si="1"/>
        <v>-2000</v>
      </c>
      <c r="H14" s="43">
        <f t="shared" si="2"/>
        <v>-0.11764705882352941</v>
      </c>
    </row>
    <row r="15" spans="1:8" x14ac:dyDescent="0.25">
      <c r="B15" s="38" t="s">
        <v>69</v>
      </c>
      <c r="C15" s="39">
        <v>20000</v>
      </c>
      <c r="D15" s="39">
        <v>0</v>
      </c>
      <c r="E15" s="40">
        <f t="shared" si="0"/>
        <v>20000</v>
      </c>
      <c r="F15" s="41">
        <v>18000</v>
      </c>
      <c r="G15" s="42">
        <f t="shared" si="1"/>
        <v>2000</v>
      </c>
      <c r="H15" s="43">
        <f t="shared" si="2"/>
        <v>0.1111111111111111</v>
      </c>
    </row>
    <row r="16" spans="1:8" x14ac:dyDescent="0.25">
      <c r="B16" s="44" t="s">
        <v>70</v>
      </c>
      <c r="C16" s="45">
        <f>SUM(C9:C15)</f>
        <v>615000</v>
      </c>
      <c r="D16" s="45">
        <f>SUM(D9:D15)</f>
        <v>210000</v>
      </c>
      <c r="E16" s="45">
        <f>SUM(E9:E15)</f>
        <v>405000</v>
      </c>
      <c r="F16" s="45">
        <f>SUM(F9:F15)</f>
        <v>442000</v>
      </c>
      <c r="G16" s="46">
        <f t="shared" si="1"/>
        <v>-37000</v>
      </c>
      <c r="H16" s="47">
        <f t="shared" si="2"/>
        <v>-8.3710407239818999E-2</v>
      </c>
    </row>
    <row r="17" spans="1:8" ht="19.5" customHeight="1" x14ac:dyDescent="0.25">
      <c r="A17" s="15"/>
      <c r="B17" s="20" t="s">
        <v>71</v>
      </c>
      <c r="C17" s="21"/>
      <c r="D17" s="21"/>
      <c r="E17" s="21"/>
      <c r="F17" s="21"/>
      <c r="G17" s="21"/>
      <c r="H17" s="21"/>
    </row>
    <row r="18" spans="1:8" x14ac:dyDescent="0.25">
      <c r="B18" s="38" t="s">
        <v>72</v>
      </c>
      <c r="C18" s="39">
        <v>95000</v>
      </c>
      <c r="D18" s="39">
        <v>5000</v>
      </c>
      <c r="E18" s="40">
        <f t="shared" ref="E18:E24" si="3">C18-D18</f>
        <v>90000</v>
      </c>
      <c r="F18" s="41">
        <v>82000</v>
      </c>
      <c r="G18" s="42">
        <f t="shared" ref="G18:G25" si="4">E18-F18</f>
        <v>8000</v>
      </c>
      <c r="H18" s="43">
        <f t="shared" ref="H18:H25" si="5">IFERROR((E18-F18)/F18,"")</f>
        <v>9.7560975609756101E-2</v>
      </c>
    </row>
    <row r="19" spans="1:8" x14ac:dyDescent="0.25">
      <c r="B19" s="38" t="s">
        <v>73</v>
      </c>
      <c r="C19" s="39">
        <v>40000</v>
      </c>
      <c r="D19" s="39">
        <v>0</v>
      </c>
      <c r="E19" s="40">
        <f t="shared" si="3"/>
        <v>40000</v>
      </c>
      <c r="F19" s="41">
        <v>35000</v>
      </c>
      <c r="G19" s="42">
        <f t="shared" si="4"/>
        <v>5000</v>
      </c>
      <c r="H19" s="43">
        <f t="shared" si="5"/>
        <v>0.14285714285714285</v>
      </c>
    </row>
    <row r="20" spans="1:8" x14ac:dyDescent="0.25">
      <c r="B20" s="38" t="s">
        <v>74</v>
      </c>
      <c r="C20" s="39">
        <v>130000</v>
      </c>
      <c r="D20" s="39">
        <v>8000</v>
      </c>
      <c r="E20" s="40">
        <f t="shared" si="3"/>
        <v>122000</v>
      </c>
      <c r="F20" s="41">
        <v>108000</v>
      </c>
      <c r="G20" s="42">
        <f t="shared" si="4"/>
        <v>14000</v>
      </c>
      <c r="H20" s="43">
        <f t="shared" si="5"/>
        <v>0.12962962962962962</v>
      </c>
    </row>
    <row r="21" spans="1:8" x14ac:dyDescent="0.25">
      <c r="B21" s="38" t="s">
        <v>75</v>
      </c>
      <c r="C21" s="39">
        <v>23000</v>
      </c>
      <c r="D21" s="39">
        <v>0</v>
      </c>
      <c r="E21" s="40">
        <f t="shared" si="3"/>
        <v>23000</v>
      </c>
      <c r="F21" s="41">
        <v>20000</v>
      </c>
      <c r="G21" s="42">
        <f t="shared" si="4"/>
        <v>3000</v>
      </c>
      <c r="H21" s="43">
        <f t="shared" si="5"/>
        <v>0.15</v>
      </c>
    </row>
    <row r="22" spans="1:8" x14ac:dyDescent="0.25">
      <c r="B22" s="38" t="s">
        <v>76</v>
      </c>
      <c r="C22" s="39">
        <v>15000</v>
      </c>
      <c r="D22" s="39">
        <v>0</v>
      </c>
      <c r="E22" s="40">
        <f t="shared" si="3"/>
        <v>15000</v>
      </c>
      <c r="F22" s="41">
        <v>0</v>
      </c>
      <c r="G22" s="42">
        <f t="shared" si="4"/>
        <v>15000</v>
      </c>
      <c r="H22" s="43" t="str">
        <f t="shared" si="5"/>
        <v/>
      </c>
    </row>
    <row r="23" spans="1:8" x14ac:dyDescent="0.25">
      <c r="B23" s="38" t="s">
        <v>77</v>
      </c>
      <c r="C23" s="39">
        <v>65000</v>
      </c>
      <c r="D23" s="39">
        <v>0</v>
      </c>
      <c r="E23" s="40">
        <f t="shared" si="3"/>
        <v>65000</v>
      </c>
      <c r="F23" s="41">
        <v>10000</v>
      </c>
      <c r="G23" s="42">
        <f t="shared" si="4"/>
        <v>55000</v>
      </c>
      <c r="H23" s="43">
        <f t="shared" si="5"/>
        <v>5.5</v>
      </c>
    </row>
    <row r="24" spans="1:8" x14ac:dyDescent="0.25">
      <c r="B24" s="38" t="s">
        <v>78</v>
      </c>
      <c r="C24" s="39">
        <v>5000</v>
      </c>
      <c r="D24" s="39">
        <v>0</v>
      </c>
      <c r="E24" s="40">
        <f t="shared" si="3"/>
        <v>5000</v>
      </c>
      <c r="F24" s="41">
        <v>3000</v>
      </c>
      <c r="G24" s="42">
        <f t="shared" si="4"/>
        <v>2000</v>
      </c>
      <c r="H24" s="43">
        <f t="shared" si="5"/>
        <v>0.66666666666666663</v>
      </c>
    </row>
    <row r="25" spans="1:8" x14ac:dyDescent="0.25">
      <c r="B25" s="44" t="s">
        <v>79</v>
      </c>
      <c r="C25" s="45">
        <f>SUM(C18:C24)</f>
        <v>373000</v>
      </c>
      <c r="D25" s="45">
        <f>SUM(D18:D24)</f>
        <v>13000</v>
      </c>
      <c r="E25" s="45">
        <f>SUM(E18:E24)</f>
        <v>360000</v>
      </c>
      <c r="F25" s="45">
        <f>SUM(F18:F24)</f>
        <v>258000</v>
      </c>
      <c r="G25" s="46">
        <f t="shared" si="4"/>
        <v>102000</v>
      </c>
      <c r="H25" s="47">
        <f t="shared" si="5"/>
        <v>0.39534883720930231</v>
      </c>
    </row>
    <row r="26" spans="1:8" ht="6" customHeight="1" x14ac:dyDescent="0.25"/>
    <row r="27" spans="1:8" ht="25.5" customHeight="1" x14ac:dyDescent="0.25">
      <c r="B27" s="48" t="s">
        <v>80</v>
      </c>
      <c r="C27" s="49">
        <f>C16+C25</f>
        <v>988000</v>
      </c>
      <c r="D27" s="49">
        <f>D16+D25</f>
        <v>223000</v>
      </c>
      <c r="E27" s="49">
        <f>E16+E25</f>
        <v>765000</v>
      </c>
      <c r="F27" s="49">
        <f>F16+F25</f>
        <v>700000</v>
      </c>
      <c r="G27" s="50">
        <f>E27-F27</f>
        <v>65000</v>
      </c>
      <c r="H27" s="51">
        <f>IFERROR((E27-F27)/F27,"")</f>
        <v>9.285714285714286E-2</v>
      </c>
    </row>
  </sheetData>
  <mergeCells count="6">
    <mergeCell ref="B5:H5"/>
    <mergeCell ref="A1:D1"/>
    <mergeCell ref="E1:H1"/>
    <mergeCell ref="A2:D2"/>
    <mergeCell ref="E2:H2"/>
    <mergeCell ref="A3:H3"/>
  </mergeCells>
  <conditionalFormatting sqref="E9:E15">
    <cfRule type="dataBar" priority="2">
      <dataBar>
        <cfvo type="num" val="0"/>
        <cfvo type="max"/>
        <color rgb="FFBFD6C9"/>
      </dataBar>
      <extLst>
        <ext xmlns:x14="http://schemas.microsoft.com/office/spreadsheetml/2009/9/main" uri="{B025F937-C7B1-47D3-B67F-A62EFF666E3E}">
          <x14:id>{62E096A1-6C16-4434-872E-3D689A80F9C6}</x14:id>
        </ext>
      </extLst>
    </cfRule>
  </conditionalFormatting>
  <conditionalFormatting sqref="E18:E24">
    <cfRule type="dataBar" priority="3">
      <dataBar>
        <cfvo type="num" val="0"/>
        <cfvo type="max"/>
        <color rgb="FFBFD6C9"/>
      </dataBar>
      <extLst>
        <ext xmlns:x14="http://schemas.microsoft.com/office/spreadsheetml/2009/9/main" uri="{B025F937-C7B1-47D3-B67F-A62EFF666E3E}">
          <x14:id>{8BA761F0-AA86-4E6D-8083-42B03AB03E77}</x14:id>
        </ext>
      </extLst>
    </cfRule>
  </conditionalFormatting>
  <conditionalFormatting sqref="G9:H27">
    <cfRule type="cellIs" dxfId="5" priority="4" operator="greaterThan">
      <formula>0</formula>
    </cfRule>
    <cfRule type="cellIs" dxfId="4" priority="5" operator="lessThan">
      <formula>0</formula>
    </cfRule>
  </conditionalFormatting>
  <dataValidations count="1">
    <dataValidation type="decimal" operator="greaterThanOrEqual" allowBlank="1" showErrorMessage="1" errorTitle="Saisie invalide" error="Veuillez saisir un montant positif (nombre)." sqref="C9:D25 F9:F25" xr:uid="{00000000-0002-0000-0100-000000000000}">
      <formula1>0</formula1>
      <formula2>0</formula2>
    </dataValidation>
  </dataValidations>
  <printOptions horizontalCentered="1"/>
  <pageMargins left="0.3" right="0.3" top="0.4" bottom="0.4" header="0.511811023622047" footer="0.511811023622047"/>
  <pageSetup paperSize="9"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2E096A1-6C16-4434-872E-3D689A80F9C6}">
            <x14:dataBar axisPosition="none">
              <x14:cfvo type="num">
                <xm:f>0</xm:f>
              </x14:cfvo>
              <x14:cfvo type="max"/>
              <x14:negativeFillColor rgb="FFBFD6C9"/>
            </x14:dataBar>
          </x14:cfRule>
          <xm:sqref>E9:E15</xm:sqref>
        </x14:conditionalFormatting>
        <x14:conditionalFormatting xmlns:xm="http://schemas.microsoft.com/office/excel/2006/main">
          <x14:cfRule type="dataBar" id="{8BA761F0-AA86-4E6D-8083-42B03AB03E77}">
            <x14:dataBar axisPosition="none">
              <x14:cfvo type="num">
                <xm:f>0</xm:f>
              </x14:cfvo>
              <x14:cfvo type="max"/>
              <x14:negativeFillColor rgb="FFBFD6C9"/>
            </x14:dataBar>
          </x14:cfRule>
          <xm:sqref>E18:E24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7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" customWidth="1"/>
    <col min="2" max="2" width="48" customWidth="1"/>
    <col min="3" max="4" width="16" customWidth="1"/>
    <col min="5" max="5" width="15" customWidth="1"/>
    <col min="6" max="6" width="11" customWidth="1"/>
    <col min="7" max="7" width="12" customWidth="1"/>
  </cols>
  <sheetData>
    <row r="1" spans="1:7" ht="19.5" customHeight="1" x14ac:dyDescent="0.25">
      <c r="A1" s="14" t="s">
        <v>81</v>
      </c>
      <c r="B1" s="14"/>
      <c r="C1" s="14"/>
      <c r="D1" s="13" t="s">
        <v>1</v>
      </c>
      <c r="E1" s="13"/>
      <c r="F1" s="13"/>
      <c r="G1" s="13"/>
    </row>
    <row r="2" spans="1:7" ht="33.75" customHeight="1" x14ac:dyDescent="0.25">
      <c r="A2" s="12" t="s">
        <v>82</v>
      </c>
      <c r="B2" s="12"/>
      <c r="C2" s="12"/>
      <c r="D2" s="11" t="s">
        <v>3</v>
      </c>
      <c r="E2" s="11"/>
      <c r="F2" s="11"/>
      <c r="G2" s="11"/>
    </row>
    <row r="3" spans="1:7" ht="3" customHeight="1" x14ac:dyDescent="0.25">
      <c r="A3" s="10"/>
      <c r="B3" s="10"/>
      <c r="C3" s="10"/>
      <c r="D3" s="10"/>
      <c r="E3" s="10"/>
      <c r="F3" s="10"/>
      <c r="G3" s="10"/>
    </row>
    <row r="4" spans="1:7" ht="7.5" customHeight="1" x14ac:dyDescent="0.25"/>
    <row r="5" spans="1:7" x14ac:dyDescent="0.25">
      <c r="B5" s="63" t="s">
        <v>83</v>
      </c>
      <c r="C5" s="63"/>
      <c r="D5" s="63"/>
      <c r="E5" s="63"/>
      <c r="F5" s="63"/>
      <c r="G5" s="63"/>
    </row>
    <row r="6" spans="1:7" ht="3.75" customHeight="1" x14ac:dyDescent="0.25"/>
    <row r="7" spans="1:7" ht="24" customHeight="1" x14ac:dyDescent="0.25">
      <c r="B7" s="36" t="s">
        <v>84</v>
      </c>
      <c r="C7" s="37" t="s">
        <v>20</v>
      </c>
      <c r="D7" s="37" t="s">
        <v>21</v>
      </c>
      <c r="E7" s="37" t="s">
        <v>60</v>
      </c>
      <c r="F7" s="37" t="s">
        <v>61</v>
      </c>
      <c r="G7" s="37" t="s">
        <v>85</v>
      </c>
    </row>
    <row r="8" spans="1:7" ht="19.5" customHeight="1" x14ac:dyDescent="0.25">
      <c r="A8" s="15"/>
      <c r="B8" s="20" t="s">
        <v>14</v>
      </c>
      <c r="C8" s="21"/>
      <c r="D8" s="21"/>
      <c r="E8" s="21"/>
      <c r="F8" s="21"/>
      <c r="G8" s="21"/>
    </row>
    <row r="9" spans="1:7" x14ac:dyDescent="0.25">
      <c r="B9" s="38" t="s">
        <v>86</v>
      </c>
      <c r="C9" s="39">
        <v>200000</v>
      </c>
      <c r="D9" s="41">
        <v>200000</v>
      </c>
      <c r="E9" s="42">
        <f t="shared" ref="E9:E14" si="0">C9-D9</f>
        <v>0</v>
      </c>
      <c r="F9" s="43">
        <f t="shared" ref="F9:F14" si="1">IFERROR((C9-D9)/D9,"")</f>
        <v>0</v>
      </c>
      <c r="G9" s="27">
        <f t="shared" ref="G9:G14" si="2">IFERROR(C9/$C$25,"")</f>
        <v>0.26143790849673204</v>
      </c>
    </row>
    <row r="10" spans="1:7" x14ac:dyDescent="0.25">
      <c r="B10" s="38" t="s">
        <v>87</v>
      </c>
      <c r="C10" s="39">
        <v>90000</v>
      </c>
      <c r="D10" s="41">
        <v>75000</v>
      </c>
      <c r="E10" s="42">
        <f t="shared" si="0"/>
        <v>15000</v>
      </c>
      <c r="F10" s="43">
        <f t="shared" si="1"/>
        <v>0.2</v>
      </c>
      <c r="G10" s="27">
        <f t="shared" si="2"/>
        <v>0.11764705882352941</v>
      </c>
    </row>
    <row r="11" spans="1:7" x14ac:dyDescent="0.25">
      <c r="B11" s="38" t="s">
        <v>88</v>
      </c>
      <c r="C11" s="39">
        <v>20000</v>
      </c>
      <c r="D11" s="41">
        <v>15000</v>
      </c>
      <c r="E11" s="42">
        <f t="shared" si="0"/>
        <v>5000</v>
      </c>
      <c r="F11" s="43">
        <f t="shared" si="1"/>
        <v>0.33333333333333331</v>
      </c>
      <c r="G11" s="27">
        <f t="shared" si="2"/>
        <v>2.6143790849673203E-2</v>
      </c>
    </row>
    <row r="12" spans="1:7" x14ac:dyDescent="0.25">
      <c r="B12" s="38" t="s">
        <v>89</v>
      </c>
      <c r="C12" s="39">
        <v>85000</v>
      </c>
      <c r="D12" s="41">
        <v>60000</v>
      </c>
      <c r="E12" s="42">
        <f t="shared" si="0"/>
        <v>25000</v>
      </c>
      <c r="F12" s="43">
        <f t="shared" si="1"/>
        <v>0.41666666666666669</v>
      </c>
      <c r="G12" s="27">
        <f t="shared" si="2"/>
        <v>0.1111111111111111</v>
      </c>
    </row>
    <row r="13" spans="1:7" x14ac:dyDescent="0.25">
      <c r="B13" s="38" t="s">
        <v>90</v>
      </c>
      <c r="C13" s="39">
        <v>10000</v>
      </c>
      <c r="D13" s="41">
        <v>12000</v>
      </c>
      <c r="E13" s="42">
        <f t="shared" si="0"/>
        <v>-2000</v>
      </c>
      <c r="F13" s="43">
        <f t="shared" si="1"/>
        <v>-0.16666666666666666</v>
      </c>
      <c r="G13" s="27">
        <f t="shared" si="2"/>
        <v>1.3071895424836602E-2</v>
      </c>
    </row>
    <row r="14" spans="1:7" x14ac:dyDescent="0.25">
      <c r="B14" s="44" t="s">
        <v>91</v>
      </c>
      <c r="C14" s="45">
        <f>SUM(C9:C13)</f>
        <v>405000</v>
      </c>
      <c r="D14" s="45">
        <f>SUM(D9:D13)</f>
        <v>362000</v>
      </c>
      <c r="E14" s="46">
        <f t="shared" si="0"/>
        <v>43000</v>
      </c>
      <c r="F14" s="47">
        <f t="shared" si="1"/>
        <v>0.11878453038674033</v>
      </c>
      <c r="G14" s="52">
        <f t="shared" si="2"/>
        <v>0.52941176470588236</v>
      </c>
    </row>
    <row r="15" spans="1:7" ht="19.5" customHeight="1" x14ac:dyDescent="0.25">
      <c r="A15" s="15"/>
      <c r="B15" s="20" t="s">
        <v>92</v>
      </c>
      <c r="C15" s="21"/>
      <c r="D15" s="21"/>
      <c r="E15" s="21"/>
      <c r="F15" s="21"/>
      <c r="G15" s="21"/>
    </row>
    <row r="16" spans="1:7" x14ac:dyDescent="0.25">
      <c r="B16" s="38" t="s">
        <v>93</v>
      </c>
      <c r="C16" s="39">
        <v>25000</v>
      </c>
      <c r="D16" s="41">
        <v>20000</v>
      </c>
      <c r="E16" s="42">
        <f>C16-D16</f>
        <v>5000</v>
      </c>
      <c r="F16" s="43">
        <f>IFERROR((C16-D16)/D16,"")</f>
        <v>0.25</v>
      </c>
      <c r="G16" s="27">
        <f>IFERROR(C16/$C$25,"")</f>
        <v>3.2679738562091505E-2</v>
      </c>
    </row>
    <row r="17" spans="1:7" ht="19.5" customHeight="1" x14ac:dyDescent="0.25">
      <c r="A17" s="15"/>
      <c r="B17" s="20" t="s">
        <v>94</v>
      </c>
      <c r="C17" s="21"/>
      <c r="D17" s="21"/>
      <c r="E17" s="21"/>
      <c r="F17" s="21"/>
      <c r="G17" s="21"/>
    </row>
    <row r="18" spans="1:7" x14ac:dyDescent="0.25">
      <c r="B18" s="38" t="s">
        <v>95</v>
      </c>
      <c r="C18" s="39">
        <v>180000</v>
      </c>
      <c r="D18" s="41">
        <v>200000</v>
      </c>
      <c r="E18" s="42">
        <f t="shared" ref="E18:E23" si="3">C18-D18</f>
        <v>-20000</v>
      </c>
      <c r="F18" s="43">
        <f t="shared" ref="F18:F23" si="4">IFERROR((C18-D18)/D18,"")</f>
        <v>-0.1</v>
      </c>
      <c r="G18" s="27">
        <f t="shared" ref="G18:G23" si="5">IFERROR(C18/$C$25,"")</f>
        <v>0.23529411764705882</v>
      </c>
    </row>
    <row r="19" spans="1:7" x14ac:dyDescent="0.25">
      <c r="B19" s="38" t="s">
        <v>96</v>
      </c>
      <c r="C19" s="39">
        <v>85000</v>
      </c>
      <c r="D19" s="41">
        <v>70000</v>
      </c>
      <c r="E19" s="42">
        <f t="shared" si="3"/>
        <v>15000</v>
      </c>
      <c r="F19" s="43">
        <f t="shared" si="4"/>
        <v>0.21428571428571427</v>
      </c>
      <c r="G19" s="27">
        <f t="shared" si="5"/>
        <v>0.1111111111111111</v>
      </c>
    </row>
    <row r="20" spans="1:7" x14ac:dyDescent="0.25">
      <c r="B20" s="38" t="s">
        <v>97</v>
      </c>
      <c r="C20" s="39">
        <v>55000</v>
      </c>
      <c r="D20" s="41">
        <v>40000</v>
      </c>
      <c r="E20" s="42">
        <f t="shared" si="3"/>
        <v>15000</v>
      </c>
      <c r="F20" s="43">
        <f t="shared" si="4"/>
        <v>0.375</v>
      </c>
      <c r="G20" s="27">
        <f t="shared" si="5"/>
        <v>7.1895424836601302E-2</v>
      </c>
    </row>
    <row r="21" spans="1:7" x14ac:dyDescent="0.25">
      <c r="B21" s="38" t="s">
        <v>98</v>
      </c>
      <c r="C21" s="39">
        <v>10000</v>
      </c>
      <c r="D21" s="41">
        <v>6000</v>
      </c>
      <c r="E21" s="42">
        <f t="shared" si="3"/>
        <v>4000</v>
      </c>
      <c r="F21" s="43">
        <f t="shared" si="4"/>
        <v>0.66666666666666663</v>
      </c>
      <c r="G21" s="27">
        <f t="shared" si="5"/>
        <v>1.3071895424836602E-2</v>
      </c>
    </row>
    <row r="22" spans="1:7" x14ac:dyDescent="0.25">
      <c r="B22" s="38" t="s">
        <v>99</v>
      </c>
      <c r="C22" s="39">
        <v>5000</v>
      </c>
      <c r="D22" s="41">
        <v>2000</v>
      </c>
      <c r="E22" s="42">
        <f t="shared" si="3"/>
        <v>3000</v>
      </c>
      <c r="F22" s="43">
        <f t="shared" si="4"/>
        <v>1.5</v>
      </c>
      <c r="G22" s="27">
        <f t="shared" si="5"/>
        <v>6.5359477124183009E-3</v>
      </c>
    </row>
    <row r="23" spans="1:7" x14ac:dyDescent="0.25">
      <c r="B23" s="44" t="s">
        <v>100</v>
      </c>
      <c r="C23" s="45">
        <f>SUM(C18:C22)</f>
        <v>335000</v>
      </c>
      <c r="D23" s="45">
        <f>SUM(D18:D22)</f>
        <v>318000</v>
      </c>
      <c r="E23" s="46">
        <f t="shared" si="3"/>
        <v>17000</v>
      </c>
      <c r="F23" s="47">
        <f t="shared" si="4"/>
        <v>5.3459119496855348E-2</v>
      </c>
      <c r="G23" s="52">
        <f t="shared" si="5"/>
        <v>0.43790849673202614</v>
      </c>
    </row>
    <row r="24" spans="1:7" ht="6" customHeight="1" x14ac:dyDescent="0.25"/>
    <row r="25" spans="1:7" ht="25.5" customHeight="1" x14ac:dyDescent="0.25">
      <c r="B25" s="48" t="s">
        <v>101</v>
      </c>
      <c r="C25" s="49">
        <f>C14+C16+C23</f>
        <v>765000</v>
      </c>
      <c r="D25" s="49">
        <f>D14+D16+D23</f>
        <v>700000</v>
      </c>
      <c r="E25" s="50">
        <f>C25-D25</f>
        <v>65000</v>
      </c>
      <c r="F25" s="51">
        <f>IFERROR((C25-D25)/D25,"")</f>
        <v>9.285714285714286E-2</v>
      </c>
      <c r="G25" s="53"/>
    </row>
    <row r="27" spans="1:7" x14ac:dyDescent="0.25">
      <c r="B27" s="20" t="s">
        <v>102</v>
      </c>
      <c r="C27" s="54">
        <f>'Bilan – Actif'!E27-C25</f>
        <v>0</v>
      </c>
      <c r="D27" s="55">
        <f>'Bilan – Actif'!F27-D25</f>
        <v>0</v>
      </c>
      <c r="E27" s="64" t="str">
        <f>IF(ROUND(C27,0)=0,"Bilan équilibré","Déséquilibre à corriger")</f>
        <v>Bilan équilibré</v>
      </c>
      <c r="F27" s="64"/>
      <c r="G27" s="64"/>
    </row>
  </sheetData>
  <mergeCells count="7">
    <mergeCell ref="B5:G5"/>
    <mergeCell ref="E27:G27"/>
    <mergeCell ref="A1:C1"/>
    <mergeCell ref="D1:G1"/>
    <mergeCell ref="A2:C2"/>
    <mergeCell ref="D2:G2"/>
    <mergeCell ref="A3:G3"/>
  </mergeCells>
  <conditionalFormatting sqref="E27">
    <cfRule type="expression" dxfId="3" priority="2">
      <formula>ROUND(C27,0)=0</formula>
    </cfRule>
    <cfRule type="expression" dxfId="2" priority="3">
      <formula>ROUND(C27,0)&lt;&gt;0</formula>
    </cfRule>
  </conditionalFormatting>
  <conditionalFormatting sqref="E9:F25">
    <cfRule type="cellIs" dxfId="1" priority="5" operator="greaterThan">
      <formula>0</formula>
    </cfRule>
    <cfRule type="cellIs" dxfId="0" priority="6" operator="lessThan">
      <formula>0</formula>
    </cfRule>
  </conditionalFormatting>
  <conditionalFormatting sqref="G9:G23">
    <cfRule type="dataBar" priority="4">
      <dataBar>
        <cfvo type="num" val="0"/>
        <cfvo type="max"/>
        <color rgb="FFD8CBA6"/>
      </dataBar>
      <extLst>
        <ext xmlns:x14="http://schemas.microsoft.com/office/spreadsheetml/2009/9/main" uri="{B025F937-C7B1-47D3-B67F-A62EFF666E3E}">
          <x14:id>{553890F0-1B34-43A2-88A4-828128BC56BD}</x14:id>
        </ext>
      </extLst>
    </cfRule>
  </conditionalFormatting>
  <dataValidations count="1">
    <dataValidation type="decimal" operator="greaterThanOrEqual" allowBlank="1" showErrorMessage="1" errorTitle="Saisie invalide" error="Veuillez saisir un montant positif (nombre)." sqref="C9:D23" xr:uid="{00000000-0002-0000-0200-000000000000}">
      <formula1>0</formula1>
      <formula2>0</formula2>
    </dataValidation>
  </dataValidations>
  <printOptions horizontalCentered="1"/>
  <pageMargins left="0.3" right="0.3" top="0.4" bottom="0.4" header="0.511811023622047" footer="0.511811023622047"/>
  <pageSetup paperSize="9"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53890F0-1B34-43A2-88A4-828128BC56BD}">
            <x14:dataBar axisPosition="none">
              <x14:cfvo type="num">
                <xm:f>0</xm:f>
              </x14:cfvo>
              <x14:cfvo type="max"/>
              <x14:negativeFillColor rgb="FFD8CBA6"/>
            </x14:dataBar>
          </x14:cfRule>
          <xm:sqref>G9:G23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2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5" width="30" customWidth="1"/>
  </cols>
  <sheetData>
    <row r="1" spans="1:5" ht="19.5" customHeight="1" x14ac:dyDescent="0.25">
      <c r="A1" s="14" t="s">
        <v>103</v>
      </c>
      <c r="B1" s="14"/>
      <c r="C1" s="13" t="s">
        <v>1</v>
      </c>
      <c r="D1" s="13"/>
      <c r="E1" s="13"/>
    </row>
    <row r="2" spans="1:5" ht="33.75" customHeight="1" x14ac:dyDescent="0.25">
      <c r="A2" s="12" t="s">
        <v>104</v>
      </c>
      <c r="B2" s="12"/>
      <c r="C2" s="11" t="s">
        <v>3</v>
      </c>
      <c r="D2" s="11"/>
      <c r="E2" s="11"/>
    </row>
    <row r="3" spans="1:5" ht="3" customHeight="1" x14ac:dyDescent="0.25">
      <c r="A3" s="10"/>
      <c r="B3" s="10"/>
      <c r="C3" s="10"/>
      <c r="D3" s="10"/>
      <c r="E3" s="10"/>
    </row>
    <row r="4" spans="1:5" ht="7.5" customHeight="1" x14ac:dyDescent="0.25"/>
    <row r="5" spans="1:5" ht="30" customHeight="1" x14ac:dyDescent="0.25">
      <c r="B5" s="65" t="s">
        <v>105</v>
      </c>
      <c r="C5" s="65"/>
      <c r="D5" s="65"/>
      <c r="E5" s="65"/>
    </row>
    <row r="7" spans="1:5" ht="19.5" customHeight="1" x14ac:dyDescent="0.25">
      <c r="A7" s="15"/>
      <c r="B7" s="20" t="s">
        <v>106</v>
      </c>
      <c r="C7" s="21"/>
      <c r="D7" s="21"/>
      <c r="E7" s="21"/>
    </row>
    <row r="8" spans="1:5" ht="30" customHeight="1" x14ac:dyDescent="0.25">
      <c r="B8" s="56" t="s">
        <v>107</v>
      </c>
      <c r="C8" s="66" t="s">
        <v>108</v>
      </c>
      <c r="D8" s="66"/>
      <c r="E8" s="66"/>
    </row>
    <row r="9" spans="1:5" ht="30" customHeight="1" x14ac:dyDescent="0.25">
      <c r="B9" s="56" t="s">
        <v>109</v>
      </c>
      <c r="C9" s="66" t="s">
        <v>110</v>
      </c>
      <c r="D9" s="66"/>
      <c r="E9" s="66"/>
    </row>
    <row r="10" spans="1:5" ht="30" customHeight="1" x14ac:dyDescent="0.25">
      <c r="B10" s="56" t="s">
        <v>111</v>
      </c>
      <c r="C10" s="66" t="s">
        <v>112</v>
      </c>
      <c r="D10" s="66"/>
      <c r="E10" s="66"/>
    </row>
    <row r="11" spans="1:5" ht="30" customHeight="1" x14ac:dyDescent="0.25">
      <c r="B11" s="56" t="s">
        <v>113</v>
      </c>
      <c r="C11" s="66" t="s">
        <v>114</v>
      </c>
      <c r="D11" s="66"/>
      <c r="E11" s="66"/>
    </row>
    <row r="13" spans="1:5" ht="19.5" customHeight="1" x14ac:dyDescent="0.25">
      <c r="A13" s="15"/>
      <c r="B13" s="20" t="s">
        <v>115</v>
      </c>
      <c r="C13" s="21"/>
      <c r="D13" s="21"/>
      <c r="E13" s="21"/>
    </row>
    <row r="14" spans="1:5" ht="25.5" customHeight="1" x14ac:dyDescent="0.25">
      <c r="B14" s="56" t="s">
        <v>116</v>
      </c>
      <c r="C14" s="66" t="s">
        <v>117</v>
      </c>
      <c r="D14" s="66"/>
      <c r="E14" s="66"/>
    </row>
    <row r="15" spans="1:5" ht="25.5" customHeight="1" x14ac:dyDescent="0.25">
      <c r="B15" s="56" t="s">
        <v>118</v>
      </c>
      <c r="C15" s="66" t="s">
        <v>119</v>
      </c>
      <c r="D15" s="66"/>
      <c r="E15" s="66"/>
    </row>
    <row r="16" spans="1:5" ht="25.5" customHeight="1" x14ac:dyDescent="0.25">
      <c r="B16" s="56" t="s">
        <v>120</v>
      </c>
      <c r="C16" s="66" t="s">
        <v>121</v>
      </c>
      <c r="D16" s="66"/>
      <c r="E16" s="66"/>
    </row>
    <row r="18" spans="1:5" ht="19.5" customHeight="1" x14ac:dyDescent="0.25">
      <c r="A18" s="15"/>
      <c r="B18" s="20" t="s">
        <v>122</v>
      </c>
      <c r="C18" s="21"/>
      <c r="D18" s="21"/>
      <c r="E18" s="21"/>
    </row>
    <row r="19" spans="1:5" ht="25.5" customHeight="1" x14ac:dyDescent="0.25">
      <c r="B19" s="56" t="s">
        <v>26</v>
      </c>
      <c r="C19" s="66" t="s">
        <v>123</v>
      </c>
      <c r="D19" s="66"/>
      <c r="E19" s="66"/>
    </row>
    <row r="20" spans="1:5" ht="25.5" customHeight="1" x14ac:dyDescent="0.25">
      <c r="B20" s="56" t="s">
        <v>28</v>
      </c>
      <c r="C20" s="66" t="s">
        <v>124</v>
      </c>
      <c r="D20" s="66"/>
      <c r="E20" s="66"/>
    </row>
    <row r="21" spans="1:5" ht="25.5" customHeight="1" x14ac:dyDescent="0.25">
      <c r="B21" s="56" t="s">
        <v>125</v>
      </c>
      <c r="C21" s="66" t="s">
        <v>126</v>
      </c>
      <c r="D21" s="66"/>
      <c r="E21" s="66"/>
    </row>
    <row r="22" spans="1:5" ht="25.5" customHeight="1" x14ac:dyDescent="0.25">
      <c r="B22" s="56" t="s">
        <v>32</v>
      </c>
      <c r="C22" s="66" t="s">
        <v>127</v>
      </c>
      <c r="D22" s="66"/>
      <c r="E22" s="66"/>
    </row>
    <row r="23" spans="1:5" ht="25.5" customHeight="1" x14ac:dyDescent="0.25">
      <c r="B23" s="56" t="s">
        <v>34</v>
      </c>
      <c r="C23" s="66" t="s">
        <v>128</v>
      </c>
      <c r="D23" s="66"/>
      <c r="E23" s="66"/>
    </row>
    <row r="24" spans="1:5" ht="25.5" customHeight="1" x14ac:dyDescent="0.25">
      <c r="B24" s="56" t="s">
        <v>36</v>
      </c>
      <c r="C24" s="66" t="s">
        <v>129</v>
      </c>
      <c r="D24" s="66"/>
      <c r="E24" s="66"/>
    </row>
    <row r="26" spans="1:5" ht="19.5" customHeight="1" x14ac:dyDescent="0.25">
      <c r="A26" s="15"/>
      <c r="B26" s="20" t="s">
        <v>130</v>
      </c>
      <c r="C26" s="21"/>
      <c r="D26" s="21"/>
      <c r="E26" s="21"/>
    </row>
    <row r="27" spans="1:5" ht="21.75" customHeight="1" x14ac:dyDescent="0.25">
      <c r="B27" s="57" t="s">
        <v>131</v>
      </c>
      <c r="C27" s="66" t="s">
        <v>132</v>
      </c>
      <c r="D27" s="66"/>
      <c r="E27" s="66"/>
    </row>
    <row r="28" spans="1:5" ht="21.75" customHeight="1" x14ac:dyDescent="0.25">
      <c r="B28" s="58" t="s">
        <v>133</v>
      </c>
      <c r="C28" s="66" t="s">
        <v>134</v>
      </c>
      <c r="D28" s="66"/>
      <c r="E28" s="66"/>
    </row>
    <row r="29" spans="1:5" ht="21.75" customHeight="1" x14ac:dyDescent="0.25">
      <c r="B29" s="58" t="s">
        <v>135</v>
      </c>
      <c r="C29" s="66" t="s">
        <v>136</v>
      </c>
      <c r="D29" s="66"/>
      <c r="E29" s="66"/>
    </row>
    <row r="30" spans="1:5" ht="21.75" customHeight="1" x14ac:dyDescent="0.25">
      <c r="B30" s="58" t="s">
        <v>137</v>
      </c>
      <c r="C30" s="66" t="s">
        <v>138</v>
      </c>
      <c r="D30" s="66"/>
      <c r="E30" s="66"/>
    </row>
    <row r="31" spans="1:5" ht="21.75" customHeight="1" x14ac:dyDescent="0.25">
      <c r="B31" s="58" t="s">
        <v>139</v>
      </c>
      <c r="C31" s="66" t="s">
        <v>140</v>
      </c>
      <c r="D31" s="66"/>
      <c r="E31" s="66"/>
    </row>
    <row r="32" spans="1:5" ht="21.75" customHeight="1" x14ac:dyDescent="0.25">
      <c r="B32" s="58" t="s">
        <v>141</v>
      </c>
      <c r="C32" s="66" t="s">
        <v>142</v>
      </c>
      <c r="D32" s="66"/>
      <c r="E32" s="66"/>
    </row>
  </sheetData>
  <mergeCells count="25">
    <mergeCell ref="C28:E28"/>
    <mergeCell ref="C29:E29"/>
    <mergeCell ref="C30:E30"/>
    <mergeCell ref="C31:E31"/>
    <mergeCell ref="C32:E32"/>
    <mergeCell ref="C21:E21"/>
    <mergeCell ref="C22:E22"/>
    <mergeCell ref="C23:E23"/>
    <mergeCell ref="C24:E24"/>
    <mergeCell ref="C27:E27"/>
    <mergeCell ref="C14:E14"/>
    <mergeCell ref="C15:E15"/>
    <mergeCell ref="C16:E16"/>
    <mergeCell ref="C19:E19"/>
    <mergeCell ref="C20:E20"/>
    <mergeCell ref="B5:E5"/>
    <mergeCell ref="C8:E8"/>
    <mergeCell ref="C9:E9"/>
    <mergeCell ref="C10:E10"/>
    <mergeCell ref="C11:E11"/>
    <mergeCell ref="A1:B1"/>
    <mergeCell ref="C1:E1"/>
    <mergeCell ref="A2:B2"/>
    <mergeCell ref="C2:E2"/>
    <mergeCell ref="A3:E3"/>
  </mergeCells>
  <printOptions horizontalCentered="1"/>
  <pageMargins left="0.3" right="0.3" top="0.4" bottom="0.4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Synthèse</vt:lpstr>
      <vt:lpstr>Bilan – Actif</vt:lpstr>
      <vt:lpstr>Bilan – Passif</vt:lpstr>
      <vt:lpstr>Mode d'emploi</vt:lpstr>
      <vt:lpstr>Synthèse!Druckbereich</vt:lpstr>
      <vt:lpstr>'Bilan – Actif'!Drucktitel</vt:lpstr>
      <vt:lpstr>'Bilan – Passif'!Drucktitel</vt:lpstr>
      <vt:lpstr>Liste_FormeJuridique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2026-09-22T12:03:14Z</dcterms:created>
  <dcterms:modified xsi:type="dcterms:W3CDTF">2026-09-27T14:22:37Z</dcterms:modified>
  <dc:language>en-US</dc:language>
</cp:coreProperties>
</file>