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business plan salon de coiffure\"/>
    </mc:Choice>
  </mc:AlternateContent>
  <xr:revisionPtr revIDLastSave="0" documentId="13_ncr:1_{A9B1E250-25AE-4DF0-9F06-15CB5B5AEB96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Mode d’emploi" sheetId="1" r:id="rId1"/>
    <sheet name="Hypothèses" sheetId="2" r:id="rId2"/>
    <sheet name="Plan de financement" sheetId="3" r:id="rId3"/>
    <sheet name="Compte de résultat" sheetId="4" r:id="rId4"/>
    <sheet name="Synthèse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9" i="4" l="1"/>
  <c r="D19" i="4"/>
  <c r="C19" i="4"/>
  <c r="C17" i="4"/>
  <c r="C30" i="5" s="1"/>
  <c r="C12" i="4"/>
  <c r="C7" i="4"/>
  <c r="D7" i="4" s="1"/>
  <c r="E32" i="3"/>
  <c r="D32" i="3"/>
  <c r="E23" i="4" s="1"/>
  <c r="E31" i="3"/>
  <c r="D31" i="3"/>
  <c r="D23" i="4" s="1"/>
  <c r="E30" i="3"/>
  <c r="D30" i="3"/>
  <c r="C23" i="4" s="1"/>
  <c r="C30" i="3"/>
  <c r="F30" i="3" s="1"/>
  <c r="C31" i="3" s="1"/>
  <c r="F31" i="3" s="1"/>
  <c r="C32" i="3" s="1"/>
  <c r="F32" i="3" s="1"/>
  <c r="C28" i="3"/>
  <c r="C23" i="3"/>
  <c r="B25" i="3" s="1"/>
  <c r="E16" i="3"/>
  <c r="E21" i="4" s="1"/>
  <c r="C16" i="3"/>
  <c r="E15" i="3"/>
  <c r="E14" i="3"/>
  <c r="E13" i="3"/>
  <c r="E12" i="3"/>
  <c r="E11" i="3"/>
  <c r="E10" i="3"/>
  <c r="E9" i="3"/>
  <c r="E8" i="3"/>
  <c r="E7" i="3"/>
  <c r="E6" i="3"/>
  <c r="D62" i="2"/>
  <c r="C16" i="4" s="1"/>
  <c r="D61" i="2"/>
  <c r="D60" i="2"/>
  <c r="D59" i="2"/>
  <c r="D58" i="2"/>
  <c r="D57" i="2"/>
  <c r="D56" i="2"/>
  <c r="D55" i="2"/>
  <c r="D54" i="2"/>
  <c r="D53" i="2"/>
  <c r="D52" i="2"/>
  <c r="D51" i="2"/>
  <c r="D50" i="2"/>
  <c r="E45" i="2"/>
  <c r="C18" i="4" s="1"/>
  <c r="E44" i="2"/>
  <c r="E43" i="2"/>
  <c r="E42" i="2"/>
  <c r="C38" i="2"/>
  <c r="E34" i="2"/>
  <c r="C6" i="4" s="1"/>
  <c r="E33" i="2"/>
  <c r="E32" i="2"/>
  <c r="E31" i="2"/>
  <c r="E30" i="2"/>
  <c r="E29" i="2"/>
  <c r="E28" i="2"/>
  <c r="E27" i="2"/>
  <c r="E26" i="2"/>
  <c r="E25" i="2"/>
  <c r="C11" i="4" l="1"/>
  <c r="C8" i="4"/>
  <c r="D6" i="4"/>
  <c r="D12" i="4"/>
  <c r="E7" i="4"/>
  <c r="E12" i="4" s="1"/>
  <c r="F19" i="4"/>
  <c r="C34" i="5"/>
  <c r="F23" i="4"/>
  <c r="C29" i="5"/>
  <c r="F16" i="4"/>
  <c r="D16" i="4"/>
  <c r="E16" i="4" s="1"/>
  <c r="C16" i="5"/>
  <c r="F12" i="4"/>
  <c r="C31" i="5"/>
  <c r="F18" i="4"/>
  <c r="D18" i="4"/>
  <c r="E18" i="4" s="1"/>
  <c r="C21" i="4"/>
  <c r="D21" i="4"/>
  <c r="C24" i="3"/>
  <c r="D17" i="4"/>
  <c r="E17" i="4" s="1"/>
  <c r="C28" i="5"/>
  <c r="C32" i="5"/>
  <c r="D11" i="4" l="1"/>
  <c r="D8" i="4"/>
  <c r="E6" i="4"/>
  <c r="C33" i="5"/>
  <c r="F21" i="4"/>
  <c r="C15" i="5"/>
  <c r="C13" i="5"/>
  <c r="B6" i="5"/>
  <c r="F8" i="4"/>
  <c r="C13" i="4"/>
  <c r="C21" i="5"/>
  <c r="C17" i="5"/>
  <c r="C14" i="5"/>
  <c r="F17" i="4"/>
  <c r="C12" i="5"/>
  <c r="F11" i="4"/>
  <c r="C27" i="5"/>
  <c r="C20" i="4" l="1"/>
  <c r="F13" i="4"/>
  <c r="E11" i="4"/>
  <c r="E8" i="4"/>
  <c r="D13" i="4"/>
  <c r="D20" i="4" s="1"/>
  <c r="D21" i="5"/>
  <c r="D22" i="4" l="1"/>
  <c r="D24" i="4" s="1"/>
  <c r="D22" i="5"/>
  <c r="E13" i="4"/>
  <c r="E20" i="4" s="1"/>
  <c r="E21" i="5"/>
  <c r="E9" i="5"/>
  <c r="B9" i="5"/>
  <c r="C22" i="4"/>
  <c r="C22" i="5"/>
  <c r="F20" i="4"/>
  <c r="E22" i="4" l="1"/>
  <c r="E24" i="4" s="1"/>
  <c r="E22" i="5"/>
  <c r="C24" i="4"/>
  <c r="F22" i="4"/>
  <c r="D25" i="4"/>
  <c r="D26" i="4" s="1"/>
  <c r="D23" i="5" l="1"/>
  <c r="D27" i="4"/>
  <c r="C25" i="4"/>
  <c r="F25" i="4" s="1"/>
  <c r="F24" i="4"/>
  <c r="E25" i="4"/>
  <c r="E26" i="4" s="1"/>
  <c r="E23" i="5" l="1"/>
  <c r="E27" i="4"/>
  <c r="C26" i="4"/>
  <c r="C9" i="5" l="1"/>
  <c r="E6" i="5"/>
  <c r="C23" i="5"/>
  <c r="C27" i="4"/>
  <c r="F26" i="4"/>
  <c r="F9" i="5" l="1"/>
  <c r="F27" i="4"/>
</calcChain>
</file>

<file path=xl/sharedStrings.xml><?xml version="1.0" encoding="utf-8"?>
<sst xmlns="http://schemas.openxmlformats.org/spreadsheetml/2006/main" count="220" uniqueCount="203">
  <si>
    <t>BUSINESS PLAN — SALON DE COIFFURE</t>
  </si>
  <si>
    <t>Prévisionnel financier prêt à compléter — mode d’emploi</t>
  </si>
  <si>
    <t>À QUOI SERT CE CLASSEUR ?</t>
  </si>
  <si>
    <t>Ce business plan chiffré (ou « prévisionnel financier ») démontre la viabilité et la rentabilité de votre projet de salon de coiffure. C’est le document clé pour convaincre une banque ou un investisseur.</t>
  </si>
  <si>
    <t>Vous ne saisissez que vos hypothèses ; le plan de financement, le compte de résultat sur 3 ans, le seuil de rentabilité et les indicateurs se calculent automatiquement.</t>
  </si>
  <si>
    <t>COMMENT L’UTILISER ?</t>
  </si>
  <si>
    <t>1.</t>
  </si>
  <si>
    <t>Complétez l’onglet « Hypothèses » : profil du salon, prestations, prix, volumes, personnel et charges.</t>
  </si>
  <si>
    <t>2.</t>
  </si>
  <si>
    <t>Renseignez l’onglet « Plan de financement » : besoins de démarrage et ressources (apport, emprunt).</t>
  </si>
  <si>
    <t>3.</t>
  </si>
  <si>
    <t>Vérifiez que le plan de financement est équilibré (message vert).</t>
  </si>
  <si>
    <t>4.</t>
  </si>
  <si>
    <t>Consultez le « Compte de résultat » : chiffre d’affaires, marges, EBE et résultat net sur 3 ans.</t>
  </si>
  <si>
    <t>5.</t>
  </si>
  <si>
    <t>Analysez l’onglet « Synthèse » : rentabilité, seuil, point mort et graphiques.</t>
  </si>
  <si>
    <t>CONTENU DU CLASSEUR</t>
  </si>
  <si>
    <t>Hypothèses</t>
  </si>
  <si>
    <t>Toutes vos données d’entrée : prestations, prix, volumes, personnel, charges et paramètres.</t>
  </si>
  <si>
    <t>Plan de financement</t>
  </si>
  <si>
    <t>Besoins de démarrage, ressources, équilibre et échéancier de l’emprunt.</t>
  </si>
  <si>
    <t>Compte de résultat</t>
  </si>
  <si>
    <t>Projection sur 3 ans : CA, marges, EBE, résultat net et CAF.</t>
  </si>
  <si>
    <t>Synthèse</t>
  </si>
  <si>
    <t>Indicateurs clés, seuil de rentabilité, point mort et graphiques.</t>
  </si>
  <si>
    <t>REPÈRES DU SECTEUR</t>
  </si>
  <si>
    <t>Frais de personnel</t>
  </si>
  <si>
    <t>Environ 55 % du chiffre d’affaires dans un salon : le poste le plus lourd.</t>
  </si>
  <si>
    <t>Achats et charges externes</t>
  </si>
  <si>
    <t>De l’ordre de 20 à 25 % du CA (loyer, énergie, produits, assurances…).</t>
  </si>
  <si>
    <t>Revente de produits</t>
  </si>
  <si>
    <t>Peut représenter jusqu’à 13 % du CA : un vrai levier de marge.</t>
  </si>
  <si>
    <t>Point mort</t>
  </si>
  <si>
    <t>Nombre de jours d’activité nécessaires pour couvrir toutes les charges.</t>
  </si>
  <si>
    <t>BONNES PRATIQUES</t>
  </si>
  <si>
    <t>•</t>
  </si>
  <si>
    <t>Ne saisissez que dans les cellules sur fond crème ; les cellules blanches sont calculées automatiquement.</t>
  </si>
  <si>
    <t>Soignez vos hypothèses de volumes : ce sont elles qui déterminent la crédibilité du prévisionnel.</t>
  </si>
  <si>
    <t>Un plan de financement doit toujours être équilibré (ressources = besoins).</t>
  </si>
  <si>
    <t>Le résultat net doit être positif dès que possible ; sinon, revoyez prix, volumes ou charges.</t>
  </si>
  <si>
    <t>Présentez toujours ce fichier accompagné d’une partie rédigée (projet, marché, stratégie).</t>
  </si>
  <si>
    <t>Modèle générique — les chiffres présentés sont fictifs et servent uniquement d’exemple.</t>
  </si>
  <si>
    <t>HYPOTHÈSES DU PROJET</t>
  </si>
  <si>
    <t>Renseignez les cellules sur fond crème : tous les tableaux financiers se calculent automatiquement.</t>
  </si>
  <si>
    <t>PROFIL DU SALON</t>
  </si>
  <si>
    <t>Nom du salon</t>
  </si>
  <si>
    <t>Salon Éclat Studio</t>
  </si>
  <si>
    <t>Type de salon</t>
  </si>
  <si>
    <t>Mixte</t>
  </si>
  <si>
    <t>Ville</t>
  </si>
  <si>
    <t>Lyon</t>
  </si>
  <si>
    <t>Date d’ouverture</t>
  </si>
  <si>
    <t>Nombre de fauteuils</t>
  </si>
  <si>
    <t>Jours d’ouverture par an</t>
  </si>
  <si>
    <t>PARAMÈTRES FINANCIERS</t>
  </si>
  <si>
    <t>Croissance du CA – Année 2</t>
  </si>
  <si>
    <t>Croissance du CA – Année 3</t>
  </si>
  <si>
    <t>Inflation annuelle des charges</t>
  </si>
  <si>
    <t>Coût des produits techniques (% du CA prestations)</t>
  </si>
  <si>
    <t>Taux de marge sur la revente de produits</t>
  </si>
  <si>
    <t>Charges patronales (% du salaire brut)</t>
  </si>
  <si>
    <t>Taux d’impôt sur les bénéfices</t>
  </si>
  <si>
    <t>Taux d’intérêt de l’emprunt</t>
  </si>
  <si>
    <t>Durée de l’emprunt (années)</t>
  </si>
  <si>
    <t>PRESTATIONS – ANNÉE 1</t>
  </si>
  <si>
    <t>Prestation</t>
  </si>
  <si>
    <t>Prix moyen</t>
  </si>
  <si>
    <t>Volume / an</t>
  </si>
  <si>
    <t>CA annuel</t>
  </si>
  <si>
    <t>Coupe femme</t>
  </si>
  <si>
    <t>Coupe homme</t>
  </si>
  <si>
    <t>Coupe enfant</t>
  </si>
  <si>
    <t>Coloration</t>
  </si>
  <si>
    <t>Mèches / Balayage</t>
  </si>
  <si>
    <t>Brushing / Coiffage</t>
  </si>
  <si>
    <t>Soin capillaire</t>
  </si>
  <si>
    <t>Permanente</t>
  </si>
  <si>
    <t>Barbe / Rasage</t>
  </si>
  <si>
    <t>Total CA prestations</t>
  </si>
  <si>
    <t>REVENTE DE PRODUITS – ANNÉE 1</t>
  </si>
  <si>
    <t>Chiffre d’affaires revente (Année 1)</t>
  </si>
  <si>
    <t>Coût d’achat des produits revendus</t>
  </si>
  <si>
    <t>PERSONNEL</t>
  </si>
  <si>
    <t>Poste</t>
  </si>
  <si>
    <t>Nombre</t>
  </si>
  <si>
    <t>Salaire brut mensuel</t>
  </si>
  <si>
    <t>Coût annuel chargé</t>
  </si>
  <si>
    <t>Coiffeur(se) confirmé(e)</t>
  </si>
  <si>
    <t>Coiffeur(se) junior</t>
  </si>
  <si>
    <t>Apprenti(e)</t>
  </si>
  <si>
    <t>Total coût salariés (chargé)</t>
  </si>
  <si>
    <t>Rémunération du dirigeant (chargée, €/an)</t>
  </si>
  <si>
    <t>CHARGES EXTERNES</t>
  </si>
  <si>
    <t>Montant mensuel</t>
  </si>
  <si>
    <t>Montant annuel</t>
  </si>
  <si>
    <t>Loyer du local</t>
  </si>
  <si>
    <t>Charges locatives &amp; copropriété</t>
  </si>
  <si>
    <t>Énergie (électricité, eau)</t>
  </si>
  <si>
    <t>Assurances (RC pro, local)</t>
  </si>
  <si>
    <t>Honoraires expert-comptable</t>
  </si>
  <si>
    <t>Téléphonie &amp; Internet</t>
  </si>
  <si>
    <t>Publicité &amp; marketing</t>
  </si>
  <si>
    <t>Entretien, blanchisserie, petit équipement</t>
  </si>
  <si>
    <t>Fournitures &amp; produits d’accueil</t>
  </si>
  <si>
    <t>Frais bancaires &amp; TPE</t>
  </si>
  <si>
    <t>Logiciel de caisse &amp; prise de RDV</t>
  </si>
  <si>
    <t>Autres charges externes</t>
  </si>
  <si>
    <t>Total charges externes</t>
  </si>
  <si>
    <t>IMPÔTS &amp; TAXES</t>
  </si>
  <si>
    <t>Impôts et taxes (CFE, CVAE, etc. €/an)</t>
  </si>
  <si>
    <t>Types disponibles :</t>
  </si>
  <si>
    <t>Homme</t>
  </si>
  <si>
    <t>Femme</t>
  </si>
  <si>
    <t>Barbershop</t>
  </si>
  <si>
    <t>À domicile</t>
  </si>
  <si>
    <t>PLAN DE FINANCEMENT</t>
  </si>
  <si>
    <t>Ce qu’il faut financer au démarrage (besoins) et comment le financer (ressources).</t>
  </si>
  <si>
    <t>BESOINS DE DÉMARRAGE</t>
  </si>
  <si>
    <t>Montant</t>
  </si>
  <si>
    <t>Durée amort. (ans)</t>
  </si>
  <si>
    <t>Dotation annuelle</t>
  </si>
  <si>
    <t>Frais d’établissement &amp; immatriculation</t>
  </si>
  <si>
    <t>Droit au bail / fonds de commerce</t>
  </si>
  <si>
    <t>Travaux &amp; aménagement du local</t>
  </si>
  <si>
    <t>Matériel de coiffure (bacs, fauteuils, séchoirs…)</t>
  </si>
  <si>
    <t>Mobilier &amp; agencement</t>
  </si>
  <si>
    <t>Matériel informatique &amp; caisse</t>
  </si>
  <si>
    <t>Enseigne &amp; communication de lancement</t>
  </si>
  <si>
    <t>Stock initial de produits</t>
  </si>
  <si>
    <t>Dépôt de garantie du local</t>
  </si>
  <si>
    <t>Trésorerie de démarrage</t>
  </si>
  <si>
    <t>TOTAL DES BESOINS</t>
  </si>
  <si>
    <t>RESSOURCES DE FINANCEMENT</t>
  </si>
  <si>
    <t>Source</t>
  </si>
  <si>
    <t>Apport personnel</t>
  </si>
  <si>
    <t>Emprunt bancaire</t>
  </si>
  <si>
    <t>Subventions &amp; aides</t>
  </si>
  <si>
    <t>TOTAL DES RESSOURCES</t>
  </si>
  <si>
    <t>Écart ressources − besoins</t>
  </si>
  <si>
    <t>EMPRUNT BANCAIRE – REMBOURSEMENT</t>
  </si>
  <si>
    <t>Mensualité de l’emprunt</t>
  </si>
  <si>
    <t>Détail annuel</t>
  </si>
  <si>
    <t>Capital dû (début)</t>
  </si>
  <si>
    <t>Intérêts</t>
  </si>
  <si>
    <t>Capital remboursé</t>
  </si>
  <si>
    <t>Capital dû (fin)</t>
  </si>
  <si>
    <t>Année 1</t>
  </si>
  <si>
    <t>Année 2</t>
  </si>
  <si>
    <t>Année 3</t>
  </si>
  <si>
    <t>COMPTE DE RÉSULTAT PRÉVISIONNEL</t>
  </si>
  <si>
    <t>Projection sur 3 ans (2027-2029) — calculée automatiquement à partir des hypothèses.</t>
  </si>
  <si>
    <t>Année 1 (2027)</t>
  </si>
  <si>
    <t>Année 2 (2028)</t>
  </si>
  <si>
    <t>Année 3 (2029)</t>
  </si>
  <si>
    <t>% du CA (A1)</t>
  </si>
  <si>
    <t>PRODUITS D’EXPLOITATION</t>
  </si>
  <si>
    <t>Chiffre d’affaires prestations</t>
  </si>
  <si>
    <t>Chiffre d’affaires revente de produits</t>
  </si>
  <si>
    <t>CHIFFRE D’AFFAIRES TOTAL (HT)</t>
  </si>
  <si>
    <t>CHARGES VARIABLES</t>
  </si>
  <si>
    <t>Achats de produits techniques</t>
  </si>
  <si>
    <t>Achats de produits revendus</t>
  </si>
  <si>
    <t>MARGE GLOBALE</t>
  </si>
  <si>
    <t>CHARGES D’EXPLOITATION</t>
  </si>
  <si>
    <t>Charges externes</t>
  </si>
  <si>
    <t>Impôts et taxes</t>
  </si>
  <si>
    <t>Charges de personnel (salariés)</t>
  </si>
  <si>
    <t>Rémunération du dirigeant</t>
  </si>
  <si>
    <t>EXCÉDENT BRUT D’EXPLOITATION (EBE)</t>
  </si>
  <si>
    <t>Dotations aux amortissements</t>
  </si>
  <si>
    <t>RÉSULTAT D’EXPLOITATION</t>
  </si>
  <si>
    <t>Charges financières (intérêts d’emprunt)</t>
  </si>
  <si>
    <t>RÉSULTAT COURANT AVANT IMPÔT</t>
  </si>
  <si>
    <t>Impôt sur les bénéfices</t>
  </si>
  <si>
    <t>RÉSULTAT NET</t>
  </si>
  <si>
    <t>Capacité d’autofinancement (CAF)</t>
  </si>
  <si>
    <t>SYNTHÈSE &amp; RENTABILITÉ</t>
  </si>
  <si>
    <t>Indicateurs clés et seuil de rentabilité — Année 1 (2027).</t>
  </si>
  <si>
    <t>INDICATEURS CLÉS – ANNÉE 1</t>
  </si>
  <si>
    <t>Chiffre d’affaires HT</t>
  </si>
  <si>
    <t>Résultat net</t>
  </si>
  <si>
    <t>EBE</t>
  </si>
  <si>
    <t>Taux de marge nette</t>
  </si>
  <si>
    <t>EBE / CA</t>
  </si>
  <si>
    <t>CAF</t>
  </si>
  <si>
    <t>SEUIL DE RENTABILITÉ – ANNÉE 1</t>
  </si>
  <si>
    <t>Charges variables</t>
  </si>
  <si>
    <t>Taux de marge sur coûts variables</t>
  </si>
  <si>
    <t>Charges fixes</t>
  </si>
  <si>
    <t>Seuil de rentabilité (CA)</t>
  </si>
  <si>
    <t>Point mort (jours d’activité)</t>
  </si>
  <si>
    <t>Marge de sécurité</t>
  </si>
  <si>
    <t>ÉVOLUTION SUR 3 ANS</t>
  </si>
  <si>
    <t>(€)</t>
  </si>
  <si>
    <t>Chiffre d’affaires</t>
  </si>
  <si>
    <t>RÉPARTITION DES CHARGES – ANNÉE 1</t>
  </si>
  <si>
    <t>Produits techniques</t>
  </si>
  <si>
    <t>Produits revendus</t>
  </si>
  <si>
    <t>Impôts &amp; taxes</t>
  </si>
  <si>
    <t>Personnel salarié</t>
  </si>
  <si>
    <t>Rémunération dirigeant</t>
  </si>
  <si>
    <t>Amortissements</t>
  </si>
  <si>
    <t>Charges financières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</si>
</sst>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&quot; €&quot;;\-#,##0&quot; €&quot;;\–"/>
  </numFmts>
  <fonts count="25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1"/>
      <color rgb="FFFFFFFF"/>
      <name val="Calibri"/>
      <charset val="1"/>
    </font>
    <font>
      <b/>
      <sz val="12"/>
      <color rgb="FFFFFFFF"/>
      <name val="Calibri"/>
      <charset val="1"/>
    </font>
    <font>
      <sz val="10"/>
      <color rgb="FF2E2430"/>
      <name val="Calibri"/>
      <charset val="1"/>
    </font>
    <font>
      <b/>
      <sz val="11"/>
      <color rgb="FFA6842F"/>
      <name val="Calibri"/>
      <charset val="1"/>
    </font>
    <font>
      <b/>
      <sz val="10"/>
      <color rgb="FFFFFFFF"/>
      <name val="Calibri"/>
      <charset val="1"/>
    </font>
    <font>
      <b/>
      <sz val="10"/>
      <color rgb="FFA6842F"/>
      <name val="Calibri"/>
      <charset val="1"/>
    </font>
    <font>
      <b/>
      <sz val="9"/>
      <color rgb="FF7C7080"/>
      <name val="Calibri"/>
      <charset val="1"/>
    </font>
    <font>
      <b/>
      <sz val="16"/>
      <color rgb="FFFFFFFF"/>
      <name val="Calibri"/>
      <charset val="1"/>
    </font>
    <font>
      <sz val="9"/>
      <color rgb="FF7C7080"/>
      <name val="Calibri"/>
      <charset val="1"/>
    </font>
    <font>
      <b/>
      <sz val="10"/>
      <color rgb="FF2E2430"/>
      <name val="Calibri"/>
      <charset val="1"/>
    </font>
    <font>
      <sz val="10"/>
      <color rgb="FF7A5C00"/>
      <name val="Calibri"/>
      <charset val="1"/>
    </font>
    <font>
      <b/>
      <sz val="10"/>
      <color rgb="FF7A5C00"/>
      <name val="Calibri"/>
      <charset val="1"/>
    </font>
    <font>
      <b/>
      <sz val="11"/>
      <color rgb="FFFFFFFF"/>
      <name val="Calibri"/>
      <charset val="1"/>
    </font>
    <font>
      <sz val="8"/>
      <color rgb="FF7C7080"/>
      <name val="Calibri"/>
      <charset val="1"/>
    </font>
    <font>
      <b/>
      <sz val="11"/>
      <color rgb="FF1E7A32"/>
      <name val="Calibri"/>
      <charset val="1"/>
    </font>
    <font>
      <b/>
      <sz val="11"/>
      <color rgb="FF5B3A5B"/>
      <name val="Calibri"/>
      <charset val="1"/>
    </font>
    <font>
      <b/>
      <sz val="9"/>
      <color rgb="FFFFFFFF"/>
      <name val="Calibri"/>
      <charset val="1"/>
    </font>
    <font>
      <sz val="9"/>
      <color rgb="FF2E2430"/>
      <name val="Calibri"/>
      <charset val="1"/>
    </font>
    <font>
      <b/>
      <sz val="9"/>
      <color rgb="FF2E2430"/>
      <name val="Calibri"/>
      <charset val="1"/>
    </font>
    <font>
      <b/>
      <sz val="18"/>
      <color rgb="FF5B3A5B"/>
      <name val="Calibri"/>
      <charset val="1"/>
    </font>
    <font>
      <b/>
      <sz val="18"/>
      <color rgb="FFA6842F"/>
      <name val="Calibri"/>
      <charset val="1"/>
    </font>
    <font>
      <b/>
      <sz val="13"/>
      <color rgb="FF2E2430"/>
      <name val="Calibri"/>
      <charset val="1"/>
    </font>
    <font>
      <b/>
      <sz val="11"/>
      <color rgb="FF2E2430"/>
      <name val="Calibri"/>
      <charset val="1"/>
    </font>
  </fonts>
  <fills count="13">
    <fill>
      <patternFill patternType="none"/>
    </fill>
    <fill>
      <patternFill patternType="gray125"/>
    </fill>
    <fill>
      <patternFill patternType="solid">
        <fgColor rgb="FF5B3A5B"/>
        <bgColor rgb="FF6E4A6C"/>
      </patternFill>
    </fill>
    <fill>
      <patternFill patternType="solid">
        <fgColor rgb="FF7A4E78"/>
        <bgColor rgb="FF6E4A6C"/>
      </patternFill>
    </fill>
    <fill>
      <patternFill patternType="solid">
        <fgColor rgb="FFE9DCE7"/>
        <bgColor rgb="FFD9D9D9"/>
      </patternFill>
    </fill>
    <fill>
      <patternFill patternType="solid">
        <fgColor rgb="FF9A6E96"/>
        <bgColor rgb="FF8A5E88"/>
      </patternFill>
    </fill>
    <fill>
      <patternFill patternType="solid">
        <fgColor rgb="FFA6842F"/>
        <bgColor rgb="FFC9A24B"/>
      </patternFill>
    </fill>
    <fill>
      <patternFill patternType="solid">
        <fgColor rgb="FFFBF7F5"/>
        <bgColor rgb="FFFFFFFF"/>
      </patternFill>
    </fill>
    <fill>
      <patternFill patternType="solid">
        <fgColor rgb="FFFFF6D9"/>
        <bgColor rgb="FFFBF7F5"/>
      </patternFill>
    </fill>
    <fill>
      <patternFill patternType="solid">
        <fgColor rgb="FFFFFFFF"/>
        <bgColor rgb="FFFBF7F5"/>
      </patternFill>
    </fill>
    <fill>
      <patternFill patternType="solid">
        <fgColor rgb="FF2E2430"/>
        <bgColor rgb="FF003300"/>
      </patternFill>
    </fill>
    <fill>
      <patternFill patternType="solid">
        <fgColor rgb="FFD8EEDD"/>
        <bgColor rgb="FFD9D9D9"/>
      </patternFill>
    </fill>
    <fill>
      <patternFill patternType="solid">
        <fgColor rgb="FFF4ECF2"/>
        <bgColor rgb="FFFBF7F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CDD7"/>
      </left>
      <right style="thin">
        <color rgb="FFD9CDD7"/>
      </right>
      <top style="thin">
        <color rgb="FFD9CDD7"/>
      </top>
      <bottom style="thin">
        <color rgb="FFD9CDD7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2" fillId="8" borderId="2" xfId="0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left" vertical="center"/>
    </xf>
    <xf numFmtId="0" fontId="12" fillId="8" borderId="2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5" fillId="4" borderId="2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11" fillId="4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4" fontId="13" fillId="8" borderId="2" xfId="0" applyNumberFormat="1" applyFont="1" applyFill="1" applyBorder="1" applyAlignment="1">
      <alignment horizontal="center" vertical="center"/>
    </xf>
    <xf numFmtId="1" fontId="13" fillId="8" borderId="2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left" vertical="center"/>
    </xf>
    <xf numFmtId="165" fontId="4" fillId="8" borderId="2" xfId="0" applyNumberFormat="1" applyFont="1" applyFill="1" applyBorder="1" applyAlignment="1">
      <alignment horizontal="center" vertical="center"/>
    </xf>
    <xf numFmtId="3" fontId="4" fillId="8" borderId="2" xfId="0" applyNumberFormat="1" applyFont="1" applyFill="1" applyBorder="1" applyAlignment="1">
      <alignment horizontal="center" vertical="center"/>
    </xf>
    <xf numFmtId="165" fontId="11" fillId="9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5" fontId="14" fillId="3" borderId="1" xfId="0" applyNumberFormat="1" applyFont="1" applyFill="1" applyBorder="1" applyAlignment="1">
      <alignment horizontal="right" vertical="center"/>
    </xf>
    <xf numFmtId="165" fontId="13" fillId="8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165" fontId="4" fillId="9" borderId="2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165" fontId="13" fillId="8" borderId="2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0" fillId="7" borderId="2" xfId="0" applyFont="1" applyFill="1" applyBorder="1" applyAlignment="1">
      <alignment horizontal="left" vertical="center"/>
    </xf>
    <xf numFmtId="0" fontId="4" fillId="9" borderId="2" xfId="0" applyFont="1" applyFill="1" applyBorder="1" applyAlignment="1">
      <alignment horizontal="left" vertical="center" wrapText="1"/>
    </xf>
    <xf numFmtId="165" fontId="4" fillId="8" borderId="2" xfId="0" applyNumberFormat="1" applyFont="1" applyFill="1" applyBorder="1" applyAlignment="1">
      <alignment horizontal="right" vertical="center"/>
    </xf>
    <xf numFmtId="165" fontId="4" fillId="9" borderId="2" xfId="0" applyNumberFormat="1" applyFont="1" applyFill="1" applyBorder="1" applyAlignment="1">
      <alignment horizontal="right" vertical="center"/>
    </xf>
    <xf numFmtId="0" fontId="14" fillId="10" borderId="1" xfId="0" applyFont="1" applyFill="1" applyBorder="1" applyAlignment="1">
      <alignment horizontal="left" vertical="center"/>
    </xf>
    <xf numFmtId="165" fontId="14" fillId="10" borderId="1" xfId="0" applyNumberFormat="1" applyFont="1" applyFill="1" applyBorder="1" applyAlignment="1">
      <alignment horizontal="right" vertical="center"/>
    </xf>
    <xf numFmtId="0" fontId="4" fillId="10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left" vertical="center"/>
    </xf>
    <xf numFmtId="0" fontId="18" fillId="5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1" fillId="12" borderId="2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left" vertical="center"/>
    </xf>
    <xf numFmtId="0" fontId="6" fillId="10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/>
    </xf>
    <xf numFmtId="0" fontId="19" fillId="9" borderId="2" xfId="0" applyFont="1" applyFill="1" applyBorder="1" applyAlignment="1">
      <alignment horizontal="center" vertical="center"/>
    </xf>
    <xf numFmtId="164" fontId="18" fillId="3" borderId="1" xfId="0" applyNumberFormat="1" applyFont="1" applyFill="1" applyBorder="1" applyAlignment="1">
      <alignment horizontal="center" vertical="center"/>
    </xf>
    <xf numFmtId="164" fontId="10" fillId="9" borderId="2" xfId="0" applyNumberFormat="1" applyFont="1" applyFill="1" applyBorder="1" applyAlignment="1">
      <alignment horizontal="center" vertical="center"/>
    </xf>
    <xf numFmtId="165" fontId="11" fillId="4" borderId="2" xfId="0" applyNumberFormat="1" applyFont="1" applyFill="1" applyBorder="1" applyAlignment="1">
      <alignment horizontal="right" vertical="center"/>
    </xf>
    <xf numFmtId="164" fontId="20" fillId="4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164" fontId="18" fillId="2" borderId="1" xfId="0" applyNumberFormat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165" fontId="23" fillId="7" borderId="2" xfId="0" applyNumberFormat="1" applyFont="1" applyFill="1" applyBorder="1" applyAlignment="1">
      <alignment horizontal="center" vertical="center"/>
    </xf>
    <xf numFmtId="164" fontId="23" fillId="7" borderId="2" xfId="0" applyNumberFormat="1" applyFont="1" applyFill="1" applyBorder="1" applyAlignment="1">
      <alignment horizontal="center" vertical="center"/>
    </xf>
    <xf numFmtId="165" fontId="24" fillId="9" borderId="2" xfId="0" applyNumberFormat="1" applyFont="1" applyFill="1" applyBorder="1" applyAlignment="1">
      <alignment horizontal="center" vertical="center"/>
    </xf>
    <xf numFmtId="164" fontId="24" fillId="9" borderId="2" xfId="0" applyNumberFormat="1" applyFont="1" applyFill="1" applyBorder="1" applyAlignment="1">
      <alignment horizontal="center" vertical="center"/>
    </xf>
    <xf numFmtId="165" fontId="5" fillId="7" borderId="2" xfId="0" applyNumberFormat="1" applyFont="1" applyFill="1" applyBorder="1" applyAlignment="1">
      <alignment horizontal="center" vertical="center"/>
    </xf>
    <xf numFmtId="1" fontId="24" fillId="9" borderId="2" xfId="0" applyNumberFormat="1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left" vertical="center"/>
    </xf>
    <xf numFmtId="0" fontId="18" fillId="1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165" fontId="13" fillId="8" borderId="2" xfId="0" applyNumberFormat="1" applyFont="1" applyFill="1" applyBorder="1" applyAlignment="1">
      <alignment horizontal="right" vertical="center"/>
    </xf>
    <xf numFmtId="165" fontId="14" fillId="10" borderId="1" xfId="0" applyNumberFormat="1" applyFont="1" applyFill="1" applyBorder="1" applyAlignment="1">
      <alignment horizontal="right" vertical="center"/>
    </xf>
    <xf numFmtId="165" fontId="11" fillId="9" borderId="2" xfId="0" applyNumberFormat="1" applyFont="1" applyFill="1" applyBorder="1" applyAlignment="1">
      <alignment horizontal="right" vertical="center"/>
    </xf>
    <xf numFmtId="0" fontId="16" fillId="11" borderId="2" xfId="0" applyFont="1" applyFill="1" applyBorder="1" applyAlignment="1">
      <alignment horizontal="center" vertical="center"/>
    </xf>
    <xf numFmtId="165" fontId="17" fillId="9" borderId="2" xfId="0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65" fontId="21" fillId="9" borderId="2" xfId="0" applyNumberFormat="1" applyFont="1" applyFill="1" applyBorder="1" applyAlignment="1">
      <alignment horizontal="center" vertical="center"/>
    </xf>
    <xf numFmtId="165" fontId="22" fillId="9" borderId="2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3">
    <dxf>
      <font>
        <b/>
        <sz val="18"/>
        <color rgb="FFC0392B"/>
        <name val="Calibri"/>
        <charset val="1"/>
      </font>
    </dxf>
    <dxf>
      <font>
        <b/>
        <sz val="12"/>
        <color rgb="FFFFFFFF"/>
        <name val="Calibri"/>
        <charset val="1"/>
      </font>
      <fill>
        <patternFill>
          <bgColor rgb="FFC0392B"/>
        </patternFill>
      </fill>
    </dxf>
    <dxf>
      <font>
        <b/>
        <sz val="11"/>
        <color rgb="FFC0392B"/>
        <name val="Calibri"/>
        <charset val="1"/>
      </font>
      <fill>
        <patternFill>
          <bgColor rgb="FFFBE0E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2"/>
      <rgbColor rgb="FF000080"/>
      <rgbColor rgb="FFA6842F"/>
      <rgbColor rgb="FF800080"/>
      <rgbColor rgb="FF008080"/>
      <rgbColor rgb="FFC0A9BE"/>
      <rgbColor rgb="FF878787"/>
      <rgbColor rgb="FF9A6E96"/>
      <rgbColor rgb="FF7A4E78"/>
      <rgbColor rgb="FFFFF6D9"/>
      <rgbColor rgb="FFF4ECF2"/>
      <rgbColor rgb="FF660066"/>
      <rgbColor rgb="FFFF8080"/>
      <rgbColor rgb="FF0066CC"/>
      <rgbColor rgb="FFD9CD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7F5"/>
      <rgbColor rgb="FFD8EEDD"/>
      <rgbColor rgb="FFFBE0E0"/>
      <rgbColor rgb="FFD9D9D9"/>
      <rgbColor rgb="FFE9DCE7"/>
      <rgbColor rgb="FFCC99FF"/>
      <rgbColor rgb="FFD8BE7A"/>
      <rgbColor rgb="FF4F81BD"/>
      <rgbColor rgb="FF33CCCC"/>
      <rgbColor rgb="FF99CC00"/>
      <rgbColor rgb="FFFFCC00"/>
      <rgbColor rgb="FFC9A24B"/>
      <rgbColor rgb="FFFF6600"/>
      <rgbColor rgb="FF7C7080"/>
      <rgbColor rgb="FFB98FB4"/>
      <rgbColor rgb="FF003366"/>
      <rgbColor rgb="FF8A5E88"/>
      <rgbColor rgb="FF003300"/>
      <rgbColor rgb="FF7A5C00"/>
      <rgbColor rgb="FFC0392B"/>
      <rgbColor rgb="FF6E4A6C"/>
      <rgbColor rgb="FF5B3A5B"/>
      <rgbColor rgb="FF2E24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Répartition des besoins de démarrage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5B3A5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8789-4D96-8F80-3EE4D3768581}"/>
              </c:ext>
            </c:extLst>
          </c:dPt>
          <c:dPt>
            <c:idx val="1"/>
            <c:bubble3D val="0"/>
            <c:spPr>
              <a:solidFill>
                <a:srgbClr val="7A4E7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8789-4D96-8F80-3EE4D3768581}"/>
              </c:ext>
            </c:extLst>
          </c:dPt>
          <c:dPt>
            <c:idx val="2"/>
            <c:bubble3D val="0"/>
            <c:spPr>
              <a:solidFill>
                <a:srgbClr val="9A6E9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8789-4D96-8F80-3EE4D3768581}"/>
              </c:ext>
            </c:extLst>
          </c:dPt>
          <c:dPt>
            <c:idx val="3"/>
            <c:bubble3D val="0"/>
            <c:spPr>
              <a:solidFill>
                <a:srgbClr val="C9A24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8789-4D96-8F80-3EE4D3768581}"/>
              </c:ext>
            </c:extLst>
          </c:dPt>
          <c:dPt>
            <c:idx val="4"/>
            <c:bubble3D val="0"/>
            <c:spPr>
              <a:solidFill>
                <a:srgbClr val="A6842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8789-4D96-8F80-3EE4D3768581}"/>
              </c:ext>
            </c:extLst>
          </c:dPt>
          <c:dPt>
            <c:idx val="5"/>
            <c:bubble3D val="0"/>
            <c:spPr>
              <a:solidFill>
                <a:srgbClr val="B98FB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8789-4D96-8F80-3EE4D3768581}"/>
              </c:ext>
            </c:extLst>
          </c:dPt>
          <c:dPt>
            <c:idx val="6"/>
            <c:bubble3D val="0"/>
            <c:spPr>
              <a:solidFill>
                <a:srgbClr val="8A5E8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8789-4D96-8F80-3EE4D3768581}"/>
              </c:ext>
            </c:extLst>
          </c:dPt>
          <c:dPt>
            <c:idx val="7"/>
            <c:bubble3D val="0"/>
            <c:spPr>
              <a:solidFill>
                <a:srgbClr val="D8BE7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8789-4D96-8F80-3EE4D3768581}"/>
              </c:ext>
            </c:extLst>
          </c:dPt>
          <c:dPt>
            <c:idx val="8"/>
            <c:bubble3D val="0"/>
            <c:spPr>
              <a:solidFill>
                <a:srgbClr val="6E4A6C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1-8789-4D96-8F80-3EE4D3768581}"/>
              </c:ext>
            </c:extLst>
          </c:dPt>
          <c:dPt>
            <c:idx val="9"/>
            <c:bubble3D val="0"/>
            <c:spPr>
              <a:solidFill>
                <a:srgbClr val="C0A9BE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13-8789-4D96-8F80-3EE4D3768581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8789-4D96-8F80-3EE4D3768581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8789-4D96-8F80-3EE4D3768581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8789-4D96-8F80-3EE4D3768581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8789-4D96-8F80-3EE4D3768581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8789-4D96-8F80-3EE4D3768581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B-8789-4D96-8F80-3EE4D3768581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D-8789-4D96-8F80-3EE4D3768581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F-8789-4D96-8F80-3EE4D3768581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11-8789-4D96-8F80-3EE4D3768581}"/>
                </c:ext>
              </c:extLst>
            </c:dLbl>
            <c:dLbl>
              <c:idx val="9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13-8789-4D96-8F80-3EE4D37685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1"/>
            <c:showVal val="1"/>
            <c:showCatName val="1"/>
            <c:showSerName val="1"/>
            <c:showPercent val="1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'Plan de financement'!$B$6:$B$15</c:f>
              <c:strCache>
                <c:ptCount val="10"/>
                <c:pt idx="0">
                  <c:v>Frais d’établissement &amp; immatriculation</c:v>
                </c:pt>
                <c:pt idx="1">
                  <c:v>Droit au bail / fonds de commerce</c:v>
                </c:pt>
                <c:pt idx="2">
                  <c:v>Travaux &amp; aménagement du local</c:v>
                </c:pt>
                <c:pt idx="3">
                  <c:v>Matériel de coiffure (bacs, fauteuils, séchoirs…)</c:v>
                </c:pt>
                <c:pt idx="4">
                  <c:v>Mobilier &amp; agencement</c:v>
                </c:pt>
                <c:pt idx="5">
                  <c:v>Matériel informatique &amp; caisse</c:v>
                </c:pt>
                <c:pt idx="6">
                  <c:v>Enseigne &amp; communication de lancement</c:v>
                </c:pt>
                <c:pt idx="7">
                  <c:v>Stock initial de produits</c:v>
                </c:pt>
                <c:pt idx="8">
                  <c:v>Dépôt de garantie du local</c:v>
                </c:pt>
                <c:pt idx="9">
                  <c:v>Trésorerie de démarrage</c:v>
                </c:pt>
              </c:strCache>
            </c:strRef>
          </c:cat>
          <c:val>
            <c:numRef>
              <c:f>'Plan de financement'!$C$6:$C$15</c:f>
              <c:numCache>
                <c:formatCode>#,##0" €";\-#,##0" €";\–</c:formatCode>
                <c:ptCount val="10"/>
                <c:pt idx="0">
                  <c:v>2500</c:v>
                </c:pt>
                <c:pt idx="1">
                  <c:v>45000</c:v>
                </c:pt>
                <c:pt idx="2">
                  <c:v>35000</c:v>
                </c:pt>
                <c:pt idx="3">
                  <c:v>18000</c:v>
                </c:pt>
                <c:pt idx="4">
                  <c:v>9000</c:v>
                </c:pt>
                <c:pt idx="5">
                  <c:v>3500</c:v>
                </c:pt>
                <c:pt idx="6">
                  <c:v>4000</c:v>
                </c:pt>
                <c:pt idx="7">
                  <c:v>6000</c:v>
                </c:pt>
                <c:pt idx="8">
                  <c:v>3000</c:v>
                </c:pt>
                <c:pt idx="9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789-4D96-8F80-3EE4D3768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Évolution CA / EBE / Résultat net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Synthèse!$B$21</c:f>
              <c:strCache>
                <c:ptCount val="1"/>
                <c:pt idx="0">
                  <c:v>Chiffre d’affaires</c:v>
                </c:pt>
              </c:strCache>
            </c:strRef>
          </c:tx>
          <c:spPr>
            <a:solidFill>
              <a:srgbClr val="7A4E78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Synthèse!$C$20:$E$20</c:f>
              <c:strCache>
                <c:ptCount val="3"/>
                <c:pt idx="0">
                  <c:v>Année 1</c:v>
                </c:pt>
                <c:pt idx="1">
                  <c:v>Année 2</c:v>
                </c:pt>
                <c:pt idx="2">
                  <c:v>Année 3</c:v>
                </c:pt>
              </c:strCache>
            </c:strRef>
          </c:cat>
          <c:val>
            <c:numRef>
              <c:f>Synthèse!$C$21:$E$21</c:f>
              <c:numCache>
                <c:formatCode>#,##0" €";\-#,##0" €";\–</c:formatCode>
                <c:ptCount val="3"/>
                <c:pt idx="0">
                  <c:v>228750</c:v>
                </c:pt>
                <c:pt idx="1">
                  <c:v>247050.00000000003</c:v>
                </c:pt>
                <c:pt idx="2">
                  <c:v>259402.50000000003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C4-4B45-8009-04314D4168A6}"/>
            </c:ext>
          </c:extLst>
        </c:ser>
        <c:ser>
          <c:idx val="1"/>
          <c:order val="1"/>
          <c:tx>
            <c:strRef>
              <c:f>Synthèse!$B$22</c:f>
              <c:strCache>
                <c:ptCount val="1"/>
                <c:pt idx="0">
                  <c:v>EBE</c:v>
                </c:pt>
              </c:strCache>
            </c:strRef>
          </c:tx>
          <c:spPr>
            <a:solidFill>
              <a:srgbClr val="C9A24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Synthèse!$C$20:$E$20</c:f>
              <c:strCache>
                <c:ptCount val="3"/>
                <c:pt idx="0">
                  <c:v>Année 1</c:v>
                </c:pt>
                <c:pt idx="1">
                  <c:v>Année 2</c:v>
                </c:pt>
                <c:pt idx="2">
                  <c:v>Année 3</c:v>
                </c:pt>
              </c:strCache>
            </c:strRef>
          </c:cat>
          <c:val>
            <c:numRef>
              <c:f>Synthèse!$C$22:$E$22</c:f>
              <c:numCache>
                <c:formatCode>#,##0" €";\-#,##0" €";\–</c:formatCode>
                <c:ptCount val="3"/>
                <c:pt idx="0">
                  <c:v>47507</c:v>
                </c:pt>
                <c:pt idx="1">
                  <c:v>60775.640000000029</c:v>
                </c:pt>
                <c:pt idx="2">
                  <c:v>68900.742800000022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C4-4B45-8009-04314D4168A6}"/>
            </c:ext>
          </c:extLst>
        </c:ser>
        <c:ser>
          <c:idx val="2"/>
          <c:order val="2"/>
          <c:tx>
            <c:strRef>
              <c:f>Synthèse!$B$23</c:f>
              <c:strCache>
                <c:ptCount val="1"/>
                <c:pt idx="0">
                  <c:v>Résultat net</c:v>
                </c:pt>
              </c:strCache>
            </c:strRef>
          </c:tx>
          <c:spPr>
            <a:solidFill>
              <a:srgbClr val="5B3A5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Synthèse!$C$20:$E$20</c:f>
              <c:strCache>
                <c:ptCount val="3"/>
                <c:pt idx="0">
                  <c:v>Année 1</c:v>
                </c:pt>
                <c:pt idx="1">
                  <c:v>Année 2</c:v>
                </c:pt>
                <c:pt idx="2">
                  <c:v>Année 3</c:v>
                </c:pt>
              </c:strCache>
            </c:strRef>
          </c:cat>
          <c:val>
            <c:numRef>
              <c:f>Synthèse!$C$23:$E$23</c:f>
              <c:numCache>
                <c:formatCode>#,##0" €";\-#,##0" €";\–</c:formatCode>
                <c:ptCount val="3"/>
                <c:pt idx="0">
                  <c:v>28441.461373124283</c:v>
                </c:pt>
                <c:pt idx="1">
                  <c:v>40068.957844397111</c:v>
                </c:pt>
                <c:pt idx="2">
                  <c:v>47336.865985186632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C4-4B45-8009-04314D416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062950"/>
        <c:axId val="77184029"/>
      </c:barChart>
      <c:catAx>
        <c:axId val="8206295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7184029"/>
        <c:crosses val="autoZero"/>
        <c:auto val="1"/>
        <c:lblAlgn val="ctr"/>
        <c:lblOffset val="100"/>
        <c:noMultiLvlLbl val="0"/>
      </c:catAx>
      <c:valAx>
        <c:axId val="77184029"/>
        <c:scaling>
          <c:orientation val="minMax"/>
        </c:scaling>
        <c:delete val="0"/>
        <c:axPos val="l"/>
        <c:numFmt formatCode="#,##0&quot; €&quot;;\-#,##0&quot; €&quot;;\–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206295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Répartition des charges (Année 1)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7A4E7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F0DE-492B-8152-D824061BBB19}"/>
              </c:ext>
            </c:extLst>
          </c:dPt>
          <c:dPt>
            <c:idx val="1"/>
            <c:bubble3D val="0"/>
            <c:spPr>
              <a:solidFill>
                <a:srgbClr val="9A6E9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F0DE-492B-8152-D824061BBB19}"/>
              </c:ext>
            </c:extLst>
          </c:dPt>
          <c:dPt>
            <c:idx val="2"/>
            <c:bubble3D val="0"/>
            <c:spPr>
              <a:solidFill>
                <a:srgbClr val="C9A24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F0DE-492B-8152-D824061BBB19}"/>
              </c:ext>
            </c:extLst>
          </c:dPt>
          <c:dPt>
            <c:idx val="3"/>
            <c:bubble3D val="0"/>
            <c:spPr>
              <a:solidFill>
                <a:srgbClr val="A6842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F0DE-492B-8152-D824061BBB19}"/>
              </c:ext>
            </c:extLst>
          </c:dPt>
          <c:dPt>
            <c:idx val="4"/>
            <c:bubble3D val="0"/>
            <c:spPr>
              <a:solidFill>
                <a:srgbClr val="5B3A5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F0DE-492B-8152-D824061BBB19}"/>
              </c:ext>
            </c:extLst>
          </c:dPt>
          <c:dPt>
            <c:idx val="5"/>
            <c:bubble3D val="0"/>
            <c:spPr>
              <a:solidFill>
                <a:srgbClr val="B98FB4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B-F0DE-492B-8152-D824061BBB19}"/>
              </c:ext>
            </c:extLst>
          </c:dPt>
          <c:dPt>
            <c:idx val="6"/>
            <c:bubble3D val="0"/>
            <c:spPr>
              <a:solidFill>
                <a:srgbClr val="D8BE7A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D-F0DE-492B-8152-D824061BBB19}"/>
              </c:ext>
            </c:extLst>
          </c:dPt>
          <c:dPt>
            <c:idx val="7"/>
            <c:bubble3D val="0"/>
            <c:spPr>
              <a:solidFill>
                <a:srgbClr val="8A5E88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F-F0DE-492B-8152-D824061BBB19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F0DE-492B-8152-D824061BBB19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F0DE-492B-8152-D824061BBB19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F0DE-492B-8152-D824061BBB19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F0DE-492B-8152-D824061BBB19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F0DE-492B-8152-D824061BBB19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B-F0DE-492B-8152-D824061BBB19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D-F0DE-492B-8152-D824061BBB19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F-F0DE-492B-8152-D824061BBB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1"/>
            <c:showVal val="1"/>
            <c:showCatName val="1"/>
            <c:showSerName val="1"/>
            <c:showPercent val="1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Synthèse!$B$27:$B$34</c:f>
              <c:strCache>
                <c:ptCount val="8"/>
                <c:pt idx="0">
                  <c:v>Produits techniques</c:v>
                </c:pt>
                <c:pt idx="1">
                  <c:v>Produits revendus</c:v>
                </c:pt>
                <c:pt idx="2">
                  <c:v>Charges externes</c:v>
                </c:pt>
                <c:pt idx="3">
                  <c:v>Impôts &amp; taxes</c:v>
                </c:pt>
                <c:pt idx="4">
                  <c:v>Personnel salarié</c:v>
                </c:pt>
                <c:pt idx="5">
                  <c:v>Rémunération dirigeant</c:v>
                </c:pt>
                <c:pt idx="6">
                  <c:v>Amortissements</c:v>
                </c:pt>
                <c:pt idx="7">
                  <c:v>Charges financières</c:v>
                </c:pt>
              </c:strCache>
            </c:strRef>
          </c:cat>
          <c:val>
            <c:numRef>
              <c:f>Synthèse!$C$27:$C$34</c:f>
              <c:numCache>
                <c:formatCode>#,##0" €";\-#,##0" €";\–</c:formatCode>
                <c:ptCount val="8"/>
                <c:pt idx="0">
                  <c:v>20675</c:v>
                </c:pt>
                <c:pt idx="1">
                  <c:v>12100.000000000002</c:v>
                </c:pt>
                <c:pt idx="2">
                  <c:v>34320</c:v>
                </c:pt>
                <c:pt idx="3">
                  <c:v>1800</c:v>
                </c:pt>
                <c:pt idx="4">
                  <c:v>84348</c:v>
                </c:pt>
                <c:pt idx="5">
                  <c:v>28000</c:v>
                </c:pt>
                <c:pt idx="6">
                  <c:v>11080.555555555555</c:v>
                </c:pt>
                <c:pt idx="7">
                  <c:v>2965.9016525335282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0DE-492B-8152-D824061BB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3</xdr:col>
      <xdr:colOff>591480</xdr:colOff>
      <xdr:row>48</xdr:row>
      <xdr:rowOff>22320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19</xdr:row>
      <xdr:rowOff>73080</xdr:rowOff>
    </xdr:from>
    <xdr:to>
      <xdr:col>9</xdr:col>
      <xdr:colOff>322560</xdr:colOff>
      <xdr:row>34</xdr:row>
      <xdr:rowOff>95400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25</xdr:row>
      <xdr:rowOff>73080</xdr:rowOff>
    </xdr:from>
    <xdr:to>
      <xdr:col>8</xdr:col>
      <xdr:colOff>214200</xdr:colOff>
      <xdr:row>40</xdr:row>
      <xdr:rowOff>95400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2430"/>
  </sheetPr>
  <dimension ref="B1:K37"/>
  <sheetViews>
    <sheetView showGridLines="0" tabSelected="1" zoomScaleNormal="100" workbookViewId="0"/>
  </sheetViews>
  <sheetFormatPr baseColWidth="10" defaultColWidth="8.7109375" defaultRowHeight="15" x14ac:dyDescent="0.25"/>
  <cols>
    <col min="1" max="1" width="2.42578125" customWidth="1"/>
    <col min="2" max="2" width="4" customWidth="1"/>
    <col min="3" max="10" width="13" customWidth="1"/>
    <col min="11" max="11" width="4" customWidth="1"/>
  </cols>
  <sheetData>
    <row r="1" spans="2:11" ht="33.75" customHeight="1" x14ac:dyDescent="0.25">
      <c r="B1" s="14" t="s">
        <v>0</v>
      </c>
      <c r="C1" s="14"/>
      <c r="D1" s="14"/>
      <c r="E1" s="14"/>
      <c r="F1" s="14"/>
      <c r="G1" s="14"/>
      <c r="H1" s="14"/>
      <c r="I1" s="14"/>
      <c r="J1" s="14"/>
      <c r="K1" s="14"/>
    </row>
    <row r="2" spans="2:11" ht="21.75" customHeight="1" x14ac:dyDescent="0.25">
      <c r="B2" s="13" t="s">
        <v>1</v>
      </c>
      <c r="C2" s="13"/>
      <c r="D2" s="13"/>
      <c r="E2" s="13"/>
      <c r="F2" s="13"/>
      <c r="G2" s="13"/>
      <c r="H2" s="13"/>
      <c r="I2" s="13"/>
      <c r="J2" s="13"/>
      <c r="K2" s="13"/>
    </row>
    <row r="4" spans="2:11" ht="21.75" customHeight="1" x14ac:dyDescent="0.25"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</row>
    <row r="5" spans="2:11" ht="45" customHeight="1" x14ac:dyDescent="0.25">
      <c r="C5" s="11" t="s">
        <v>3</v>
      </c>
      <c r="D5" s="11"/>
      <c r="E5" s="11"/>
      <c r="F5" s="11"/>
      <c r="G5" s="11"/>
      <c r="H5" s="11"/>
      <c r="I5" s="11"/>
      <c r="J5" s="11"/>
    </row>
    <row r="8" spans="2:11" ht="30" customHeight="1" x14ac:dyDescent="0.25">
      <c r="C8" s="11" t="s">
        <v>4</v>
      </c>
      <c r="D8" s="11"/>
      <c r="E8" s="11"/>
      <c r="F8" s="11"/>
      <c r="G8" s="11"/>
      <c r="H8" s="11"/>
      <c r="I8" s="11"/>
      <c r="J8" s="11"/>
    </row>
    <row r="11" spans="2:11" ht="21.75" customHeight="1" x14ac:dyDescent="0.25">
      <c r="B11" s="12" t="s">
        <v>5</v>
      </c>
      <c r="C11" s="12"/>
      <c r="D11" s="12"/>
      <c r="E11" s="12"/>
      <c r="F11" s="12"/>
      <c r="G11" s="12"/>
      <c r="H11" s="12"/>
      <c r="I11" s="12"/>
      <c r="J11" s="12"/>
      <c r="K11" s="12"/>
    </row>
    <row r="12" spans="2:11" ht="25.5" customHeight="1" x14ac:dyDescent="0.25">
      <c r="C12" s="15" t="s">
        <v>6</v>
      </c>
      <c r="D12" s="10" t="s">
        <v>7</v>
      </c>
      <c r="E12" s="10"/>
      <c r="F12" s="10"/>
      <c r="G12" s="10"/>
      <c r="H12" s="10"/>
      <c r="I12" s="10"/>
      <c r="J12" s="10"/>
    </row>
    <row r="13" spans="2:11" ht="25.5" customHeight="1" x14ac:dyDescent="0.25">
      <c r="C13" s="15" t="s">
        <v>8</v>
      </c>
      <c r="D13" s="10" t="s">
        <v>9</v>
      </c>
      <c r="E13" s="10"/>
      <c r="F13" s="10"/>
      <c r="G13" s="10"/>
      <c r="H13" s="10"/>
      <c r="I13" s="10"/>
      <c r="J13" s="10"/>
    </row>
    <row r="14" spans="2:11" ht="25.5" customHeight="1" x14ac:dyDescent="0.25">
      <c r="C14" s="15" t="s">
        <v>10</v>
      </c>
      <c r="D14" s="10" t="s">
        <v>11</v>
      </c>
      <c r="E14" s="10"/>
      <c r="F14" s="10"/>
      <c r="G14" s="10"/>
      <c r="H14" s="10"/>
      <c r="I14" s="10"/>
      <c r="J14" s="10"/>
    </row>
    <row r="15" spans="2:11" ht="25.5" customHeight="1" x14ac:dyDescent="0.25">
      <c r="C15" s="15" t="s">
        <v>12</v>
      </c>
      <c r="D15" s="10" t="s">
        <v>13</v>
      </c>
      <c r="E15" s="10"/>
      <c r="F15" s="10"/>
      <c r="G15" s="10"/>
      <c r="H15" s="10"/>
      <c r="I15" s="10"/>
      <c r="J15" s="10"/>
    </row>
    <row r="16" spans="2:11" ht="25.5" customHeight="1" x14ac:dyDescent="0.25">
      <c r="C16" s="15" t="s">
        <v>14</v>
      </c>
      <c r="D16" s="10" t="s">
        <v>15</v>
      </c>
      <c r="E16" s="10"/>
      <c r="F16" s="10"/>
      <c r="G16" s="10"/>
      <c r="H16" s="10"/>
      <c r="I16" s="10"/>
      <c r="J16" s="10"/>
    </row>
    <row r="18" spans="2:11" ht="21.75" customHeight="1" x14ac:dyDescent="0.25">
      <c r="B18" s="12" t="s">
        <v>16</v>
      </c>
      <c r="C18" s="12"/>
      <c r="D18" s="12"/>
      <c r="E18" s="12"/>
      <c r="F18" s="12"/>
      <c r="G18" s="12"/>
      <c r="H18" s="12"/>
      <c r="I18" s="12"/>
      <c r="J18" s="12"/>
      <c r="K18" s="12"/>
    </row>
    <row r="19" spans="2:11" ht="24" customHeight="1" x14ac:dyDescent="0.25">
      <c r="C19" s="9" t="s">
        <v>17</v>
      </c>
      <c r="D19" s="9"/>
      <c r="E19" s="10" t="s">
        <v>18</v>
      </c>
      <c r="F19" s="10"/>
      <c r="G19" s="10"/>
      <c r="H19" s="10"/>
      <c r="I19" s="10"/>
      <c r="J19" s="10"/>
    </row>
    <row r="20" spans="2:11" ht="24" customHeight="1" x14ac:dyDescent="0.25">
      <c r="C20" s="9" t="s">
        <v>19</v>
      </c>
      <c r="D20" s="9"/>
      <c r="E20" s="10" t="s">
        <v>20</v>
      </c>
      <c r="F20" s="10"/>
      <c r="G20" s="10"/>
      <c r="H20" s="10"/>
      <c r="I20" s="10"/>
      <c r="J20" s="10"/>
    </row>
    <row r="21" spans="2:11" ht="24" customHeight="1" x14ac:dyDescent="0.25">
      <c r="C21" s="9" t="s">
        <v>21</v>
      </c>
      <c r="D21" s="9"/>
      <c r="E21" s="10" t="s">
        <v>22</v>
      </c>
      <c r="F21" s="10"/>
      <c r="G21" s="10"/>
      <c r="H21" s="10"/>
      <c r="I21" s="10"/>
      <c r="J21" s="10"/>
    </row>
    <row r="22" spans="2:11" ht="24" customHeight="1" x14ac:dyDescent="0.25">
      <c r="C22" s="9" t="s">
        <v>23</v>
      </c>
      <c r="D22" s="9"/>
      <c r="E22" s="10" t="s">
        <v>24</v>
      </c>
      <c r="F22" s="10"/>
      <c r="G22" s="10"/>
      <c r="H22" s="10"/>
      <c r="I22" s="10"/>
      <c r="J22" s="10"/>
    </row>
    <row r="24" spans="2:11" ht="21.75" customHeight="1" x14ac:dyDescent="0.25">
      <c r="B24" s="8" t="s">
        <v>25</v>
      </c>
      <c r="C24" s="8"/>
      <c r="D24" s="8"/>
      <c r="E24" s="8"/>
      <c r="F24" s="8"/>
      <c r="G24" s="8"/>
      <c r="H24" s="8"/>
      <c r="I24" s="8"/>
      <c r="J24" s="8"/>
      <c r="K24" s="8"/>
    </row>
    <row r="25" spans="2:11" ht="24" customHeight="1" x14ac:dyDescent="0.25">
      <c r="C25" s="7" t="s">
        <v>26</v>
      </c>
      <c r="D25" s="7"/>
      <c r="E25" s="10" t="s">
        <v>27</v>
      </c>
      <c r="F25" s="10"/>
      <c r="G25" s="10"/>
      <c r="H25" s="10"/>
      <c r="I25" s="10"/>
      <c r="J25" s="10"/>
    </row>
    <row r="26" spans="2:11" ht="24" customHeight="1" x14ac:dyDescent="0.25">
      <c r="C26" s="7" t="s">
        <v>28</v>
      </c>
      <c r="D26" s="7"/>
      <c r="E26" s="10" t="s">
        <v>29</v>
      </c>
      <c r="F26" s="10"/>
      <c r="G26" s="10"/>
      <c r="H26" s="10"/>
      <c r="I26" s="10"/>
      <c r="J26" s="10"/>
    </row>
    <row r="27" spans="2:11" ht="24" customHeight="1" x14ac:dyDescent="0.25">
      <c r="C27" s="7" t="s">
        <v>30</v>
      </c>
      <c r="D27" s="7"/>
      <c r="E27" s="10" t="s">
        <v>31</v>
      </c>
      <c r="F27" s="10"/>
      <c r="G27" s="10"/>
      <c r="H27" s="10"/>
      <c r="I27" s="10"/>
      <c r="J27" s="10"/>
    </row>
    <row r="28" spans="2:11" ht="24" customHeight="1" x14ac:dyDescent="0.25">
      <c r="C28" s="7" t="s">
        <v>32</v>
      </c>
      <c r="D28" s="7"/>
      <c r="E28" s="10" t="s">
        <v>33</v>
      </c>
      <c r="F28" s="10"/>
      <c r="G28" s="10"/>
      <c r="H28" s="10"/>
      <c r="I28" s="10"/>
      <c r="J28" s="10"/>
    </row>
    <row r="30" spans="2:11" ht="21.75" customHeight="1" x14ac:dyDescent="0.25">
      <c r="B30" s="12" t="s">
        <v>34</v>
      </c>
      <c r="C30" s="12"/>
      <c r="D30" s="12"/>
      <c r="E30" s="12"/>
      <c r="F30" s="12"/>
      <c r="G30" s="12"/>
      <c r="H30" s="12"/>
      <c r="I30" s="12"/>
      <c r="J30" s="12"/>
      <c r="K30" s="12"/>
    </row>
    <row r="31" spans="2:11" ht="15.75" customHeight="1" x14ac:dyDescent="0.25">
      <c r="C31" s="17" t="s">
        <v>35</v>
      </c>
      <c r="D31" s="11" t="s">
        <v>36</v>
      </c>
      <c r="E31" s="11"/>
      <c r="F31" s="11"/>
      <c r="G31" s="11"/>
      <c r="H31" s="11"/>
      <c r="I31" s="11"/>
      <c r="J31" s="11"/>
    </row>
    <row r="32" spans="2:11" ht="15.75" customHeight="1" x14ac:dyDescent="0.25">
      <c r="C32" s="17" t="s">
        <v>35</v>
      </c>
      <c r="D32" s="11" t="s">
        <v>37</v>
      </c>
      <c r="E32" s="11"/>
      <c r="F32" s="11"/>
      <c r="G32" s="11"/>
      <c r="H32" s="11"/>
      <c r="I32" s="11"/>
      <c r="J32" s="11"/>
    </row>
    <row r="33" spans="3:10" ht="15.75" customHeight="1" x14ac:dyDescent="0.25">
      <c r="C33" s="17" t="s">
        <v>35</v>
      </c>
      <c r="D33" s="11" t="s">
        <v>38</v>
      </c>
      <c r="E33" s="11"/>
      <c r="F33" s="11"/>
      <c r="G33" s="11"/>
      <c r="H33" s="11"/>
      <c r="I33" s="11"/>
      <c r="J33" s="11"/>
    </row>
    <row r="34" spans="3:10" ht="15.75" customHeight="1" x14ac:dyDescent="0.25">
      <c r="C34" s="17" t="s">
        <v>35</v>
      </c>
      <c r="D34" s="11" t="s">
        <v>39</v>
      </c>
      <c r="E34" s="11"/>
      <c r="F34" s="11"/>
      <c r="G34" s="11"/>
      <c r="H34" s="11"/>
      <c r="I34" s="11"/>
      <c r="J34" s="11"/>
    </row>
    <row r="35" spans="3:10" ht="15.75" customHeight="1" x14ac:dyDescent="0.25">
      <c r="C35" s="17" t="s">
        <v>35</v>
      </c>
      <c r="D35" s="11" t="s">
        <v>40</v>
      </c>
      <c r="E35" s="11"/>
      <c r="F35" s="11"/>
      <c r="G35" s="11"/>
      <c r="H35" s="11"/>
      <c r="I35" s="11"/>
      <c r="J35" s="11"/>
    </row>
    <row r="37" spans="3:10" x14ac:dyDescent="0.25">
      <c r="C37" s="6" t="s">
        <v>41</v>
      </c>
      <c r="D37" s="6"/>
      <c r="E37" s="6"/>
      <c r="F37" s="6"/>
      <c r="G37" s="6"/>
      <c r="H37" s="6"/>
      <c r="I37" s="6"/>
      <c r="J37" s="6"/>
    </row>
  </sheetData>
  <mergeCells count="36">
    <mergeCell ref="D33:J33"/>
    <mergeCell ref="D34:J34"/>
    <mergeCell ref="D35:J35"/>
    <mergeCell ref="C37:J37"/>
    <mergeCell ref="C28:D28"/>
    <mergeCell ref="E28:J28"/>
    <mergeCell ref="B30:K30"/>
    <mergeCell ref="D31:J31"/>
    <mergeCell ref="D32:J32"/>
    <mergeCell ref="C25:D25"/>
    <mergeCell ref="E25:J25"/>
    <mergeCell ref="C26:D26"/>
    <mergeCell ref="E26:J26"/>
    <mergeCell ref="C27:D27"/>
    <mergeCell ref="E27:J27"/>
    <mergeCell ref="C21:D21"/>
    <mergeCell ref="E21:J21"/>
    <mergeCell ref="C22:D22"/>
    <mergeCell ref="E22:J22"/>
    <mergeCell ref="B24:K24"/>
    <mergeCell ref="D16:J16"/>
    <mergeCell ref="B18:K18"/>
    <mergeCell ref="C19:D19"/>
    <mergeCell ref="E19:J19"/>
    <mergeCell ref="C20:D20"/>
    <mergeCell ref="E20:J20"/>
    <mergeCell ref="B11:K11"/>
    <mergeCell ref="D12:J12"/>
    <mergeCell ref="D13:J13"/>
    <mergeCell ref="D14:J14"/>
    <mergeCell ref="D15:J15"/>
    <mergeCell ref="B1:K1"/>
    <mergeCell ref="B2:K2"/>
    <mergeCell ref="B4:K4"/>
    <mergeCell ref="C5:J5"/>
    <mergeCell ref="C8:J8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A4E78"/>
  </sheetPr>
  <dimension ref="B1:F71"/>
  <sheetViews>
    <sheetView showGridLines="0" zoomScaleNormal="100" workbookViewId="0">
      <pane ySplit="2" topLeftCell="A50" activePane="bottomLeft" state="frozen"/>
      <selection pane="bottomLeft"/>
    </sheetView>
  </sheetViews>
  <sheetFormatPr baseColWidth="10" defaultColWidth="8.7109375" defaultRowHeight="15" x14ac:dyDescent="0.25"/>
  <cols>
    <col min="1" max="1" width="2.42578125" customWidth="1"/>
    <col min="2" max="2" width="38" customWidth="1"/>
    <col min="3" max="4" width="15" customWidth="1"/>
    <col min="5" max="5" width="16" customWidth="1"/>
    <col min="6" max="6" width="13" customWidth="1"/>
  </cols>
  <sheetData>
    <row r="1" spans="2:6" ht="25.5" customHeight="1" x14ac:dyDescent="0.25">
      <c r="B1" s="5" t="s">
        <v>42</v>
      </c>
      <c r="C1" s="5"/>
      <c r="D1" s="5"/>
      <c r="E1" s="5"/>
      <c r="F1" s="5"/>
    </row>
    <row r="2" spans="2:6" x14ac:dyDescent="0.25">
      <c r="B2" s="4" t="s">
        <v>43</v>
      </c>
      <c r="C2" s="4"/>
      <c r="D2" s="4"/>
      <c r="E2" s="4"/>
      <c r="F2" s="4"/>
    </row>
    <row r="4" spans="2:6" ht="15.75" x14ac:dyDescent="0.25">
      <c r="B4" s="12" t="s">
        <v>44</v>
      </c>
      <c r="C4" s="12"/>
      <c r="D4" s="12"/>
      <c r="E4" s="12"/>
      <c r="F4" s="12"/>
    </row>
    <row r="5" spans="2:6" x14ac:dyDescent="0.25">
      <c r="B5" s="18" t="s">
        <v>45</v>
      </c>
      <c r="C5" s="3" t="s">
        <v>46</v>
      </c>
      <c r="D5" s="3"/>
      <c r="E5" s="3"/>
    </row>
    <row r="6" spans="2:6" x14ac:dyDescent="0.25">
      <c r="B6" s="18" t="s">
        <v>47</v>
      </c>
      <c r="C6" s="3" t="s">
        <v>48</v>
      </c>
      <c r="D6" s="3"/>
      <c r="E6" s="3"/>
    </row>
    <row r="7" spans="2:6" x14ac:dyDescent="0.25">
      <c r="B7" s="18" t="s">
        <v>49</v>
      </c>
      <c r="C7" s="3" t="s">
        <v>50</v>
      </c>
      <c r="D7" s="3"/>
      <c r="E7" s="3"/>
    </row>
    <row r="8" spans="2:6" x14ac:dyDescent="0.25">
      <c r="B8" s="18" t="s">
        <v>51</v>
      </c>
      <c r="C8" s="2">
        <v>46447</v>
      </c>
      <c r="D8" s="2"/>
      <c r="E8" s="2"/>
    </row>
    <row r="9" spans="2:6" x14ac:dyDescent="0.25">
      <c r="B9" s="18" t="s">
        <v>52</v>
      </c>
      <c r="C9" s="3">
        <v>3</v>
      </c>
      <c r="D9" s="3"/>
      <c r="E9" s="3"/>
    </row>
    <row r="10" spans="2:6" x14ac:dyDescent="0.25">
      <c r="B10" s="18" t="s">
        <v>53</v>
      </c>
      <c r="C10" s="1">
        <v>265</v>
      </c>
      <c r="D10" s="1"/>
      <c r="E10" s="1"/>
    </row>
    <row r="12" spans="2:6" ht="15.75" x14ac:dyDescent="0.25">
      <c r="B12" s="12" t="s">
        <v>54</v>
      </c>
      <c r="C12" s="12"/>
      <c r="D12" s="12"/>
      <c r="E12" s="12"/>
      <c r="F12" s="12"/>
    </row>
    <row r="13" spans="2:6" x14ac:dyDescent="0.25">
      <c r="B13" s="19" t="s">
        <v>55</v>
      </c>
      <c r="C13" s="20">
        <v>0.08</v>
      </c>
    </row>
    <row r="14" spans="2:6" x14ac:dyDescent="0.25">
      <c r="B14" s="19" t="s">
        <v>56</v>
      </c>
      <c r="C14" s="20">
        <v>0.05</v>
      </c>
    </row>
    <row r="15" spans="2:6" x14ac:dyDescent="0.25">
      <c r="B15" s="19" t="s">
        <v>57</v>
      </c>
      <c r="C15" s="20">
        <v>0.02</v>
      </c>
    </row>
    <row r="16" spans="2:6" x14ac:dyDescent="0.25">
      <c r="B16" s="19" t="s">
        <v>58</v>
      </c>
      <c r="C16" s="20">
        <v>0.1</v>
      </c>
    </row>
    <row r="17" spans="2:6" x14ac:dyDescent="0.25">
      <c r="B17" s="19" t="s">
        <v>59</v>
      </c>
      <c r="C17" s="20">
        <v>0.45</v>
      </c>
    </row>
    <row r="18" spans="2:6" x14ac:dyDescent="0.25">
      <c r="B18" s="19" t="s">
        <v>60</v>
      </c>
      <c r="C18" s="20">
        <v>0.42</v>
      </c>
    </row>
    <row r="19" spans="2:6" x14ac:dyDescent="0.25">
      <c r="B19" s="19" t="s">
        <v>61</v>
      </c>
      <c r="C19" s="20">
        <v>0.15</v>
      </c>
    </row>
    <row r="20" spans="2:6" x14ac:dyDescent="0.25">
      <c r="B20" s="19" t="s">
        <v>62</v>
      </c>
      <c r="C20" s="20">
        <v>3.5000000000000003E-2</v>
      </c>
    </row>
    <row r="21" spans="2:6" x14ac:dyDescent="0.25">
      <c r="B21" s="19" t="s">
        <v>63</v>
      </c>
      <c r="C21" s="21">
        <v>7</v>
      </c>
    </row>
    <row r="23" spans="2:6" ht="15.75" x14ac:dyDescent="0.25">
      <c r="B23" s="12" t="s">
        <v>64</v>
      </c>
      <c r="C23" s="12"/>
      <c r="D23" s="12"/>
      <c r="E23" s="12"/>
      <c r="F23" s="12"/>
    </row>
    <row r="24" spans="2:6" x14ac:dyDescent="0.25">
      <c r="B24" s="16" t="s">
        <v>65</v>
      </c>
      <c r="C24" s="22" t="s">
        <v>66</v>
      </c>
      <c r="D24" s="22" t="s">
        <v>67</v>
      </c>
      <c r="E24" s="22" t="s">
        <v>68</v>
      </c>
    </row>
    <row r="25" spans="2:6" x14ac:dyDescent="0.25">
      <c r="B25" s="23" t="s">
        <v>69</v>
      </c>
      <c r="C25" s="24">
        <v>32</v>
      </c>
      <c r="D25" s="25">
        <v>1400</v>
      </c>
      <c r="E25" s="26">
        <f t="shared" ref="E25:E33" si="0">C25*D25</f>
        <v>44800</v>
      </c>
    </row>
    <row r="26" spans="2:6" x14ac:dyDescent="0.25">
      <c r="B26" s="23" t="s">
        <v>70</v>
      </c>
      <c r="C26" s="24">
        <v>22</v>
      </c>
      <c r="D26" s="25">
        <v>1600</v>
      </c>
      <c r="E26" s="26">
        <f t="shared" si="0"/>
        <v>35200</v>
      </c>
    </row>
    <row r="27" spans="2:6" x14ac:dyDescent="0.25">
      <c r="B27" s="23" t="s">
        <v>71</v>
      </c>
      <c r="C27" s="24">
        <v>16</v>
      </c>
      <c r="D27" s="25">
        <v>500</v>
      </c>
      <c r="E27" s="26">
        <f t="shared" si="0"/>
        <v>8000</v>
      </c>
    </row>
    <row r="28" spans="2:6" x14ac:dyDescent="0.25">
      <c r="B28" s="23" t="s">
        <v>72</v>
      </c>
      <c r="C28" s="24">
        <v>55</v>
      </c>
      <c r="D28" s="25">
        <v>700</v>
      </c>
      <c r="E28" s="26">
        <f t="shared" si="0"/>
        <v>38500</v>
      </c>
    </row>
    <row r="29" spans="2:6" x14ac:dyDescent="0.25">
      <c r="B29" s="23" t="s">
        <v>73</v>
      </c>
      <c r="C29" s="24">
        <v>75</v>
      </c>
      <c r="D29" s="25">
        <v>450</v>
      </c>
      <c r="E29" s="26">
        <f t="shared" si="0"/>
        <v>33750</v>
      </c>
    </row>
    <row r="30" spans="2:6" x14ac:dyDescent="0.25">
      <c r="B30" s="23" t="s">
        <v>74</v>
      </c>
      <c r="C30" s="24">
        <v>25</v>
      </c>
      <c r="D30" s="25">
        <v>900</v>
      </c>
      <c r="E30" s="26">
        <f t="shared" si="0"/>
        <v>22500</v>
      </c>
    </row>
    <row r="31" spans="2:6" x14ac:dyDescent="0.25">
      <c r="B31" s="23" t="s">
        <v>75</v>
      </c>
      <c r="C31" s="24">
        <v>18</v>
      </c>
      <c r="D31" s="25">
        <v>600</v>
      </c>
      <c r="E31" s="26">
        <f t="shared" si="0"/>
        <v>10800</v>
      </c>
    </row>
    <row r="32" spans="2:6" x14ac:dyDescent="0.25">
      <c r="B32" s="23" t="s">
        <v>76</v>
      </c>
      <c r="C32" s="24">
        <v>60</v>
      </c>
      <c r="D32" s="25">
        <v>120</v>
      </c>
      <c r="E32" s="26">
        <f t="shared" si="0"/>
        <v>7200</v>
      </c>
    </row>
    <row r="33" spans="2:6" x14ac:dyDescent="0.25">
      <c r="B33" s="23" t="s">
        <v>77</v>
      </c>
      <c r="C33" s="24">
        <v>15</v>
      </c>
      <c r="D33" s="25">
        <v>400</v>
      </c>
      <c r="E33" s="26">
        <f t="shared" si="0"/>
        <v>6000</v>
      </c>
    </row>
    <row r="34" spans="2:6" x14ac:dyDescent="0.25">
      <c r="B34" s="27" t="s">
        <v>78</v>
      </c>
      <c r="C34" s="71"/>
      <c r="D34" s="71"/>
      <c r="E34" s="29">
        <f>SUM(E25:E33)</f>
        <v>206750</v>
      </c>
    </row>
    <row r="36" spans="2:6" ht="15.75" x14ac:dyDescent="0.25">
      <c r="B36" s="12" t="s">
        <v>79</v>
      </c>
      <c r="C36" s="12"/>
      <c r="D36" s="12"/>
      <c r="E36" s="12"/>
      <c r="F36" s="12"/>
    </row>
    <row r="37" spans="2:6" x14ac:dyDescent="0.25">
      <c r="B37" s="18" t="s">
        <v>80</v>
      </c>
      <c r="C37" s="30">
        <v>22000</v>
      </c>
    </row>
    <row r="38" spans="2:6" x14ac:dyDescent="0.25">
      <c r="B38" s="31" t="s">
        <v>81</v>
      </c>
      <c r="C38" s="32">
        <f>C37*(1-Hypothèses!$C$17)</f>
        <v>12100.000000000002</v>
      </c>
    </row>
    <row r="40" spans="2:6" ht="15.75" x14ac:dyDescent="0.25">
      <c r="B40" s="12" t="s">
        <v>82</v>
      </c>
      <c r="C40" s="12"/>
      <c r="D40" s="12"/>
      <c r="E40" s="12"/>
      <c r="F40" s="12"/>
    </row>
    <row r="41" spans="2:6" ht="24" customHeight="1" x14ac:dyDescent="0.25">
      <c r="B41" s="33" t="s">
        <v>83</v>
      </c>
      <c r="C41" s="34" t="s">
        <v>84</v>
      </c>
      <c r="D41" s="34" t="s">
        <v>85</v>
      </c>
      <c r="E41" s="34" t="s">
        <v>86</v>
      </c>
    </row>
    <row r="42" spans="2:6" x14ac:dyDescent="0.25">
      <c r="B42" s="23" t="s">
        <v>87</v>
      </c>
      <c r="C42" s="25">
        <v>1</v>
      </c>
      <c r="D42" s="24">
        <v>2200</v>
      </c>
      <c r="E42" s="26">
        <f>C42*D42*12*(1+Hypothèses!$C$18)</f>
        <v>37488</v>
      </c>
    </row>
    <row r="43" spans="2:6" x14ac:dyDescent="0.25">
      <c r="B43" s="23" t="s">
        <v>88</v>
      </c>
      <c r="C43" s="25">
        <v>1</v>
      </c>
      <c r="D43" s="24">
        <v>1850</v>
      </c>
      <c r="E43" s="26">
        <f>C43*D43*12*(1+Hypothèses!$C$18)</f>
        <v>31524</v>
      </c>
    </row>
    <row r="44" spans="2:6" x14ac:dyDescent="0.25">
      <c r="B44" s="23" t="s">
        <v>89</v>
      </c>
      <c r="C44" s="25">
        <v>1</v>
      </c>
      <c r="D44" s="24">
        <v>900</v>
      </c>
      <c r="E44" s="26">
        <f>C44*D44*12*(1+Hypothèses!$C$18)</f>
        <v>15336</v>
      </c>
    </row>
    <row r="45" spans="2:6" x14ac:dyDescent="0.25">
      <c r="B45" s="27" t="s">
        <v>90</v>
      </c>
      <c r="C45" s="71"/>
      <c r="D45" s="71"/>
      <c r="E45" s="29">
        <f>SUM(E42:E44)</f>
        <v>84348</v>
      </c>
    </row>
    <row r="46" spans="2:6" x14ac:dyDescent="0.25">
      <c r="B46" s="18" t="s">
        <v>91</v>
      </c>
      <c r="C46" s="72"/>
      <c r="D46" s="72"/>
      <c r="E46" s="35">
        <v>28000</v>
      </c>
    </row>
    <row r="48" spans="2:6" ht="15.75" x14ac:dyDescent="0.25">
      <c r="B48" s="12" t="s">
        <v>92</v>
      </c>
      <c r="C48" s="12"/>
      <c r="D48" s="12"/>
      <c r="E48" s="12"/>
      <c r="F48" s="12"/>
    </row>
    <row r="49" spans="2:6" x14ac:dyDescent="0.25">
      <c r="B49" s="16" t="s">
        <v>83</v>
      </c>
      <c r="C49" s="22" t="s">
        <v>93</v>
      </c>
      <c r="D49" s="22" t="s">
        <v>94</v>
      </c>
      <c r="E49" s="36"/>
    </row>
    <row r="50" spans="2:6" x14ac:dyDescent="0.25">
      <c r="B50" s="23" t="s">
        <v>95</v>
      </c>
      <c r="C50" s="24">
        <v>1500</v>
      </c>
      <c r="D50" s="26">
        <f t="shared" ref="D50:D61" si="1">C50*12</f>
        <v>18000</v>
      </c>
      <c r="E50" s="19"/>
    </row>
    <row r="51" spans="2:6" x14ac:dyDescent="0.25">
      <c r="B51" s="23" t="s">
        <v>96</v>
      </c>
      <c r="C51" s="24">
        <v>120</v>
      </c>
      <c r="D51" s="26">
        <f t="shared" si="1"/>
        <v>1440</v>
      </c>
      <c r="E51" s="19"/>
    </row>
    <row r="52" spans="2:6" x14ac:dyDescent="0.25">
      <c r="B52" s="23" t="s">
        <v>97</v>
      </c>
      <c r="C52" s="24">
        <v>350</v>
      </c>
      <c r="D52" s="26">
        <f t="shared" si="1"/>
        <v>4200</v>
      </c>
      <c r="E52" s="19"/>
    </row>
    <row r="53" spans="2:6" x14ac:dyDescent="0.25">
      <c r="B53" s="23" t="s">
        <v>98</v>
      </c>
      <c r="C53" s="24">
        <v>90</v>
      </c>
      <c r="D53" s="26">
        <f t="shared" si="1"/>
        <v>1080</v>
      </c>
      <c r="E53" s="19"/>
    </row>
    <row r="54" spans="2:6" x14ac:dyDescent="0.25">
      <c r="B54" s="23" t="s">
        <v>99</v>
      </c>
      <c r="C54" s="24">
        <v>160</v>
      </c>
      <c r="D54" s="26">
        <f t="shared" si="1"/>
        <v>1920</v>
      </c>
      <c r="E54" s="19"/>
    </row>
    <row r="55" spans="2:6" x14ac:dyDescent="0.25">
      <c r="B55" s="23" t="s">
        <v>100</v>
      </c>
      <c r="C55" s="24">
        <v>60</v>
      </c>
      <c r="D55" s="26">
        <f t="shared" si="1"/>
        <v>720</v>
      </c>
      <c r="E55" s="19"/>
    </row>
    <row r="56" spans="2:6" x14ac:dyDescent="0.25">
      <c r="B56" s="23" t="s">
        <v>101</v>
      </c>
      <c r="C56" s="24">
        <v>200</v>
      </c>
      <c r="D56" s="26">
        <f t="shared" si="1"/>
        <v>2400</v>
      </c>
      <c r="E56" s="19"/>
    </row>
    <row r="57" spans="2:6" x14ac:dyDescent="0.25">
      <c r="B57" s="23" t="s">
        <v>102</v>
      </c>
      <c r="C57" s="24">
        <v>130</v>
      </c>
      <c r="D57" s="26">
        <f t="shared" si="1"/>
        <v>1560</v>
      </c>
      <c r="E57" s="19"/>
    </row>
    <row r="58" spans="2:6" x14ac:dyDescent="0.25">
      <c r="B58" s="23" t="s">
        <v>103</v>
      </c>
      <c r="C58" s="24">
        <v>80</v>
      </c>
      <c r="D58" s="26">
        <f t="shared" si="1"/>
        <v>960</v>
      </c>
      <c r="E58" s="19"/>
    </row>
    <row r="59" spans="2:6" x14ac:dyDescent="0.25">
      <c r="B59" s="23" t="s">
        <v>104</v>
      </c>
      <c r="C59" s="24">
        <v>70</v>
      </c>
      <c r="D59" s="26">
        <f t="shared" si="1"/>
        <v>840</v>
      </c>
      <c r="E59" s="19"/>
    </row>
    <row r="60" spans="2:6" x14ac:dyDescent="0.25">
      <c r="B60" s="23" t="s">
        <v>105</v>
      </c>
      <c r="C60" s="24">
        <v>50</v>
      </c>
      <c r="D60" s="26">
        <f t="shared" si="1"/>
        <v>600</v>
      </c>
      <c r="E60" s="19"/>
    </row>
    <row r="61" spans="2:6" x14ac:dyDescent="0.25">
      <c r="B61" s="23" t="s">
        <v>106</v>
      </c>
      <c r="C61" s="24">
        <v>50</v>
      </c>
      <c r="D61" s="26">
        <f t="shared" si="1"/>
        <v>600</v>
      </c>
      <c r="E61" s="19"/>
    </row>
    <row r="62" spans="2:6" x14ac:dyDescent="0.25">
      <c r="B62" s="27" t="s">
        <v>107</v>
      </c>
      <c r="C62" s="37"/>
      <c r="D62" s="29">
        <f>SUM(D50:D61)</f>
        <v>34320</v>
      </c>
      <c r="E62" s="28"/>
    </row>
    <row r="64" spans="2:6" ht="15.75" x14ac:dyDescent="0.25">
      <c r="B64" s="12" t="s">
        <v>108</v>
      </c>
      <c r="C64" s="12"/>
      <c r="D64" s="12"/>
      <c r="E64" s="12"/>
      <c r="F64" s="12"/>
    </row>
    <row r="65" spans="2:5" x14ac:dyDescent="0.25">
      <c r="B65" s="18" t="s">
        <v>109</v>
      </c>
      <c r="C65" s="72"/>
      <c r="D65" s="72"/>
      <c r="E65" s="35">
        <v>1800</v>
      </c>
    </row>
    <row r="67" spans="2:5" x14ac:dyDescent="0.25">
      <c r="B67" s="38" t="s">
        <v>110</v>
      </c>
      <c r="C67" s="39" t="s">
        <v>48</v>
      </c>
    </row>
    <row r="68" spans="2:5" x14ac:dyDescent="0.25">
      <c r="C68" s="39" t="s">
        <v>111</v>
      </c>
    </row>
    <row r="69" spans="2:5" x14ac:dyDescent="0.25">
      <c r="C69" s="39" t="s">
        <v>112</v>
      </c>
    </row>
    <row r="70" spans="2:5" x14ac:dyDescent="0.25">
      <c r="C70" s="39" t="s">
        <v>113</v>
      </c>
    </row>
    <row r="71" spans="2:5" x14ac:dyDescent="0.25">
      <c r="C71" s="39" t="s">
        <v>114</v>
      </c>
    </row>
  </sheetData>
  <mergeCells count="19">
    <mergeCell ref="C46:D46"/>
    <mergeCell ref="B48:F48"/>
    <mergeCell ref="B64:F64"/>
    <mergeCell ref="C65:D65"/>
    <mergeCell ref="B23:F23"/>
    <mergeCell ref="C34:D34"/>
    <mergeCell ref="B36:F36"/>
    <mergeCell ref="B40:F40"/>
    <mergeCell ref="C45:D45"/>
    <mergeCell ref="C7:E7"/>
    <mergeCell ref="C8:E8"/>
    <mergeCell ref="C9:E9"/>
    <mergeCell ref="C10:E10"/>
    <mergeCell ref="B12:F12"/>
    <mergeCell ref="B1:F1"/>
    <mergeCell ref="B2:F2"/>
    <mergeCell ref="B4:F4"/>
    <mergeCell ref="C5:E5"/>
    <mergeCell ref="C6:E6"/>
  </mergeCells>
  <dataValidations count="1">
    <dataValidation type="list" allowBlank="1" showErrorMessage="1" errorTitle="Valeur non autorisée" error="Choisissez un type dans la liste." sqref="C6" xr:uid="{00000000-0002-0000-0100-000000000000}">
      <formula1>$C$67:$C$71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A6E96"/>
  </sheetPr>
  <dimension ref="B1:F32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8.7109375" defaultRowHeight="15" x14ac:dyDescent="0.25"/>
  <cols>
    <col min="1" max="1" width="2.42578125" customWidth="1"/>
    <col min="2" max="2" width="42" customWidth="1"/>
    <col min="3" max="3" width="16" customWidth="1"/>
    <col min="4" max="4" width="14" customWidth="1"/>
    <col min="5" max="5" width="16" customWidth="1"/>
    <col min="6" max="6" width="14" customWidth="1"/>
  </cols>
  <sheetData>
    <row r="1" spans="2:6" ht="25.5" customHeight="1" x14ac:dyDescent="0.25">
      <c r="B1" s="5" t="s">
        <v>115</v>
      </c>
      <c r="C1" s="5"/>
      <c r="D1" s="5"/>
      <c r="E1" s="5"/>
      <c r="F1" s="5"/>
    </row>
    <row r="2" spans="2:6" x14ac:dyDescent="0.25">
      <c r="B2" s="4" t="s">
        <v>116</v>
      </c>
      <c r="C2" s="4"/>
      <c r="D2" s="4"/>
      <c r="E2" s="4"/>
      <c r="F2" s="4"/>
    </row>
    <row r="4" spans="2:6" ht="15.75" x14ac:dyDescent="0.25">
      <c r="B4" s="12" t="s">
        <v>117</v>
      </c>
      <c r="C4" s="12"/>
      <c r="D4" s="12"/>
      <c r="E4" s="12"/>
      <c r="F4" s="12"/>
    </row>
    <row r="5" spans="2:6" ht="25.5" customHeight="1" x14ac:dyDescent="0.25">
      <c r="B5" s="33" t="s">
        <v>83</v>
      </c>
      <c r="C5" s="34" t="s">
        <v>118</v>
      </c>
      <c r="D5" s="34" t="s">
        <v>119</v>
      </c>
      <c r="E5" s="34" t="s">
        <v>120</v>
      </c>
    </row>
    <row r="6" spans="2:6" x14ac:dyDescent="0.25">
      <c r="B6" s="40" t="s">
        <v>121</v>
      </c>
      <c r="C6" s="41">
        <v>2500</v>
      </c>
      <c r="D6" s="25">
        <v>5</v>
      </c>
      <c r="E6" s="42">
        <f t="shared" ref="E6:E15" si="0">IF(D6=0,0,C6/D6)</f>
        <v>500</v>
      </c>
    </row>
    <row r="7" spans="2:6" x14ac:dyDescent="0.25">
      <c r="B7" s="40" t="s">
        <v>122</v>
      </c>
      <c r="C7" s="41">
        <v>45000</v>
      </c>
      <c r="D7" s="25">
        <v>0</v>
      </c>
      <c r="E7" s="42">
        <f t="shared" si="0"/>
        <v>0</v>
      </c>
    </row>
    <row r="8" spans="2:6" x14ac:dyDescent="0.25">
      <c r="B8" s="40" t="s">
        <v>123</v>
      </c>
      <c r="C8" s="41">
        <v>35000</v>
      </c>
      <c r="D8" s="25">
        <v>9</v>
      </c>
      <c r="E8" s="42">
        <f t="shared" si="0"/>
        <v>3888.8888888888887</v>
      </c>
    </row>
    <row r="9" spans="2:6" x14ac:dyDescent="0.25">
      <c r="B9" s="40" t="s">
        <v>124</v>
      </c>
      <c r="C9" s="41">
        <v>18000</v>
      </c>
      <c r="D9" s="25">
        <v>5</v>
      </c>
      <c r="E9" s="42">
        <f t="shared" si="0"/>
        <v>3600</v>
      </c>
    </row>
    <row r="10" spans="2:6" x14ac:dyDescent="0.25">
      <c r="B10" s="40" t="s">
        <v>125</v>
      </c>
      <c r="C10" s="41">
        <v>9000</v>
      </c>
      <c r="D10" s="25">
        <v>8</v>
      </c>
      <c r="E10" s="42">
        <f t="shared" si="0"/>
        <v>1125</v>
      </c>
    </row>
    <row r="11" spans="2:6" x14ac:dyDescent="0.25">
      <c r="B11" s="40" t="s">
        <v>126</v>
      </c>
      <c r="C11" s="41">
        <v>3500</v>
      </c>
      <c r="D11" s="25">
        <v>3</v>
      </c>
      <c r="E11" s="42">
        <f t="shared" si="0"/>
        <v>1166.6666666666667</v>
      </c>
    </row>
    <row r="12" spans="2:6" x14ac:dyDescent="0.25">
      <c r="B12" s="40" t="s">
        <v>127</v>
      </c>
      <c r="C12" s="41">
        <v>4000</v>
      </c>
      <c r="D12" s="25">
        <v>5</v>
      </c>
      <c r="E12" s="42">
        <f t="shared" si="0"/>
        <v>800</v>
      </c>
    </row>
    <row r="13" spans="2:6" x14ac:dyDescent="0.25">
      <c r="B13" s="40" t="s">
        <v>128</v>
      </c>
      <c r="C13" s="41">
        <v>6000</v>
      </c>
      <c r="D13" s="25">
        <v>0</v>
      </c>
      <c r="E13" s="42">
        <f t="shared" si="0"/>
        <v>0</v>
      </c>
    </row>
    <row r="14" spans="2:6" x14ac:dyDescent="0.25">
      <c r="B14" s="40" t="s">
        <v>129</v>
      </c>
      <c r="C14" s="41">
        <v>3000</v>
      </c>
      <c r="D14" s="25">
        <v>0</v>
      </c>
      <c r="E14" s="42">
        <f t="shared" si="0"/>
        <v>0</v>
      </c>
    </row>
    <row r="15" spans="2:6" x14ac:dyDescent="0.25">
      <c r="B15" s="40" t="s">
        <v>130</v>
      </c>
      <c r="C15" s="41">
        <v>15000</v>
      </c>
      <c r="D15" s="25">
        <v>0</v>
      </c>
      <c r="E15" s="42">
        <f t="shared" si="0"/>
        <v>0</v>
      </c>
    </row>
    <row r="16" spans="2:6" x14ac:dyDescent="0.25">
      <c r="B16" s="43" t="s">
        <v>131</v>
      </c>
      <c r="C16" s="44">
        <f>SUM(C6:C15)</f>
        <v>141000</v>
      </c>
      <c r="D16" s="45"/>
      <c r="E16" s="44">
        <f>SUM(E6:E15)</f>
        <v>11080.555555555555</v>
      </c>
    </row>
    <row r="18" spans="2:6" ht="15.75" x14ac:dyDescent="0.25">
      <c r="B18" s="12" t="s">
        <v>132</v>
      </c>
      <c r="C18" s="12"/>
      <c r="D18" s="12"/>
      <c r="E18" s="12"/>
      <c r="F18" s="12"/>
    </row>
    <row r="19" spans="2:6" x14ac:dyDescent="0.25">
      <c r="B19" s="16" t="s">
        <v>133</v>
      </c>
      <c r="C19" s="73" t="s">
        <v>118</v>
      </c>
      <c r="D19" s="73"/>
      <c r="E19" s="73"/>
    </row>
    <row r="20" spans="2:6" x14ac:dyDescent="0.25">
      <c r="B20" s="23" t="s">
        <v>134</v>
      </c>
      <c r="C20" s="74">
        <v>51000</v>
      </c>
      <c r="D20" s="74"/>
      <c r="E20" s="74"/>
    </row>
    <row r="21" spans="2:6" x14ac:dyDescent="0.25">
      <c r="B21" s="23" t="s">
        <v>135</v>
      </c>
      <c r="C21" s="74">
        <v>90000</v>
      </c>
      <c r="D21" s="74"/>
      <c r="E21" s="74"/>
    </row>
    <row r="22" spans="2:6" x14ac:dyDescent="0.25">
      <c r="B22" s="23" t="s">
        <v>136</v>
      </c>
      <c r="C22" s="74">
        <v>0</v>
      </c>
      <c r="D22" s="74"/>
      <c r="E22" s="74"/>
    </row>
    <row r="23" spans="2:6" x14ac:dyDescent="0.25">
      <c r="B23" s="43" t="s">
        <v>137</v>
      </c>
      <c r="C23" s="75">
        <f>SUM(C20:C22)</f>
        <v>141000</v>
      </c>
      <c r="D23" s="75"/>
      <c r="E23" s="75"/>
    </row>
    <row r="24" spans="2:6" x14ac:dyDescent="0.25">
      <c r="B24" s="46" t="s">
        <v>138</v>
      </c>
      <c r="C24" s="76">
        <f>C23-C16</f>
        <v>0</v>
      </c>
      <c r="D24" s="76"/>
      <c r="E24" s="76"/>
    </row>
    <row r="25" spans="2:6" x14ac:dyDescent="0.25">
      <c r="B25" s="77" t="str">
        <f>IF(C23-C16=0,"✔ PLAN ÉQUILIBRÉ","⚠ À AJUSTER — écart de "&amp;TEXT(ABS(C23-C16),"#,##0")&amp;" €")</f>
        <v>✔ PLAN ÉQUILIBRÉ</v>
      </c>
      <c r="C25" s="77"/>
      <c r="D25" s="77"/>
      <c r="E25" s="77"/>
    </row>
    <row r="27" spans="2:6" ht="15.75" x14ac:dyDescent="0.25">
      <c r="B27" s="12" t="s">
        <v>139</v>
      </c>
      <c r="C27" s="12"/>
      <c r="D27" s="12"/>
      <c r="E27" s="12"/>
      <c r="F27" s="12"/>
    </row>
    <row r="28" spans="2:6" x14ac:dyDescent="0.25">
      <c r="B28" s="18" t="s">
        <v>140</v>
      </c>
      <c r="C28" s="78">
        <f>IFERROR(-PMT(Hypothèses!$C$20/12,Hypothèses!$C$21*12,C21),0)</f>
        <v>1209.5865567595758</v>
      </c>
      <c r="D28" s="78"/>
      <c r="E28" s="78"/>
    </row>
    <row r="29" spans="2:6" ht="25.5" customHeight="1" x14ac:dyDescent="0.25">
      <c r="B29" s="47" t="s">
        <v>141</v>
      </c>
      <c r="C29" s="48" t="s">
        <v>142</v>
      </c>
      <c r="D29" s="48" t="s">
        <v>143</v>
      </c>
      <c r="E29" s="48" t="s">
        <v>144</v>
      </c>
      <c r="F29" s="48" t="s">
        <v>145</v>
      </c>
    </row>
    <row r="30" spans="2:6" x14ac:dyDescent="0.25">
      <c r="B30" s="49" t="s">
        <v>146</v>
      </c>
      <c r="C30" s="42">
        <f>C21</f>
        <v>90000</v>
      </c>
      <c r="D30" s="42">
        <f>IFERROR(-CUMIPMT(Hypothèses!$C$20/12,Hypothèses!$C$21*12,C21,1,12,0),0)</f>
        <v>2965.9016525335282</v>
      </c>
      <c r="E30" s="42">
        <f>IFERROR(-CUMPRINC(Hypothèses!$C$20/12,Hypothèses!$C$21*12,C21,1,12,0),0)</f>
        <v>11549.137028581383</v>
      </c>
      <c r="F30" s="42">
        <f>C30-E30</f>
        <v>78450.862971418625</v>
      </c>
    </row>
    <row r="31" spans="2:6" x14ac:dyDescent="0.25">
      <c r="B31" s="49" t="s">
        <v>147</v>
      </c>
      <c r="C31" s="42">
        <f>F30</f>
        <v>78450.862971418625</v>
      </c>
      <c r="D31" s="42">
        <f>IFERROR(-CUMIPMT(Hypothèses!$C$20/12,Hypothèses!$C$21*12,C21,13,24,0),0)</f>
        <v>2555.1340392714064</v>
      </c>
      <c r="E31" s="42">
        <f>IFERROR(-CUMPRINC(Hypothèses!$C$20/12,Hypothèses!$C$21*12,C21,13,24,0),0)</f>
        <v>11959.904641843505</v>
      </c>
      <c r="F31" s="42">
        <f>C31-E31</f>
        <v>66490.958329575122</v>
      </c>
    </row>
    <row r="32" spans="2:6" x14ac:dyDescent="0.25">
      <c r="B32" s="49" t="s">
        <v>148</v>
      </c>
      <c r="C32" s="42">
        <f>F31</f>
        <v>66490.958329575122</v>
      </c>
      <c r="D32" s="42">
        <f>IFERROR(-CUMIPMT(Hypothèses!$C$20/12,Hypothèses!$C$21*12,C21,25,36,0),0)</f>
        <v>2129.7566736366662</v>
      </c>
      <c r="E32" s="42">
        <f>IFERROR(-CUMPRINC(Hypothèses!$C$20/12,Hypothèses!$C$21*12,C21,25,36,0),0)</f>
        <v>12385.282007478245</v>
      </c>
      <c r="F32" s="42">
        <f>C32-E32</f>
        <v>54105.676322096879</v>
      </c>
    </row>
  </sheetData>
  <mergeCells count="13">
    <mergeCell ref="B25:E25"/>
    <mergeCell ref="B27:F27"/>
    <mergeCell ref="C28:E28"/>
    <mergeCell ref="C20:E20"/>
    <mergeCell ref="C21:E21"/>
    <mergeCell ref="C22:E22"/>
    <mergeCell ref="C23:E23"/>
    <mergeCell ref="C24:E24"/>
    <mergeCell ref="B1:F1"/>
    <mergeCell ref="B2:F2"/>
    <mergeCell ref="B4:F4"/>
    <mergeCell ref="B18:F18"/>
    <mergeCell ref="C19:E19"/>
  </mergeCells>
  <conditionalFormatting sqref="B25:E25">
    <cfRule type="expression" dxfId="2" priority="2">
      <formula>$C$23-$C$16&lt;&gt;0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B3A5B"/>
  </sheetPr>
  <dimension ref="B1:F27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42" customWidth="1"/>
    <col min="3" max="5" width="16" customWidth="1"/>
    <col min="6" max="6" width="13" customWidth="1"/>
  </cols>
  <sheetData>
    <row r="1" spans="2:6" ht="25.5" customHeight="1" x14ac:dyDescent="0.25">
      <c r="B1" s="5" t="s">
        <v>149</v>
      </c>
      <c r="C1" s="5"/>
      <c r="D1" s="5"/>
      <c r="E1" s="5"/>
      <c r="F1" s="5"/>
    </row>
    <row r="2" spans="2:6" x14ac:dyDescent="0.25">
      <c r="B2" s="4" t="s">
        <v>150</v>
      </c>
      <c r="C2" s="4"/>
      <c r="D2" s="4"/>
      <c r="E2" s="4"/>
      <c r="F2" s="4"/>
    </row>
    <row r="4" spans="2:6" ht="24" customHeight="1" x14ac:dyDescent="0.25">
      <c r="B4" s="50" t="s">
        <v>83</v>
      </c>
      <c r="C4" s="51" t="s">
        <v>151</v>
      </c>
      <c r="D4" s="51" t="s">
        <v>152</v>
      </c>
      <c r="E4" s="51" t="s">
        <v>153</v>
      </c>
      <c r="F4" s="52" t="s">
        <v>154</v>
      </c>
    </row>
    <row r="5" spans="2:6" x14ac:dyDescent="0.25">
      <c r="B5" s="79" t="s">
        <v>155</v>
      </c>
      <c r="C5" s="79"/>
      <c r="D5" s="79"/>
      <c r="E5" s="79"/>
      <c r="F5" s="79"/>
    </row>
    <row r="6" spans="2:6" x14ac:dyDescent="0.25">
      <c r="B6" s="23" t="s">
        <v>156</v>
      </c>
      <c r="C6" s="42">
        <f>Hypothèses!$E$34</f>
        <v>206750</v>
      </c>
      <c r="D6" s="42">
        <f>C6*(1+Hypothèses!$C$13)</f>
        <v>223290.00000000003</v>
      </c>
      <c r="E6" s="42">
        <f>D6*(1+Hypothèses!$C$14)</f>
        <v>234454.50000000003</v>
      </c>
      <c r="F6" s="54"/>
    </row>
    <row r="7" spans="2:6" x14ac:dyDescent="0.25">
      <c r="B7" s="23" t="s">
        <v>157</v>
      </c>
      <c r="C7" s="42">
        <f>Hypothèses!$C$37</f>
        <v>22000</v>
      </c>
      <c r="D7" s="42">
        <f>C7*(1+Hypothèses!$C$13)</f>
        <v>23760</v>
      </c>
      <c r="E7" s="42">
        <f>D7*(1+Hypothèses!$C$14)</f>
        <v>24948</v>
      </c>
      <c r="F7" s="54"/>
    </row>
    <row r="8" spans="2:6" x14ac:dyDescent="0.25">
      <c r="B8" s="53" t="s">
        <v>158</v>
      </c>
      <c r="C8" s="29">
        <f>C6+C7</f>
        <v>228750</v>
      </c>
      <c r="D8" s="29">
        <f>D6+D7</f>
        <v>247050.00000000003</v>
      </c>
      <c r="E8" s="29">
        <f>E6+E7</f>
        <v>259402.50000000003</v>
      </c>
      <c r="F8" s="55">
        <f>IFERROR(C8/$C$8,0)</f>
        <v>1</v>
      </c>
    </row>
    <row r="10" spans="2:6" x14ac:dyDescent="0.25">
      <c r="B10" s="79" t="s">
        <v>159</v>
      </c>
      <c r="C10" s="79"/>
      <c r="D10" s="79"/>
      <c r="E10" s="79"/>
      <c r="F10" s="79"/>
    </row>
    <row r="11" spans="2:6" x14ac:dyDescent="0.25">
      <c r="B11" s="23" t="s">
        <v>160</v>
      </c>
      <c r="C11" s="42">
        <f>C6*Hypothèses!$C$16</f>
        <v>20675</v>
      </c>
      <c r="D11" s="42">
        <f>D6*Hypothèses!$C$16</f>
        <v>22329.000000000004</v>
      </c>
      <c r="E11" s="42">
        <f>E6*Hypothèses!$C$16</f>
        <v>23445.450000000004</v>
      </c>
      <c r="F11" s="56">
        <f>IFERROR(C11/$C$8,0)</f>
        <v>9.0382513661202188E-2</v>
      </c>
    </row>
    <row r="12" spans="2:6" x14ac:dyDescent="0.25">
      <c r="B12" s="23" t="s">
        <v>161</v>
      </c>
      <c r="C12" s="42">
        <f>C7*(1-Hypothèses!$C$17)</f>
        <v>12100.000000000002</v>
      </c>
      <c r="D12" s="42">
        <f>D7*(1-Hypothèses!$C$17)</f>
        <v>13068.000000000002</v>
      </c>
      <c r="E12" s="42">
        <f>E7*(1-Hypothèses!$C$17)</f>
        <v>13721.400000000001</v>
      </c>
      <c r="F12" s="56">
        <f>IFERROR(C12/$C$8,0)</f>
        <v>5.2896174863387983E-2</v>
      </c>
    </row>
    <row r="13" spans="2:6" x14ac:dyDescent="0.25">
      <c r="B13" s="18" t="s">
        <v>162</v>
      </c>
      <c r="C13" s="57">
        <f>C8-C11-C12</f>
        <v>195975</v>
      </c>
      <c r="D13" s="57">
        <f>D8-D11-D12</f>
        <v>211653.00000000003</v>
      </c>
      <c r="E13" s="57">
        <f>E8-E11-E12</f>
        <v>222235.65000000002</v>
      </c>
      <c r="F13" s="58">
        <f>IFERROR(C13/$C$8,0)</f>
        <v>0.85672131147540986</v>
      </c>
    </row>
    <row r="15" spans="2:6" x14ac:dyDescent="0.25">
      <c r="B15" s="53" t="s">
        <v>163</v>
      </c>
      <c r="C15" s="37"/>
      <c r="D15" s="37"/>
      <c r="E15" s="37"/>
      <c r="F15" s="37"/>
    </row>
    <row r="16" spans="2:6" x14ac:dyDescent="0.25">
      <c r="B16" s="23" t="s">
        <v>164</v>
      </c>
      <c r="C16" s="42">
        <f>Hypothèses!$D$62</f>
        <v>34320</v>
      </c>
      <c r="D16" s="42">
        <f>C16*(1+Hypothèses!$C$15)</f>
        <v>35006.400000000001</v>
      </c>
      <c r="E16" s="42">
        <f>D16*(1+Hypothèses!$C$15)</f>
        <v>35706.528000000006</v>
      </c>
      <c r="F16" s="56">
        <f t="shared" ref="F16:F27" si="0">IFERROR(C16/$C$8,0)</f>
        <v>0.15003278688524591</v>
      </c>
    </row>
    <row r="17" spans="2:6" x14ac:dyDescent="0.25">
      <c r="B17" s="23" t="s">
        <v>165</v>
      </c>
      <c r="C17" s="42">
        <f>Hypothèses!$E$65</f>
        <v>1800</v>
      </c>
      <c r="D17" s="42">
        <f>C17*(1+Hypothèses!$C$15)</f>
        <v>1836</v>
      </c>
      <c r="E17" s="42">
        <f>D17*(1+Hypothèses!$C$15)</f>
        <v>1872.72</v>
      </c>
      <c r="F17" s="56">
        <f t="shared" si="0"/>
        <v>7.8688524590163934E-3</v>
      </c>
    </row>
    <row r="18" spans="2:6" x14ac:dyDescent="0.25">
      <c r="B18" s="23" t="s">
        <v>166</v>
      </c>
      <c r="C18" s="42">
        <f>Hypothèses!$E$45</f>
        <v>84348</v>
      </c>
      <c r="D18" s="42">
        <f>C18*(1+Hypothèses!$C$15)</f>
        <v>86034.96</v>
      </c>
      <c r="E18" s="42">
        <f>D18*(1+Hypothèses!$C$15)</f>
        <v>87755.659200000009</v>
      </c>
      <c r="F18" s="56">
        <f t="shared" si="0"/>
        <v>0.36873442622950819</v>
      </c>
    </row>
    <row r="19" spans="2:6" x14ac:dyDescent="0.25">
      <c r="B19" s="23" t="s">
        <v>167</v>
      </c>
      <c r="C19" s="42">
        <f>Hypothèses!$E$46</f>
        <v>28000</v>
      </c>
      <c r="D19" s="42">
        <f>Hypothèses!$E$46</f>
        <v>28000</v>
      </c>
      <c r="E19" s="42">
        <f>Hypothèses!$E$46</f>
        <v>28000</v>
      </c>
      <c r="F19" s="56">
        <f t="shared" si="0"/>
        <v>0.12240437158469945</v>
      </c>
    </row>
    <row r="20" spans="2:6" x14ac:dyDescent="0.25">
      <c r="B20" s="18" t="s">
        <v>168</v>
      </c>
      <c r="C20" s="57">
        <f>C13-C16-C17-C18-C19</f>
        <v>47507</v>
      </c>
      <c r="D20" s="57">
        <f>D13-D16-D17-D18-D19</f>
        <v>60775.640000000029</v>
      </c>
      <c r="E20" s="57">
        <f>E13-E16-E17-E18-E19</f>
        <v>68900.742800000022</v>
      </c>
      <c r="F20" s="58">
        <f t="shared" si="0"/>
        <v>0.20768087431693988</v>
      </c>
    </row>
    <row r="21" spans="2:6" x14ac:dyDescent="0.25">
      <c r="B21" s="23" t="s">
        <v>169</v>
      </c>
      <c r="C21" s="42">
        <f>'Plan de financement'!$E$16</f>
        <v>11080.555555555555</v>
      </c>
      <c r="D21" s="42">
        <f>'Plan de financement'!$E$16</f>
        <v>11080.555555555555</v>
      </c>
      <c r="E21" s="42">
        <f>'Plan de financement'!$E$16</f>
        <v>11080.555555555555</v>
      </c>
      <c r="F21" s="56">
        <f t="shared" si="0"/>
        <v>4.8439587128111715E-2</v>
      </c>
    </row>
    <row r="22" spans="2:6" x14ac:dyDescent="0.25">
      <c r="B22" s="18" t="s">
        <v>170</v>
      </c>
      <c r="C22" s="57">
        <f>C20-C21</f>
        <v>36426.444444444445</v>
      </c>
      <c r="D22" s="57">
        <f>D20-D21</f>
        <v>49695.084444444474</v>
      </c>
      <c r="E22" s="57">
        <f>E20-E21</f>
        <v>57820.187244444467</v>
      </c>
      <c r="F22" s="58">
        <f t="shared" si="0"/>
        <v>0.15924128718882818</v>
      </c>
    </row>
    <row r="23" spans="2:6" x14ac:dyDescent="0.25">
      <c r="B23" s="23" t="s">
        <v>171</v>
      </c>
      <c r="C23" s="42">
        <f>'Plan de financement'!$D$30</f>
        <v>2965.9016525335282</v>
      </c>
      <c r="D23" s="42">
        <f>'Plan de financement'!$D$31</f>
        <v>2555.1340392714064</v>
      </c>
      <c r="E23" s="42">
        <f>'Plan de financement'!$D$32</f>
        <v>2129.7566736366662</v>
      </c>
      <c r="F23" s="56">
        <f t="shared" si="0"/>
        <v>1.2965690284299577E-2</v>
      </c>
    </row>
    <row r="24" spans="2:6" x14ac:dyDescent="0.25">
      <c r="B24" s="18" t="s">
        <v>172</v>
      </c>
      <c r="C24" s="57">
        <f>C22-C23</f>
        <v>33460.542791910921</v>
      </c>
      <c r="D24" s="57">
        <f>D22-D23</f>
        <v>47139.950405173069</v>
      </c>
      <c r="E24" s="57">
        <f>E22-E23</f>
        <v>55690.430570807803</v>
      </c>
      <c r="F24" s="58">
        <f t="shared" si="0"/>
        <v>0.14627559690452863</v>
      </c>
    </row>
    <row r="25" spans="2:6" x14ac:dyDescent="0.25">
      <c r="B25" s="23" t="s">
        <v>173</v>
      </c>
      <c r="C25" s="42">
        <f>MAX(0,C24)*Hypothèses!$C$19</f>
        <v>5019.0814187866381</v>
      </c>
      <c r="D25" s="42">
        <f>MAX(0,D24)*Hypothèses!$C$19</f>
        <v>7070.9925607759606</v>
      </c>
      <c r="E25" s="42">
        <f>MAX(0,E24)*Hypothèses!$C$19</f>
        <v>8353.5645856211704</v>
      </c>
      <c r="F25" s="56">
        <f t="shared" si="0"/>
        <v>2.1941339535679293E-2</v>
      </c>
    </row>
    <row r="26" spans="2:6" ht="15.75" x14ac:dyDescent="0.25">
      <c r="B26" s="59" t="s">
        <v>174</v>
      </c>
      <c r="C26" s="60">
        <f>C24-C25</f>
        <v>28441.461373124283</v>
      </c>
      <c r="D26" s="60">
        <f>D24-D25</f>
        <v>40068.957844397111</v>
      </c>
      <c r="E26" s="60">
        <f>E24-E25</f>
        <v>47336.865985186632</v>
      </c>
      <c r="F26" s="61">
        <f t="shared" si="0"/>
        <v>0.12433425736884932</v>
      </c>
    </row>
    <row r="27" spans="2:6" x14ac:dyDescent="0.25">
      <c r="B27" s="18" t="s">
        <v>175</v>
      </c>
      <c r="C27" s="57">
        <f>C26+C21</f>
        <v>39522.016928679834</v>
      </c>
      <c r="D27" s="57">
        <f>D26+D21</f>
        <v>51149.513399952666</v>
      </c>
      <c r="E27" s="57">
        <f>E26+E21</f>
        <v>58417.421540742187</v>
      </c>
      <c r="F27" s="58">
        <f t="shared" si="0"/>
        <v>0.17277384449696101</v>
      </c>
    </row>
  </sheetData>
  <mergeCells count="4">
    <mergeCell ref="B1:F1"/>
    <mergeCell ref="B2:F2"/>
    <mergeCell ref="B5:F5"/>
    <mergeCell ref="B10:F10"/>
  </mergeCells>
  <conditionalFormatting sqref="C26:E26">
    <cfRule type="cellIs" dxfId="1" priority="2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9A24B"/>
  </sheetPr>
  <dimension ref="B1:F34"/>
  <sheetViews>
    <sheetView showGridLines="0" zoomScaleNormal="100" workbookViewId="0"/>
  </sheetViews>
  <sheetFormatPr baseColWidth="10" defaultColWidth="8.7109375" defaultRowHeight="15" x14ac:dyDescent="0.25"/>
  <cols>
    <col min="1" max="1" width="2.42578125" customWidth="1"/>
    <col min="2" max="2" width="34" customWidth="1"/>
    <col min="3" max="3" width="16" customWidth="1"/>
    <col min="4" max="4" width="3" customWidth="1"/>
    <col min="5" max="5" width="30" customWidth="1"/>
    <col min="6" max="6" width="16" customWidth="1"/>
  </cols>
  <sheetData>
    <row r="1" spans="2:6" ht="25.5" customHeight="1" x14ac:dyDescent="0.25">
      <c r="B1" s="5" t="s">
        <v>176</v>
      </c>
      <c r="C1" s="5"/>
      <c r="D1" s="5"/>
      <c r="E1" s="5"/>
      <c r="F1" s="5"/>
    </row>
    <row r="2" spans="2:6" x14ac:dyDescent="0.25">
      <c r="B2" s="4" t="s">
        <v>177</v>
      </c>
      <c r="C2" s="4"/>
      <c r="D2" s="4"/>
      <c r="E2" s="4"/>
      <c r="F2" s="4"/>
    </row>
    <row r="4" spans="2:6" ht="15.75" x14ac:dyDescent="0.25">
      <c r="B4" s="12" t="s">
        <v>178</v>
      </c>
      <c r="C4" s="12"/>
      <c r="D4" s="12"/>
      <c r="E4" s="12"/>
      <c r="F4" s="12"/>
    </row>
    <row r="5" spans="2:6" x14ac:dyDescent="0.25">
      <c r="B5" s="80" t="s">
        <v>179</v>
      </c>
      <c r="C5" s="80"/>
      <c r="E5" s="81" t="s">
        <v>180</v>
      </c>
      <c r="F5" s="81"/>
    </row>
    <row r="6" spans="2:6" ht="23.25" x14ac:dyDescent="0.25">
      <c r="B6" s="82">
        <f>'Compte de résultat'!$C$8</f>
        <v>228750</v>
      </c>
      <c r="C6" s="82"/>
      <c r="E6" s="83">
        <f>'Compte de résultat'!$C$26</f>
        <v>28441.461373124283</v>
      </c>
      <c r="F6" s="83"/>
    </row>
    <row r="8" spans="2:6" x14ac:dyDescent="0.25">
      <c r="B8" s="62" t="s">
        <v>181</v>
      </c>
      <c r="C8" s="48" t="s">
        <v>182</v>
      </c>
      <c r="E8" s="62" t="s">
        <v>183</v>
      </c>
      <c r="F8" s="62" t="s">
        <v>184</v>
      </c>
    </row>
    <row r="9" spans="2:6" ht="17.25" x14ac:dyDescent="0.25">
      <c r="B9" s="63">
        <f>'Compte de résultat'!$C$20</f>
        <v>47507</v>
      </c>
      <c r="C9" s="64">
        <f>IFERROR('Compte de résultat'!$C$26/'Compte de résultat'!$C$8,0)</f>
        <v>0.12433425736884932</v>
      </c>
      <c r="E9" s="64">
        <f>IFERROR('Compte de résultat'!$C$20/'Compte de résultat'!$C$8,0)</f>
        <v>0.20768087431693988</v>
      </c>
      <c r="F9" s="63">
        <f>'Compte de résultat'!$C$27</f>
        <v>39522.016928679834</v>
      </c>
    </row>
    <row r="11" spans="2:6" ht="15.75" x14ac:dyDescent="0.25">
      <c r="B11" s="8" t="s">
        <v>185</v>
      </c>
      <c r="C11" s="8"/>
      <c r="D11" s="8"/>
      <c r="E11" s="8"/>
      <c r="F11" s="8"/>
    </row>
    <row r="12" spans="2:6" x14ac:dyDescent="0.25">
      <c r="B12" s="23" t="s">
        <v>186</v>
      </c>
      <c r="C12" s="65">
        <f>('Compte de résultat'!$C$11+'Compte de résultat'!$C$12)</f>
        <v>32775</v>
      </c>
    </row>
    <row r="13" spans="2:6" x14ac:dyDescent="0.25">
      <c r="B13" s="23" t="s">
        <v>187</v>
      </c>
      <c r="C13" s="66">
        <f>IFERROR(('Compte de résultat'!$C$8-('Compte de résultat'!$C$11+'Compte de résultat'!$C$12))/'Compte de résultat'!$C$8,0)</f>
        <v>0.85672131147540986</v>
      </c>
    </row>
    <row r="14" spans="2:6" x14ac:dyDescent="0.25">
      <c r="B14" s="23" t="s">
        <v>188</v>
      </c>
      <c r="C14" s="65">
        <f>('Compte de résultat'!$C$16+'Compte de résultat'!$C$17+'Compte de résultat'!$C$18+'Compte de résultat'!$C$19+'Compte de résultat'!$C$21+'Compte de résultat'!$C$23)</f>
        <v>162514.45720808909</v>
      </c>
    </row>
    <row r="15" spans="2:6" x14ac:dyDescent="0.25">
      <c r="B15" s="18" t="s">
        <v>189</v>
      </c>
      <c r="C15" s="67">
        <f>IFERROR(('Compte de résultat'!$C$16+'Compte de résultat'!$C$17+'Compte de résultat'!$C$18+'Compte de résultat'!$C$19+'Compte de résultat'!$C$21+'Compte de résultat'!$C$23)/(('Compte de résultat'!$C$8-('Compte de résultat'!$C$11+'Compte de résultat'!$C$12))/'Compte de résultat'!$C$8),0)</f>
        <v>189693.49195739446</v>
      </c>
    </row>
    <row r="16" spans="2:6" x14ac:dyDescent="0.25">
      <c r="B16" s="23" t="s">
        <v>190</v>
      </c>
      <c r="C16" s="68">
        <f>IFERROR(IFERROR(('Compte de résultat'!$C$16+'Compte de résultat'!$C$17+'Compte de résultat'!$C$18+'Compte de résultat'!$C$19+'Compte de résultat'!$C$21+'Compte de résultat'!$C$23)/(('Compte de résultat'!$C$8-('Compte de résultat'!$C$11+'Compte de résultat'!$C$12))/'Compte de résultat'!$C$8),0)/'Compte de résultat'!$C$8*Hypothèses!$C$10,0)</f>
        <v>219.75420926211817</v>
      </c>
    </row>
    <row r="17" spans="2:6" x14ac:dyDescent="0.25">
      <c r="B17" s="23" t="s">
        <v>191</v>
      </c>
      <c r="C17" s="65">
        <f>'Compte de résultat'!$C$8-IFERROR(('Compte de résultat'!$C$16+'Compte de résultat'!$C$17+'Compte de résultat'!$C$18+'Compte de résultat'!$C$19+'Compte de résultat'!$C$21+'Compte de résultat'!$C$23)/(('Compte de résultat'!$C$8-('Compte de résultat'!$C$11+'Compte de résultat'!$C$12))/'Compte de résultat'!$C$8),0)</f>
        <v>39056.508042605536</v>
      </c>
    </row>
    <row r="19" spans="2:6" ht="15.75" x14ac:dyDescent="0.25">
      <c r="B19" s="12" t="s">
        <v>192</v>
      </c>
      <c r="C19" s="12"/>
      <c r="D19" s="12"/>
      <c r="E19" s="12"/>
      <c r="F19" s="12"/>
    </row>
    <row r="20" spans="2:6" x14ac:dyDescent="0.25">
      <c r="B20" s="69" t="s">
        <v>193</v>
      </c>
      <c r="C20" s="70" t="s">
        <v>146</v>
      </c>
      <c r="D20" s="70" t="s">
        <v>147</v>
      </c>
      <c r="E20" s="70" t="s">
        <v>148</v>
      </c>
    </row>
    <row r="21" spans="2:6" x14ac:dyDescent="0.25">
      <c r="B21" s="23" t="s">
        <v>194</v>
      </c>
      <c r="C21" s="42">
        <f>'Compte de résultat'!$C$8</f>
        <v>228750</v>
      </c>
      <c r="D21" s="42">
        <f>'Compte de résultat'!$D$8</f>
        <v>247050.00000000003</v>
      </c>
      <c r="E21" s="42">
        <f>'Compte de résultat'!$E$8</f>
        <v>259402.50000000003</v>
      </c>
    </row>
    <row r="22" spans="2:6" x14ac:dyDescent="0.25">
      <c r="B22" s="23" t="s">
        <v>181</v>
      </c>
      <c r="C22" s="42">
        <f>'Compte de résultat'!$C$20</f>
        <v>47507</v>
      </c>
      <c r="D22" s="42">
        <f>'Compte de résultat'!$D$20</f>
        <v>60775.640000000029</v>
      </c>
      <c r="E22" s="42">
        <f>'Compte de résultat'!$E$20</f>
        <v>68900.742800000022</v>
      </c>
    </row>
    <row r="23" spans="2:6" x14ac:dyDescent="0.25">
      <c r="B23" s="23" t="s">
        <v>180</v>
      </c>
      <c r="C23" s="42">
        <f>'Compte de résultat'!$C$26</f>
        <v>28441.461373124283</v>
      </c>
      <c r="D23" s="42">
        <f>'Compte de résultat'!$D$26</f>
        <v>40068.957844397111</v>
      </c>
      <c r="E23" s="42">
        <f>'Compte de résultat'!$E$26</f>
        <v>47336.865985186632</v>
      </c>
    </row>
    <row r="25" spans="2:6" ht="15.75" x14ac:dyDescent="0.25">
      <c r="B25" s="12" t="s">
        <v>195</v>
      </c>
      <c r="C25" s="12"/>
      <c r="D25" s="12"/>
      <c r="E25" s="12"/>
      <c r="F25" s="12"/>
    </row>
    <row r="26" spans="2:6" x14ac:dyDescent="0.25">
      <c r="B26" s="69" t="s">
        <v>83</v>
      </c>
      <c r="C26" s="70" t="s">
        <v>118</v>
      </c>
    </row>
    <row r="27" spans="2:6" x14ac:dyDescent="0.25">
      <c r="B27" s="23" t="s">
        <v>196</v>
      </c>
      <c r="C27" s="42">
        <f>'Compte de résultat'!$C$11</f>
        <v>20675</v>
      </c>
    </row>
    <row r="28" spans="2:6" x14ac:dyDescent="0.25">
      <c r="B28" s="23" t="s">
        <v>197</v>
      </c>
      <c r="C28" s="42">
        <f>'Compte de résultat'!$C$12</f>
        <v>12100.000000000002</v>
      </c>
    </row>
    <row r="29" spans="2:6" x14ac:dyDescent="0.25">
      <c r="B29" s="23" t="s">
        <v>164</v>
      </c>
      <c r="C29" s="42">
        <f>'Compte de résultat'!$C$16</f>
        <v>34320</v>
      </c>
    </row>
    <row r="30" spans="2:6" x14ac:dyDescent="0.25">
      <c r="B30" s="23" t="s">
        <v>198</v>
      </c>
      <c r="C30" s="42">
        <f>'Compte de résultat'!$C$17</f>
        <v>1800</v>
      </c>
    </row>
    <row r="31" spans="2:6" x14ac:dyDescent="0.25">
      <c r="B31" s="23" t="s">
        <v>199</v>
      </c>
      <c r="C31" s="42">
        <f>'Compte de résultat'!$C$18</f>
        <v>84348</v>
      </c>
    </row>
    <row r="32" spans="2:6" x14ac:dyDescent="0.25">
      <c r="B32" s="23" t="s">
        <v>200</v>
      </c>
      <c r="C32" s="42">
        <f>'Compte de résultat'!$C$19</f>
        <v>28000</v>
      </c>
    </row>
    <row r="33" spans="2:3" x14ac:dyDescent="0.25">
      <c r="B33" s="23" t="s">
        <v>201</v>
      </c>
      <c r="C33" s="42">
        <f>'Compte de résultat'!$C$21</f>
        <v>11080.555555555555</v>
      </c>
    </row>
    <row r="34" spans="2:3" x14ac:dyDescent="0.25">
      <c r="B34" s="23" t="s">
        <v>202</v>
      </c>
      <c r="C34" s="42">
        <f>'Compte de résultat'!$C$23</f>
        <v>2965.9016525335282</v>
      </c>
    </row>
  </sheetData>
  <mergeCells count="10">
    <mergeCell ref="B6:C6"/>
    <mergeCell ref="E6:F6"/>
    <mergeCell ref="B11:F11"/>
    <mergeCell ref="B19:F19"/>
    <mergeCell ref="B25:F25"/>
    <mergeCell ref="B1:F1"/>
    <mergeCell ref="B2:F2"/>
    <mergeCell ref="B4:F4"/>
    <mergeCell ref="B5:C5"/>
    <mergeCell ref="E5:F5"/>
  </mergeCells>
  <conditionalFormatting sqref="E6">
    <cfRule type="cellIs" dxfId="0" priority="2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Mode d’emploi</vt:lpstr>
      <vt:lpstr>Hypothèses</vt:lpstr>
      <vt:lpstr>Plan de financement</vt:lpstr>
      <vt:lpstr>Compte de résultat</vt:lpstr>
      <vt:lpstr>Synthèse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2026-09-27T14:52:05Z</dcterms:created>
  <dcterms:modified xsi:type="dcterms:W3CDTF">2026-09-27T16:35:51Z</dcterms:modified>
  <dc:language>en-US</dc:language>
</cp:coreProperties>
</file>