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ModelesExcel\business plan salon de coiffure\"/>
    </mc:Choice>
  </mc:AlternateContent>
  <xr:revisionPtr revIDLastSave="0" documentId="13_ncr:1_{CFBF1E83-B07A-4718-BEE6-27DE451AB002}" xr6:coauthVersionLast="47" xr6:coauthVersionMax="47" xr10:uidLastSave="{00000000-0000-0000-0000-000000000000}"/>
  <bookViews>
    <workbookView xWindow="1035" yWindow="1035" windowWidth="25500" windowHeight="13500" tabRatio="500" xr2:uid="{00000000-000D-0000-FFFF-FFFF00000000}"/>
  </bookViews>
  <sheets>
    <sheet name="ACCUEIL" sheetId="1" r:id="rId1"/>
    <sheet name="HYPOTHÈSES" sheetId="2" r:id="rId2"/>
    <sheet name="INVESTISSEMENTS" sheetId="3" r:id="rId3"/>
    <sheet name="CA PRÉVISIONNEL" sheetId="4" r:id="rId4"/>
    <sheet name="COMPTE DE RÉSULTAT" sheetId="5" r:id="rId5"/>
    <sheet name="TRÉSORERIE" sheetId="6" r:id="rId6"/>
    <sheet name="SEUIL RENTABILITÉ" sheetId="7" r:id="rId7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5" i="7" l="1"/>
  <c r="D14" i="7"/>
  <c r="N16" i="6"/>
  <c r="L16" i="6"/>
  <c r="K16" i="6"/>
  <c r="I16" i="6"/>
  <c r="H16" i="6"/>
  <c r="F16" i="6"/>
  <c r="E16" i="6"/>
  <c r="N14" i="6"/>
  <c r="L14" i="6"/>
  <c r="K14" i="6"/>
  <c r="I14" i="6"/>
  <c r="H14" i="6"/>
  <c r="F14" i="6"/>
  <c r="E14" i="6"/>
  <c r="F24" i="5"/>
  <c r="E24" i="5"/>
  <c r="D24" i="5"/>
  <c r="F18" i="5"/>
  <c r="E18" i="5"/>
  <c r="D18" i="5"/>
  <c r="F11" i="5"/>
  <c r="E11" i="5"/>
  <c r="Q9" i="4"/>
  <c r="P9" i="4"/>
  <c r="N9" i="4"/>
  <c r="M9" i="4"/>
  <c r="L9" i="4"/>
  <c r="K9" i="4"/>
  <c r="J9" i="4"/>
  <c r="I9" i="4"/>
  <c r="H9" i="4"/>
  <c r="G9" i="4"/>
  <c r="F9" i="4"/>
  <c r="E9" i="4"/>
  <c r="O9" i="4" s="1"/>
  <c r="D11" i="5" s="1"/>
  <c r="D9" i="4"/>
  <c r="C9" i="4"/>
  <c r="D54" i="3"/>
  <c r="D49" i="3"/>
  <c r="D33" i="3"/>
  <c r="E32" i="3"/>
  <c r="E30" i="3"/>
  <c r="E29" i="3"/>
  <c r="E28" i="3"/>
  <c r="E27" i="3"/>
  <c r="E25" i="3"/>
  <c r="E24" i="3"/>
  <c r="E22" i="3"/>
  <c r="E21" i="3"/>
  <c r="E20" i="3"/>
  <c r="E19" i="3"/>
  <c r="E18" i="3"/>
  <c r="E17" i="3"/>
  <c r="E16" i="3"/>
  <c r="E14" i="3"/>
  <c r="E13" i="3"/>
  <c r="E12" i="3"/>
  <c r="E33" i="3" s="1"/>
  <c r="E71" i="2"/>
  <c r="D71" i="2"/>
  <c r="E70" i="2"/>
  <c r="E69" i="2"/>
  <c r="E68" i="2"/>
  <c r="E66" i="2"/>
  <c r="E65" i="2"/>
  <c r="E64" i="2"/>
  <c r="E62" i="2"/>
  <c r="E61" i="2"/>
  <c r="E60" i="2"/>
  <c r="E59" i="2"/>
  <c r="E58" i="2"/>
  <c r="E57" i="2"/>
  <c r="E56" i="2"/>
  <c r="E55" i="2"/>
  <c r="E54" i="2"/>
  <c r="H34" i="2"/>
  <c r="K8" i="4" s="1"/>
  <c r="K10" i="4" s="1"/>
  <c r="H32" i="2"/>
  <c r="H31" i="2"/>
  <c r="H30" i="2"/>
  <c r="H29" i="2"/>
  <c r="H28" i="2"/>
  <c r="H27" i="2"/>
  <c r="H26" i="2"/>
  <c r="H25" i="2"/>
  <c r="H24" i="2"/>
  <c r="H23" i="2"/>
  <c r="D12" i="6" l="1"/>
  <c r="D14" i="6" s="1"/>
  <c r="D53" i="3"/>
  <c r="D55" i="3" s="1"/>
  <c r="D56" i="3" s="1"/>
  <c r="O12" i="6"/>
  <c r="K11" i="4"/>
  <c r="K12" i="4" s="1"/>
  <c r="F8" i="4"/>
  <c r="F10" i="4" s="1"/>
  <c r="G8" i="4"/>
  <c r="G10" i="4" s="1"/>
  <c r="D8" i="4"/>
  <c r="D10" i="4" s="1"/>
  <c r="H8" i="4"/>
  <c r="H10" i="4" s="1"/>
  <c r="L8" i="4"/>
  <c r="L10" i="4" s="1"/>
  <c r="M8" i="4"/>
  <c r="M10" i="4" s="1"/>
  <c r="N8" i="4"/>
  <c r="N10" i="4" s="1"/>
  <c r="P8" i="4"/>
  <c r="C8" i="4"/>
  <c r="Q8" i="4"/>
  <c r="J8" i="4"/>
  <c r="J10" i="4" s="1"/>
  <c r="E8" i="4"/>
  <c r="E10" i="4" s="1"/>
  <c r="I8" i="4"/>
  <c r="I10" i="4" s="1"/>
  <c r="D11" i="4" l="1"/>
  <c r="D12" i="4" s="1"/>
  <c r="G13" i="6"/>
  <c r="E11" i="4"/>
  <c r="E12" i="4" s="1"/>
  <c r="H11" i="4"/>
  <c r="H12" i="4"/>
  <c r="L11" i="4"/>
  <c r="L12" i="4" s="1"/>
  <c r="J11" i="4"/>
  <c r="M13" i="6"/>
  <c r="M14" i="6" s="1"/>
  <c r="M16" i="6" s="1"/>
  <c r="J12" i="4"/>
  <c r="P10" i="4"/>
  <c r="E10" i="5"/>
  <c r="E12" i="5" s="1"/>
  <c r="M11" i="4"/>
  <c r="M12" i="4"/>
  <c r="I11" i="4"/>
  <c r="I12" i="4"/>
  <c r="C10" i="4"/>
  <c r="O8" i="4"/>
  <c r="J13" i="6"/>
  <c r="J14" i="6" s="1"/>
  <c r="J16" i="6" s="1"/>
  <c r="G11" i="4"/>
  <c r="G12" i="4"/>
  <c r="F10" i="5"/>
  <c r="F12" i="5" s="1"/>
  <c r="Q10" i="4"/>
  <c r="N11" i="4"/>
  <c r="N12" i="4"/>
  <c r="F11" i="4"/>
  <c r="F12" i="4" s="1"/>
  <c r="D16" i="6"/>
  <c r="P11" i="4" l="1"/>
  <c r="P12" i="4"/>
  <c r="D17" i="6"/>
  <c r="D10" i="5"/>
  <c r="D12" i="5" s="1"/>
  <c r="O10" i="4"/>
  <c r="C11" i="4"/>
  <c r="O11" i="4" s="1"/>
  <c r="C12" i="4"/>
  <c r="F15" i="5"/>
  <c r="F17" i="5"/>
  <c r="F16" i="5"/>
  <c r="F22" i="5" s="1"/>
  <c r="F32" i="7"/>
  <c r="E32" i="7"/>
  <c r="E17" i="5"/>
  <c r="E16" i="5"/>
  <c r="E15" i="5"/>
  <c r="E19" i="5" s="1"/>
  <c r="Q11" i="4"/>
  <c r="Q12" i="4" s="1"/>
  <c r="O13" i="6"/>
  <c r="G14" i="6"/>
  <c r="F36" i="7" l="1"/>
  <c r="F35" i="7"/>
  <c r="F23" i="5"/>
  <c r="F25" i="5" s="1"/>
  <c r="O12" i="4"/>
  <c r="F19" i="5"/>
  <c r="D20" i="7"/>
  <c r="D17" i="5"/>
  <c r="D11" i="7" s="1"/>
  <c r="D16" i="5"/>
  <c r="D12" i="7" s="1"/>
  <c r="E12" i="7" s="1"/>
  <c r="D32" i="7"/>
  <c r="D15" i="5"/>
  <c r="E14" i="7"/>
  <c r="E15" i="7"/>
  <c r="G16" i="6"/>
  <c r="O16" i="6" s="1"/>
  <c r="O14" i="6"/>
  <c r="E22" i="5"/>
  <c r="E17" i="6"/>
  <c r="F17" i="6" s="1"/>
  <c r="G17" i="6" s="1"/>
  <c r="H17" i="6" s="1"/>
  <c r="I17" i="6" s="1"/>
  <c r="J17" i="6" s="1"/>
  <c r="K17" i="6" s="1"/>
  <c r="L17" i="6" s="1"/>
  <c r="M17" i="6" s="1"/>
  <c r="N17" i="6" s="1"/>
  <c r="D26" i="7" l="1"/>
  <c r="E26" i="7" s="1"/>
  <c r="D19" i="5"/>
  <c r="D13" i="7"/>
  <c r="E36" i="7"/>
  <c r="E23" i="5"/>
  <c r="E25" i="5" s="1"/>
  <c r="E35" i="7"/>
  <c r="O17" i="6"/>
  <c r="D24" i="7"/>
  <c r="E11" i="7"/>
  <c r="D21" i="7"/>
  <c r="D16" i="7"/>
  <c r="E16" i="7" s="1"/>
  <c r="D25" i="7"/>
  <c r="D22" i="5"/>
  <c r="D27" i="7"/>
  <c r="E27" i="7" s="1"/>
  <c r="F26" i="5"/>
  <c r="F27" i="5" s="1"/>
  <c r="F28" i="5" l="1"/>
  <c r="F34" i="7"/>
  <c r="F33" i="7"/>
  <c r="D36" i="7"/>
  <c r="D35" i="7"/>
  <c r="D23" i="5"/>
  <c r="D25" i="5" s="1"/>
  <c r="D23" i="7"/>
  <c r="D22" i="7"/>
  <c r="E13" i="7"/>
  <c r="E26" i="5"/>
  <c r="E27" i="5" s="1"/>
  <c r="E28" i="5" l="1"/>
  <c r="E34" i="7"/>
  <c r="E33" i="7"/>
  <c r="D26" i="5"/>
  <c r="D27" i="5" s="1"/>
  <c r="D28" i="5" l="1"/>
  <c r="D34" i="7"/>
  <c r="D33" i="7"/>
</calcChain>
</file>

<file path=xl/sharedStrings.xml><?xml version="1.0" encoding="utf-8"?>
<sst xmlns="http://schemas.openxmlformats.org/spreadsheetml/2006/main" count="316" uniqueCount="267">
  <si>
    <t>PLAN FINANCIER PRÉVISIONNEL</t>
  </si>
  <si>
    <t>SALON DE
COIFFURE</t>
  </si>
  <si>
    <t>Modèle financier complet · Création ou reprise · France 2027</t>
  </si>
  <si>
    <t>02</t>
  </si>
  <si>
    <t xml:space="preserve">  HYPOTHÈSES</t>
  </si>
  <si>
    <t>Tarifs, fréquentation, charges mensuelles</t>
  </si>
  <si>
    <t>03</t>
  </si>
  <si>
    <t xml:space="preserve">  INVESTISSEMENTS</t>
  </si>
  <si>
    <t>Besoins de démarrage &amp; plan de financement</t>
  </si>
  <si>
    <t>04</t>
  </si>
  <si>
    <t xml:space="preserve">  CA PRÉVISIONNEL</t>
  </si>
  <si>
    <t>Chiffre d'affaires mensuel sur 3 ans</t>
  </si>
  <si>
    <t>05</t>
  </si>
  <si>
    <t xml:space="preserve">  COMPTE DE RÉSULTAT</t>
  </si>
  <si>
    <t>P&amp;L annuel sur 3 ans (auto)</t>
  </si>
  <si>
    <t>06</t>
  </si>
  <si>
    <t xml:space="preserve">  TRÉSORERIE</t>
  </si>
  <si>
    <t>Flux mensuels année 1 (auto)</t>
  </si>
  <si>
    <t>07</t>
  </si>
  <si>
    <t xml:space="preserve">  SEUIL DE RENTABILITÉ</t>
  </si>
  <si>
    <t>Point mort &amp; indicateurs clés (auto)</t>
  </si>
  <si>
    <t>COMMENT UTILISER CE FICHIER</t>
  </si>
  <si>
    <t>①  Renseignez vos données dans la feuille HYPOTHÈSES (cellules en fond clair, texte bleu)</t>
  </si>
  <si>
    <t>②  Complétez le tableau INVESTISSEMENTS (besoins + financement)</t>
  </si>
  <si>
    <t>③  Les feuilles CA, Compte de Résultat, Trésorerie et Seuil de Rentabilité se calculent automatiquement</t>
  </si>
  <si>
    <t>④  Adaptez les exemples pré-remplis à votre projet — remplacez simplement les valeurs</t>
  </si>
  <si>
    <t>⑤  Ce fichier est destiné à la présentation à votre banque ou investisseur</t>
  </si>
  <si>
    <t>LÉGENDE DES COULEURS</t>
  </si>
  <si>
    <t xml:space="preserve">  Cellule à compléter — saisie manuelle</t>
  </si>
  <si>
    <t xml:space="preserve">  Cellule calculée automatiquement — ne pas modifier</t>
  </si>
  <si>
    <t xml:space="preserve">  Indicateur positif / objectif atteint</t>
  </si>
  <si>
    <t xml:space="preserve">  Indicateur négatif / vigilance requise</t>
  </si>
  <si>
    <t>HYPOTHÈSES DU PROJET</t>
  </si>
  <si>
    <t>Saisir uniquement les cellules en fond clair — le reste se calcule automatiquement</t>
  </si>
  <si>
    <t xml:space="preserve">  01   PRÉSENTATION DU PROJET</t>
  </si>
  <si>
    <t>Nom du salon</t>
  </si>
  <si>
    <t>Salon Belle Époque</t>
  </si>
  <si>
    <t>Adresse</t>
  </si>
  <si>
    <t>12 rue des Fleurs, 75011 Paris</t>
  </si>
  <si>
    <t>Forme juridique</t>
  </si>
  <si>
    <t>SARL</t>
  </si>
  <si>
    <t>Date d'ouverture</t>
  </si>
  <si>
    <t>Type de projet</t>
  </si>
  <si>
    <t>Création</t>
  </si>
  <si>
    <t>Positionnement</t>
  </si>
  <si>
    <t>Milieu de gamme</t>
  </si>
  <si>
    <t>Nombre de fauteuils</t>
  </si>
  <si>
    <t>Jours d'ouverture / semaine</t>
  </si>
  <si>
    <t>Semaines travaillées / an</t>
  </si>
  <si>
    <t xml:space="preserve">  02   GRILLE TARIFAIRE — SERVICES</t>
  </si>
  <si>
    <t>Saisir le prix TTC de chaque prestation et le nombre moyen de fois réalisé par jour ouvré.</t>
  </si>
  <si>
    <t>PRESTATION</t>
  </si>
  <si>
    <t>PRIX TTC (€)</t>
  </si>
  <si>
    <t>Nbre/jour
(an 1)</t>
  </si>
  <si>
    <t>Nbre/jour
(an 2)</t>
  </si>
  <si>
    <t>Nbre/jour
(an 3)</t>
  </si>
  <si>
    <t>CA jour
estimé an 1</t>
  </si>
  <si>
    <t>Coupe femme</t>
  </si>
  <si>
    <t>Coupe homme</t>
  </si>
  <si>
    <t>Coupe enfant (- 12 ans)</t>
  </si>
  <si>
    <t>Coloration (racines)</t>
  </si>
  <si>
    <t>Mèches / balayage</t>
  </si>
  <si>
    <t>Brushing / mise en plis</t>
  </si>
  <si>
    <t>Soin capillaire (masque)</t>
  </si>
  <si>
    <t>Permanente</t>
  </si>
  <si>
    <t>Lissage brésilien</t>
  </si>
  <si>
    <t>Vente produits coiffure</t>
  </si>
  <si>
    <t>Vente de produits (CA mensuel)</t>
  </si>
  <si>
    <t>—</t>
  </si>
  <si>
    <t>TOTAL CA JOURNALIER ESTIMÉ (prestations) — An 1</t>
  </si>
  <si>
    <t xml:space="preserve">  03   PARAMÈTRES D'ACTIVITÉ ET HYPOTHÈSES DE FRÉQUENTATION</t>
  </si>
  <si>
    <t>Ces données alimentent le calcul du CA prévisionnel. Le taux de remplissage représente l'occupation réelle des fauteuils.</t>
  </si>
  <si>
    <t>PARAMÈTRE</t>
  </si>
  <si>
    <t>AN 1 — 2027</t>
  </si>
  <si>
    <t>AN 2 — 2028</t>
  </si>
  <si>
    <t>AN 3 — 2029</t>
  </si>
  <si>
    <t>FORMULE / COMMENTAIRE</t>
  </si>
  <si>
    <t>Jours ouvrés / an</t>
  </si>
  <si>
    <t>jours/semaine × semaines</t>
  </si>
  <si>
    <t>Taux de remplissage an 1</t>
  </si>
  <si>
    <t>% occupation fauteuils</t>
  </si>
  <si>
    <t>Taux de remplissage an 2</t>
  </si>
  <si>
    <t>Progression naturelle</t>
  </si>
  <si>
    <t>Taux de remplissage an 3</t>
  </si>
  <si>
    <t>Maturité du salon</t>
  </si>
  <si>
    <t>Croissance produits an 2</t>
  </si>
  <si>
    <t>% hausse CA produits</t>
  </si>
  <si>
    <t>Croissance produits an 3</t>
  </si>
  <si>
    <t xml:space="preserve">  04   CHARGES PRÉVISIONNELLES MENSUELLES</t>
  </si>
  <si>
    <t>Saisir le montant mensuel moyen de chaque poste de charge. Les charges sociales patronales sont calculées automatiquement.</t>
  </si>
  <si>
    <t>POSTE DE CHARGE</t>
  </si>
  <si>
    <t>MONTANT MENSUEL</t>
  </si>
  <si>
    <t>MONTANT ANNUEL</t>
  </si>
  <si>
    <t>% CA estimé an 1</t>
  </si>
  <si>
    <t>COMMENTAIRE</t>
  </si>
  <si>
    <t xml:space="preserve">  ▸  CHARGES FIXES</t>
  </si>
  <si>
    <t>Loyer + charges locatives</t>
  </si>
  <si>
    <t>Assurance multirisque professionnelle</t>
  </si>
  <si>
    <t>Abonnements (eau, électricité, gaz)</t>
  </si>
  <si>
    <t>Internet + téléphone</t>
  </si>
  <si>
    <t>Logiciel caisse / gestion RDV</t>
  </si>
  <si>
    <t>Comptabilité (expert-comptable)</t>
  </si>
  <si>
    <t>Publicité &amp; communication</t>
  </si>
  <si>
    <t>Frais bancaires</t>
  </si>
  <si>
    <t>Autres charges fixes</t>
  </si>
  <si>
    <t xml:space="preserve">  ▸  CHARGES DE PERSONNEL</t>
  </si>
  <si>
    <t>Salaire gérant (net)</t>
  </si>
  <si>
    <t>Salaire coiffeur qualifié (net)</t>
  </si>
  <si>
    <t>Charges sociales patronales (≈ 45% brut)</t>
  </si>
  <si>
    <t>Calculer avec votre expert-comptable selon effectif</t>
  </si>
  <si>
    <t xml:space="preserve">  ▸  CHARGES VARIABLES</t>
  </si>
  <si>
    <t>Achat produits (consommables prestation)</t>
  </si>
  <si>
    <t>Achat produits de revente</t>
  </si>
  <si>
    <t>Fournitures diverses (serviettes, capes…)</t>
  </si>
  <si>
    <t>TOTAL CHARGES MENSUELLES</t>
  </si>
  <si>
    <t xml:space="preserve">  05   PARAMÈTRES FISCAUX ET SOCIAUX</t>
  </si>
  <si>
    <t>Taux TVA sur prestations (%)</t>
  </si>
  <si>
    <t>Taux TVA sur produits revendus (%)</t>
  </si>
  <si>
    <t>Taux d'IS (Impôt sur les Sociétés)</t>
  </si>
  <si>
    <t>Taux cotisations TNS / gérant (%)</t>
  </si>
  <si>
    <t>INVESTISSEMENTS &amp; PLAN DE FINANCEMENT</t>
  </si>
  <si>
    <t>Besoins de démarrage · Sources de financement · Équilibre emplois / ressources</t>
  </si>
  <si>
    <t xml:space="preserve">  01   BESOINS DE DÉMARRAGE (EMPLOIS)</t>
  </si>
  <si>
    <t>Lister toutes les dépenses nécessaires avant l'ouverture. Les investissements sont amortissables ; le BFR et la trésorerie initiale sont des besoins en fonds.</t>
  </si>
  <si>
    <t>POSTE</t>
  </si>
  <si>
    <t>MONTANT HT</t>
  </si>
  <si>
    <t>MONTANT TTC</t>
  </si>
  <si>
    <t>DURÉE AMORT.</t>
  </si>
  <si>
    <t xml:space="preserve">  ▸  INVESTISSEMENTS IMMOBILIERS &amp; AMÉNAGEMENTS</t>
  </si>
  <si>
    <t>Fonds de commerce / droit au bail</t>
  </si>
  <si>
    <t>Exo. TVA</t>
  </si>
  <si>
    <t>Travaux d'aménagement</t>
  </si>
  <si>
    <t>Dépôt de garantie loyer</t>
  </si>
  <si>
    <t xml:space="preserve">  ▸  MATÉRIEL ET ÉQUIPEMENTS</t>
  </si>
  <si>
    <t>Fauteuils coiffeur (x3)</t>
  </si>
  <si>
    <t>Bacs de lavage (x2)</t>
  </si>
  <si>
    <t>Séchoirs + casques chauffants</t>
  </si>
  <si>
    <t>Matériel de coiffure (ciseaux, fer, etc.)</t>
  </si>
  <si>
    <t>Mobilier accueil / caisse</t>
  </si>
  <si>
    <t>Ordinateur + logiciel caisse / prise RDV</t>
  </si>
  <si>
    <t>Équipement électrique &amp; plomberie</t>
  </si>
  <si>
    <t xml:space="preserve">  ▸  STOCKS &amp; FONDS DE ROULEMENT</t>
  </si>
  <si>
    <t>Stock initial de produits</t>
  </si>
  <si>
    <t>Besoin en fonds de roulement (BFR — 1 mois charges)</t>
  </si>
  <si>
    <t xml:space="preserve">  ▸  FRAIS DE DÉMARRAGE</t>
  </si>
  <si>
    <t>Frais d'immatriculation &amp; juridiques</t>
  </si>
  <si>
    <t>Formation / licence (si franchise)</t>
  </si>
  <si>
    <t>Communication ouverture (signalétique, RS)</t>
  </si>
  <si>
    <t>Assurance première année</t>
  </si>
  <si>
    <t xml:space="preserve">  ▸  TRÉSORERIE INITIALE</t>
  </si>
  <si>
    <t>Réserve de trésorerie (3 mois loyer min.)</t>
  </si>
  <si>
    <t>TOTAL BESOINS DE DÉMARRAGE</t>
  </si>
  <si>
    <t xml:space="preserve">  02   PLAN DE FINANCEMENT (RESSOURCES)</t>
  </si>
  <si>
    <t>Le total des ressources doit couvrir le total des besoins. L'équilibre est vérifié automatiquement en bas de tableau.</t>
  </si>
  <si>
    <t>SOURCE DE FINANCEMENT</t>
  </si>
  <si>
    <t>MONTANT (€)</t>
  </si>
  <si>
    <t>DURÉE / TAUX</t>
  </si>
  <si>
    <t xml:space="preserve">  ▸  APPORTS PERSONNELS</t>
  </si>
  <si>
    <t>Apport personnel du gérant</t>
  </si>
  <si>
    <t>Fonds propres</t>
  </si>
  <si>
    <t>Apport associés</t>
  </si>
  <si>
    <t>Si applicable</t>
  </si>
  <si>
    <t xml:space="preserve">  ▸  FINANCEMENTS BANCAIRES</t>
  </si>
  <si>
    <t>Emprunt bancaire</t>
  </si>
  <si>
    <t>7 ans — 3,5%</t>
  </si>
  <si>
    <t>Prêt professionnel</t>
  </si>
  <si>
    <t>Prêt d'honneur (réseau Initiative)</t>
  </si>
  <si>
    <t>0% — 5 ans</t>
  </si>
  <si>
    <t>BPI / réseau local</t>
  </si>
  <si>
    <t xml:space="preserve">  ▸  AIDES &amp; SUBVENTIONS</t>
  </si>
  <si>
    <t>ACRE (exonération charges 1ère année)</t>
  </si>
  <si>
    <t>Sous conditions</t>
  </si>
  <si>
    <t>Aide à la création (NACRE, région…)</t>
  </si>
  <si>
    <t>Vérifier éligibilité</t>
  </si>
  <si>
    <t>TOTAL RESSOURCES</t>
  </si>
  <si>
    <t xml:space="preserve">  03   ÉQUILIBRE EMPLOIS / RESSOURCES</t>
  </si>
  <si>
    <t>Total besoins (TTC)</t>
  </si>
  <si>
    <t>Total ressources</t>
  </si>
  <si>
    <t>SOLDE (Ressources − Besoins)</t>
  </si>
  <si>
    <t>Interprétation</t>
  </si>
  <si>
    <t>CHIFFRE D'AFFAIRES PRÉVISIONNEL</t>
  </si>
  <si>
    <t>Calcul automatique basé sur les hypothèses · An 1 (mensuel) · An 2 &amp; 3 (annuel)</t>
  </si>
  <si>
    <t>POSTE DE RECETTES</t>
  </si>
  <si>
    <t>Jan</t>
  </si>
  <si>
    <t>Fév</t>
  </si>
  <si>
    <t>Mar</t>
  </si>
  <si>
    <t>Avr</t>
  </si>
  <si>
    <t>Mai</t>
  </si>
  <si>
    <t>Jun</t>
  </si>
  <si>
    <t>Jul</t>
  </si>
  <si>
    <t>Aoû</t>
  </si>
  <si>
    <t>Sep</t>
  </si>
  <si>
    <t>Oct</t>
  </si>
  <si>
    <t>Nov</t>
  </si>
  <si>
    <t>Déc</t>
  </si>
  <si>
    <t>TOTAL
AN 1</t>
  </si>
  <si>
    <t>TOTAL
AN 2</t>
  </si>
  <si>
    <t>TOTAL
AN 3</t>
  </si>
  <si>
    <t>Coeff. saisonnalité</t>
  </si>
  <si>
    <t>CA Prestations (HT)</t>
  </si>
  <si>
    <t>CA Vente produits (HT)</t>
  </si>
  <si>
    <t>TOTAL CA HT</t>
  </si>
  <si>
    <t>TVA collectée (20%)</t>
  </si>
  <si>
    <t>TOTAL CA TTC</t>
  </si>
  <si>
    <t>COMPTE DE RÉSULTAT PRÉVISIONNEL</t>
  </si>
  <si>
    <t>Soldes Intermédiaires de Gestion · 3 ans · Calcul automatique</t>
  </si>
  <si>
    <t>Toutes les données proviennent des feuilles HYPOTHÈSES et CA PRÉVISIONNEL. Ne saisir aucune valeur dans cet onglet.</t>
  </si>
  <si>
    <t>POSTES DU COMPTE DE RÉSULTAT</t>
  </si>
  <si>
    <t xml:space="preserve">  PRODUITS D'EXPLOITATION</t>
  </si>
  <si>
    <t>CA Prestations HT</t>
  </si>
  <si>
    <t>CA Vente produits HT</t>
  </si>
  <si>
    <t xml:space="preserve">  CHARGES D'EXPLOITATION</t>
  </si>
  <si>
    <t>Achats produits &amp; marchandises</t>
  </si>
  <si>
    <t>Charges externes (loyer, assurances, énergie…)</t>
  </si>
  <si>
    <t>Masse salariale (net + charges patronales)</t>
  </si>
  <si>
    <t>Dotations aux amortissements</t>
  </si>
  <si>
    <t>TOTAL CHARGES D'EXPLOITATION</t>
  </si>
  <si>
    <t xml:space="preserve">  RÉSULTATS INTERMÉDIAIRES</t>
  </si>
  <si>
    <t>Excédent Brut d'Exploitation (EBE)</t>
  </si>
  <si>
    <t>Résultat d'exploitation (EBIT)</t>
  </si>
  <si>
    <t>Charges financières (intérêts emprunt)</t>
  </si>
  <si>
    <t>Résultat avant impôt</t>
  </si>
  <si>
    <t>Impôt sur les Sociétés (IS)</t>
  </si>
  <si>
    <t>RÉSULTAT NET</t>
  </si>
  <si>
    <t>Marge nette (%)</t>
  </si>
  <si>
    <t>PLAN DE TRÉSORERIE</t>
  </si>
  <si>
    <t>Flux mensuels année 1 (2027) · Calcul automatique</t>
  </si>
  <si>
    <t>Le plan de trésorerie suit les encaissements TTC et décaissements TTC mois par mois. Le solde cumulé révèle les besoins de liquidités.</t>
  </si>
  <si>
    <t>FLUX</t>
  </si>
  <si>
    <t xml:space="preserve">  ENCAISSEMENTS</t>
  </si>
  <si>
    <t xml:space="preserve">  DÉCAISSEMENTS</t>
  </si>
  <si>
    <t>Investissements &amp; frais de démarrage</t>
  </si>
  <si>
    <t>TVA à décaisser (règlement trimestriel)</t>
  </si>
  <si>
    <t>TOTAL DÉCAISSEMENTS</t>
  </si>
  <si>
    <t>SOLDE MENSUEL (Enc. − Déc.)</t>
  </si>
  <si>
    <t>SOLDE CUMULÉ</t>
  </si>
  <si>
    <t>SEUIL DE RENTABILITÉ &amp; INDICATEURS CLÉS</t>
  </si>
  <si>
    <t>Point mort · Ratio charges / CA · KPIs stratégiques</t>
  </si>
  <si>
    <t>Tous les calculs sont automatiques. Le seuil de rentabilité indique le CA minimum à atteindre pour couvrir l'ensemble des charges fixes.</t>
  </si>
  <si>
    <t xml:space="preserve">  01   STRUCTURE DES CHARGES — AN 1</t>
  </si>
  <si>
    <t>MONTANT AN 1 (€)</t>
  </si>
  <si>
    <t>% du CA HT</t>
  </si>
  <si>
    <t>NATURE</t>
  </si>
  <si>
    <t>Masse salariale</t>
  </si>
  <si>
    <t>Fixe</t>
  </si>
  <si>
    <t>Charges externes (loyer, assur., énergie…)</t>
  </si>
  <si>
    <t>Variable</t>
  </si>
  <si>
    <t>Amortissements</t>
  </si>
  <si>
    <t>Charges financières</t>
  </si>
  <si>
    <t>TOTAL CHARGES</t>
  </si>
  <si>
    <t xml:space="preserve">  02   CALCUL DU SEUIL DE RENTABILITÉ (POINT MORT)</t>
  </si>
  <si>
    <t>CA HT an 1</t>
  </si>
  <si>
    <t>Total charges fixes</t>
  </si>
  <si>
    <t>Total charges variables</t>
  </si>
  <si>
    <t>Taux de marge sur coûts variables (TMCV)</t>
  </si>
  <si>
    <t>SEUIL DE RENTABILITÉ (CA mini)</t>
  </si>
  <si>
    <t>CA minimum pour être rentable</t>
  </si>
  <si>
    <t>Point mort en jours d'activité</t>
  </si>
  <si>
    <t>Marge de sécurité (€)</t>
  </si>
  <si>
    <t>Marge de sécurité (%)</t>
  </si>
  <si>
    <t xml:space="preserve">  03   INDICATEURS CLÉS DE PERFORMANCE</t>
  </si>
  <si>
    <t>INDICATEUR</t>
  </si>
  <si>
    <t>CA HT</t>
  </si>
  <si>
    <t>Résultat net</t>
  </si>
  <si>
    <t>Taux de marge nette</t>
  </si>
  <si>
    <t>EBE</t>
  </si>
  <si>
    <t>Taux d'EBE (EBE/CA)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</si>
</sst>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&quot; €&quot;"/>
    <numFmt numFmtId="165" formatCode="#,##0.0"/>
    <numFmt numFmtId="166" formatCode="0.0%"/>
    <numFmt numFmtId="167" formatCode="0&quot; ans&quot;"/>
    <numFmt numFmtId="168" formatCode="#,##0&quot; €&quot;"/>
    <numFmt numFmtId="169" formatCode="0&quot; jours&quot;"/>
  </numFmts>
  <fonts count="27" x14ac:knownFonts="1">
    <font>
      <sz val="11"/>
      <color theme="1"/>
      <name val="Calibri"/>
      <family val="2"/>
      <charset val="1"/>
    </font>
    <font>
      <sz val="9"/>
      <color rgb="FFC4956A"/>
      <name val="Calibri"/>
      <charset val="1"/>
    </font>
    <font>
      <sz val="11"/>
      <color rgb="FFC4956A"/>
      <name val="Calibri"/>
      <charset val="1"/>
    </font>
    <font>
      <b/>
      <sz val="13"/>
      <color rgb="FF2D2D2D"/>
      <name val="Calibri"/>
      <charset val="1"/>
    </font>
    <font>
      <b/>
      <sz val="10"/>
      <color rgb="FFFFFFFF"/>
      <name val="Calibri"/>
      <charset val="1"/>
    </font>
    <font>
      <i/>
      <sz val="8"/>
      <color rgb="FFA0A0A0"/>
      <name val="Calibri"/>
      <charset val="1"/>
    </font>
    <font>
      <b/>
      <sz val="9"/>
      <color rgb="FFC4956A"/>
      <name val="Calibri"/>
      <charset val="1"/>
    </font>
    <font>
      <sz val="9"/>
      <color rgb="FFCCCCCC"/>
      <name val="Calibri"/>
      <charset val="1"/>
    </font>
    <font>
      <sz val="9"/>
      <color rgb="FFBBBBBB"/>
      <name val="Calibri"/>
      <charset val="1"/>
    </font>
    <font>
      <b/>
      <sz val="18"/>
      <color rgb="FFFFFFFF"/>
      <name val="Calibri"/>
      <charset val="1"/>
    </font>
    <font>
      <i/>
      <sz val="9"/>
      <color rgb="FFE8C9A8"/>
      <name val="Calibri"/>
      <charset val="1"/>
    </font>
    <font>
      <b/>
      <sz val="11"/>
      <color rgb="FFFFFFFF"/>
      <name val="Calibri"/>
      <charset val="1"/>
    </font>
    <font>
      <b/>
      <sz val="9"/>
      <color rgb="FF4A4A4A"/>
      <name val="Calibri"/>
      <charset val="1"/>
    </font>
    <font>
      <sz val="10"/>
      <color rgb="FF1565C0"/>
      <name val="Calibri"/>
      <charset val="1"/>
    </font>
    <font>
      <i/>
      <sz val="8"/>
      <color rgb="FF8C8C8C"/>
      <name val="Calibri"/>
      <charset val="1"/>
    </font>
    <font>
      <sz val="10"/>
      <color rgb="FF2D2D2D"/>
      <name val="Calibri"/>
      <charset val="1"/>
    </font>
    <font>
      <b/>
      <sz val="9"/>
      <color rgb="FFFFFFFF"/>
      <name val="Calibri"/>
      <charset val="1"/>
    </font>
    <font>
      <sz val="9"/>
      <color rgb="FF2D2D2D"/>
      <name val="Calibri"/>
      <charset val="1"/>
    </font>
    <font>
      <b/>
      <sz val="10"/>
      <color rgb="FF2D2D2D"/>
      <name val="Calibri"/>
      <charset val="1"/>
    </font>
    <font>
      <sz val="9"/>
      <color rgb="FF8C8C8C"/>
      <name val="Calibri"/>
      <charset val="1"/>
    </font>
    <font>
      <b/>
      <sz val="9"/>
      <color rgb="FF2D2D2D"/>
      <name val="Calibri"/>
      <charset val="1"/>
    </font>
    <font>
      <b/>
      <sz val="12"/>
      <color rgb="FFFFFFFF"/>
      <name val="Calibri"/>
      <charset val="1"/>
    </font>
    <font>
      <b/>
      <sz val="8"/>
      <color rgb="FFFFFFFF"/>
      <name val="Calibri"/>
      <charset val="1"/>
    </font>
    <font>
      <b/>
      <sz val="13"/>
      <color rgb="FFFFFFFF"/>
      <name val="Calibri"/>
      <charset val="1"/>
    </font>
    <font>
      <b/>
      <sz val="11"/>
      <color rgb="FF2D2D2D"/>
      <name val="Calibri"/>
      <charset val="1"/>
    </font>
    <font>
      <i/>
      <sz val="9"/>
      <color rgb="FF8C8C8C"/>
      <name val="Calibri"/>
      <charset val="1"/>
    </font>
    <font>
      <b/>
      <sz val="30"/>
      <color rgb="FFFFFFFF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C4956A"/>
        <bgColor rgb="FFCC8F8E"/>
      </patternFill>
    </fill>
    <fill>
      <patternFill patternType="solid">
        <fgColor rgb="FF2D2D2D"/>
        <bgColor rgb="FF333333"/>
      </patternFill>
    </fill>
    <fill>
      <patternFill patternType="solid">
        <fgColor rgb="FF3D3D3D"/>
        <bgColor rgb="FF333333"/>
      </patternFill>
    </fill>
    <fill>
      <patternFill patternType="solid">
        <fgColor rgb="FF333333"/>
        <bgColor rgb="FF2D2D2D"/>
      </patternFill>
    </fill>
    <fill>
      <patternFill patternType="solid">
        <fgColor rgb="FFF5E6D3"/>
        <bgColor rgb="FFFFEBEE"/>
      </patternFill>
    </fill>
    <fill>
      <patternFill patternType="solid">
        <fgColor rgb="FFF7F3EF"/>
        <bgColor rgb="FFF9F9F9"/>
      </patternFill>
    </fill>
    <fill>
      <patternFill patternType="solid">
        <fgColor rgb="FFE8F5E9"/>
        <bgColor rgb="FFF7F3EF"/>
      </patternFill>
    </fill>
    <fill>
      <patternFill patternType="solid">
        <fgColor rgb="FFFFEBEE"/>
        <bgColor rgb="FFF7F3EF"/>
      </patternFill>
    </fill>
    <fill>
      <patternFill patternType="solid">
        <fgColor rgb="FFFFFFFF"/>
        <bgColor rgb="FFF9F9F9"/>
      </patternFill>
    </fill>
    <fill>
      <patternFill patternType="solid">
        <fgColor rgb="FFE8C9A8"/>
        <bgColor rgb="FFDDD5CC"/>
      </patternFill>
    </fill>
    <fill>
      <patternFill patternType="solid">
        <fgColor rgb="FFDDDDDD"/>
        <bgColor rgb="FFD9D9D9"/>
      </patternFill>
    </fill>
    <fill>
      <patternFill patternType="solid">
        <fgColor rgb="FFC62828"/>
        <bgColor rgb="FFAA433F"/>
      </patternFill>
    </fill>
  </fills>
  <borders count="19">
    <border>
      <left/>
      <right/>
      <top/>
      <bottom/>
      <diagonal/>
    </border>
    <border>
      <left style="thin">
        <color rgb="FFC4956A"/>
      </left>
      <right style="thin">
        <color rgb="FFC4956A"/>
      </right>
      <top style="thin">
        <color rgb="FFC4956A"/>
      </top>
      <bottom style="thin">
        <color rgb="FFC4956A"/>
      </bottom>
      <diagonal/>
    </border>
    <border>
      <left style="thin">
        <color rgb="FF3D3D3D"/>
      </left>
      <right/>
      <top style="thin">
        <color rgb="FF3D3D3D"/>
      </top>
      <bottom style="thin">
        <color rgb="FF3D3D3D"/>
      </bottom>
      <diagonal/>
    </border>
    <border>
      <left style="thin">
        <color rgb="FF333333"/>
      </left>
      <right/>
      <top style="thin">
        <color rgb="FF333333"/>
      </top>
      <bottom style="thin">
        <color rgb="FF333333"/>
      </bottom>
      <diagonal/>
    </border>
    <border>
      <left style="thick">
        <color rgb="FFC4956A"/>
      </left>
      <right/>
      <top/>
      <bottom/>
      <diagonal/>
    </border>
    <border>
      <left style="thick">
        <color rgb="FF555555"/>
      </left>
      <right/>
      <top/>
      <bottom/>
      <diagonal/>
    </border>
    <border>
      <left style="thick">
        <color rgb="FF2E7D32"/>
      </left>
      <right/>
      <top/>
      <bottom/>
      <diagonal/>
    </border>
    <border>
      <left style="thick">
        <color rgb="FFC62828"/>
      </left>
      <right/>
      <top/>
      <bottom/>
      <diagonal/>
    </border>
    <border>
      <left style="thick">
        <color rgb="FFC4956A"/>
      </left>
      <right/>
      <top/>
      <bottom style="thin">
        <color rgb="FFC4956A"/>
      </bottom>
      <diagonal/>
    </border>
    <border>
      <left style="thin">
        <color rgb="FFDDD5CC"/>
      </left>
      <right style="thin">
        <color rgb="FFDDD5CC"/>
      </right>
      <top style="thin">
        <color rgb="FFDDD5CC"/>
      </top>
      <bottom style="thin">
        <color rgb="FFDDD5CC"/>
      </bottom>
      <diagonal/>
    </border>
    <border>
      <left style="medium">
        <color rgb="FFC4956A"/>
      </left>
      <right/>
      <top style="thin">
        <color rgb="FFDDD5CC"/>
      </top>
      <bottom style="thin">
        <color rgb="FFDDD5CC"/>
      </bottom>
      <diagonal/>
    </border>
    <border>
      <left style="thick">
        <color rgb="FFE8C9A8"/>
      </left>
      <right/>
      <top/>
      <bottom/>
      <diagonal/>
    </border>
    <border>
      <left style="thin">
        <color rgb="FF2D2D2D"/>
      </left>
      <right style="thin">
        <color rgb="FF2D2D2D"/>
      </right>
      <top style="thin">
        <color rgb="FF2D2D2D"/>
      </top>
      <bottom style="thin">
        <color rgb="FF2D2D2D"/>
      </bottom>
      <diagonal/>
    </border>
    <border>
      <left style="medium">
        <color rgb="FFC4956A"/>
      </left>
      <right style="thin">
        <color rgb="FFDDD5CC"/>
      </right>
      <top style="thin">
        <color rgb="FFDDD5CC"/>
      </top>
      <bottom style="thin">
        <color rgb="FFDDD5CC"/>
      </bottom>
      <diagonal/>
    </border>
    <border>
      <left style="thin">
        <color rgb="FF2D2D2D"/>
      </left>
      <right/>
      <top style="thin">
        <color rgb="FF2D2D2D"/>
      </top>
      <bottom style="thin">
        <color rgb="FF2D2D2D"/>
      </bottom>
      <diagonal/>
    </border>
    <border>
      <left style="thick">
        <color rgb="FFC4956A"/>
      </left>
      <right/>
      <top/>
      <bottom style="thin">
        <color rgb="FFDDD5CC"/>
      </bottom>
      <diagonal/>
    </border>
    <border>
      <left style="thin">
        <color rgb="FFE8C9A8"/>
      </left>
      <right style="thin">
        <color rgb="FFDDD5CC"/>
      </right>
      <top style="thin">
        <color rgb="FFDDD5CC"/>
      </top>
      <bottom style="thin">
        <color rgb="FFDDD5CC"/>
      </bottom>
      <diagonal/>
    </border>
    <border>
      <left/>
      <right style="thin">
        <color rgb="FF2D2D2D"/>
      </right>
      <top/>
      <bottom style="thin">
        <color rgb="FF2D2D2D"/>
      </bottom>
      <diagonal/>
    </border>
    <border>
      <left style="thin">
        <color rgb="FFDDD5CC"/>
      </left>
      <right/>
      <top style="thin">
        <color rgb="FFDDD5CC"/>
      </top>
      <bottom style="thin">
        <color rgb="FFDDD5CC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3" fillId="6" borderId="10" xfId="0" applyFont="1" applyFill="1" applyBorder="1" applyAlignment="1">
      <alignment horizontal="right" vertical="center" indent="1"/>
    </xf>
    <xf numFmtId="0" fontId="0" fillId="7" borderId="0" xfId="0" applyFill="1"/>
    <xf numFmtId="0" fontId="11" fillId="3" borderId="8" xfId="0" applyFont="1" applyFill="1" applyBorder="1" applyAlignment="1">
      <alignment horizontal="left" vertical="center" indent="1"/>
    </xf>
    <xf numFmtId="0" fontId="10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left" vertical="center" indent="1"/>
    </xf>
    <xf numFmtId="0" fontId="7" fillId="3" borderId="0" xfId="0" applyFont="1" applyFill="1" applyAlignment="1">
      <alignment horizontal="left" vertical="center" indent="2"/>
    </xf>
    <xf numFmtId="0" fontId="6" fillId="3" borderId="0" xfId="0" applyFont="1" applyFill="1" applyAlignment="1">
      <alignment horizontal="left" vertical="center" indent="1"/>
    </xf>
    <xf numFmtId="0" fontId="5" fillId="5" borderId="3" xfId="0" applyFont="1" applyFill="1" applyBorder="1" applyAlignment="1">
      <alignment horizontal="left" vertical="center" wrapText="1" indent="1"/>
    </xf>
    <xf numFmtId="0" fontId="4" fillId="4" borderId="2" xfId="0" applyFont="1" applyFill="1" applyBorder="1" applyAlignment="1">
      <alignment horizontal="left" vertical="center" indent="2"/>
    </xf>
    <xf numFmtId="0" fontId="0" fillId="2" borderId="0" xfId="0" applyFill="1"/>
    <xf numFmtId="0" fontId="2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3" fillId="2" borderId="1" xfId="0" applyFont="1" applyFill="1" applyBorder="1" applyAlignment="1">
      <alignment horizontal="center" vertical="center"/>
    </xf>
    <xf numFmtId="0" fontId="0" fillId="6" borderId="4" xfId="0" applyFill="1" applyBorder="1"/>
    <xf numFmtId="0" fontId="0" fillId="7" borderId="5" xfId="0" applyFill="1" applyBorder="1"/>
    <xf numFmtId="0" fontId="0" fillId="8" borderId="6" xfId="0" applyFill="1" applyBorder="1"/>
    <xf numFmtId="0" fontId="0" fillId="9" borderId="7" xfId="0" applyFill="1" applyBorder="1"/>
    <xf numFmtId="0" fontId="12" fillId="7" borderId="9" xfId="0" applyFont="1" applyFill="1" applyBorder="1" applyAlignment="1">
      <alignment horizontal="left" vertical="center" indent="1"/>
    </xf>
    <xf numFmtId="0" fontId="12" fillId="10" borderId="9" xfId="0" applyFont="1" applyFill="1" applyBorder="1" applyAlignment="1">
      <alignment horizontal="left" vertical="center" indent="1"/>
    </xf>
    <xf numFmtId="0" fontId="15" fillId="3" borderId="0" xfId="0" applyFont="1" applyFill="1" applyAlignment="1">
      <alignment horizontal="left" vertical="center"/>
    </xf>
    <xf numFmtId="0" fontId="16" fillId="3" borderId="12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 vertical="center"/>
    </xf>
    <xf numFmtId="0" fontId="17" fillId="10" borderId="9" xfId="0" applyFont="1" applyFill="1" applyBorder="1" applyAlignment="1">
      <alignment horizontal="left" vertical="center" indent="1"/>
    </xf>
    <xf numFmtId="164" fontId="13" fillId="6" borderId="13" xfId="0" applyNumberFormat="1" applyFont="1" applyFill="1" applyBorder="1" applyAlignment="1">
      <alignment horizontal="right" vertical="center" indent="1"/>
    </xf>
    <xf numFmtId="165" fontId="13" fillId="6" borderId="13" xfId="0" applyNumberFormat="1" applyFont="1" applyFill="1" applyBorder="1" applyAlignment="1">
      <alignment horizontal="right" vertical="center" indent="1"/>
    </xf>
    <xf numFmtId="164" fontId="18" fillId="7" borderId="9" xfId="0" applyNumberFormat="1" applyFont="1" applyFill="1" applyBorder="1" applyAlignment="1">
      <alignment horizontal="right" vertical="center"/>
    </xf>
    <xf numFmtId="0" fontId="15" fillId="11" borderId="0" xfId="0" applyFont="1" applyFill="1" applyAlignment="1">
      <alignment horizontal="left" vertical="center"/>
    </xf>
    <xf numFmtId="0" fontId="17" fillId="7" borderId="9" xfId="0" applyFont="1" applyFill="1" applyBorder="1" applyAlignment="1">
      <alignment horizontal="left" vertical="center" indent="1"/>
    </xf>
    <xf numFmtId="0" fontId="19" fillId="7" borderId="9" xfId="0" applyFont="1" applyFill="1" applyBorder="1" applyAlignment="1">
      <alignment horizontal="center" vertical="center"/>
    </xf>
    <xf numFmtId="164" fontId="11" fillId="2" borderId="9" xfId="0" applyNumberFormat="1" applyFont="1" applyFill="1" applyBorder="1" applyAlignment="1">
      <alignment horizontal="right" vertical="center"/>
    </xf>
    <xf numFmtId="3" fontId="13" fillId="6" borderId="13" xfId="0" applyNumberFormat="1" applyFont="1" applyFill="1" applyBorder="1" applyAlignment="1">
      <alignment horizontal="right" vertical="center" indent="1"/>
    </xf>
    <xf numFmtId="0" fontId="14" fillId="10" borderId="9" xfId="0" applyFont="1" applyFill="1" applyBorder="1" applyAlignment="1">
      <alignment horizontal="left" vertical="center" indent="1"/>
    </xf>
    <xf numFmtId="166" fontId="13" fillId="6" borderId="13" xfId="0" applyNumberFormat="1" applyFont="1" applyFill="1" applyBorder="1" applyAlignment="1">
      <alignment horizontal="right" vertical="center" indent="1"/>
    </xf>
    <xf numFmtId="0" fontId="15" fillId="7" borderId="9" xfId="0" applyFont="1" applyFill="1" applyBorder="1" applyAlignment="1">
      <alignment horizontal="left" vertical="center"/>
    </xf>
    <xf numFmtId="0" fontId="14" fillId="7" borderId="9" xfId="0" applyFont="1" applyFill="1" applyBorder="1" applyAlignment="1">
      <alignment horizontal="left" vertical="center" indent="1"/>
    </xf>
    <xf numFmtId="0" fontId="17" fillId="10" borderId="16" xfId="0" applyFont="1" applyFill="1" applyBorder="1" applyAlignment="1">
      <alignment horizontal="left" vertical="center" indent="2"/>
    </xf>
    <xf numFmtId="0" fontId="15" fillId="10" borderId="9" xfId="0" applyFont="1" applyFill="1" applyBorder="1" applyAlignment="1">
      <alignment horizontal="left" vertical="center"/>
    </xf>
    <xf numFmtId="0" fontId="17" fillId="7" borderId="16" xfId="0" applyFont="1" applyFill="1" applyBorder="1" applyAlignment="1">
      <alignment horizontal="left" vertical="center" indent="2"/>
    </xf>
    <xf numFmtId="0" fontId="14" fillId="10" borderId="9" xfId="0" applyFont="1" applyFill="1" applyBorder="1" applyAlignment="1">
      <alignment horizontal="left" vertical="center" wrapText="1" indent="1"/>
    </xf>
    <xf numFmtId="0" fontId="4" fillId="3" borderId="12" xfId="0" applyFont="1" applyFill="1" applyBorder="1" applyAlignment="1">
      <alignment horizontal="right" vertical="center" indent="1"/>
    </xf>
    <xf numFmtId="164" fontId="11" fillId="3" borderId="12" xfId="0" applyNumberFormat="1" applyFont="1" applyFill="1" applyBorder="1" applyAlignment="1">
      <alignment horizontal="right" vertical="center" indent="1"/>
    </xf>
    <xf numFmtId="164" fontId="11" fillId="3" borderId="9" xfId="0" applyNumberFormat="1" applyFont="1" applyFill="1" applyBorder="1" applyAlignment="1">
      <alignment horizontal="right" vertical="center"/>
    </xf>
    <xf numFmtId="0" fontId="15" fillId="3" borderId="12" xfId="0" applyFont="1" applyFill="1" applyBorder="1" applyAlignment="1">
      <alignment horizontal="left" vertical="center"/>
    </xf>
    <xf numFmtId="167" fontId="13" fillId="6" borderId="13" xfId="0" applyNumberFormat="1" applyFont="1" applyFill="1" applyBorder="1" applyAlignment="1">
      <alignment horizontal="right" vertical="center" indent="1"/>
    </xf>
    <xf numFmtId="164" fontId="11" fillId="2" borderId="12" xfId="0" applyNumberFormat="1" applyFont="1" applyFill="1" applyBorder="1" applyAlignment="1">
      <alignment horizontal="right" vertical="center" indent="1"/>
    </xf>
    <xf numFmtId="0" fontId="0" fillId="3" borderId="12" xfId="0" applyFill="1" applyBorder="1"/>
    <xf numFmtId="0" fontId="13" fillId="6" borderId="13" xfId="0" applyFont="1" applyFill="1" applyBorder="1" applyAlignment="1">
      <alignment horizontal="right" vertical="center" indent="1"/>
    </xf>
    <xf numFmtId="0" fontId="20" fillId="7" borderId="9" xfId="0" applyFont="1" applyFill="1" applyBorder="1" applyAlignment="1">
      <alignment horizontal="left" vertical="center" indent="1"/>
    </xf>
    <xf numFmtId="0" fontId="4" fillId="3" borderId="12" xfId="0" applyFont="1" applyFill="1" applyBorder="1" applyAlignment="1">
      <alignment horizontal="left" vertical="center" indent="1"/>
    </xf>
    <xf numFmtId="164" fontId="21" fillId="3" borderId="12" xfId="0" applyNumberFormat="1" applyFont="1" applyFill="1" applyBorder="1" applyAlignment="1">
      <alignment horizontal="right" vertical="center" indent="1"/>
    </xf>
    <xf numFmtId="0" fontId="18" fillId="7" borderId="9" xfId="0" applyFont="1" applyFill="1" applyBorder="1" applyAlignment="1">
      <alignment horizontal="left" vertical="center" indent="1"/>
    </xf>
    <xf numFmtId="0" fontId="16" fillId="3" borderId="12" xfId="0" applyFont="1" applyFill="1" applyBorder="1" applyAlignment="1">
      <alignment horizontal="left" vertical="center"/>
    </xf>
    <xf numFmtId="0" fontId="22" fillId="3" borderId="12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 wrapText="1"/>
    </xf>
    <xf numFmtId="0" fontId="20" fillId="11" borderId="12" xfId="0" applyFont="1" applyFill="1" applyBorder="1" applyAlignment="1">
      <alignment horizontal="center" vertical="center" wrapText="1"/>
    </xf>
    <xf numFmtId="0" fontId="14" fillId="7" borderId="9" xfId="0" applyFont="1" applyFill="1" applyBorder="1" applyAlignment="1">
      <alignment horizontal="left" vertical="center"/>
    </xf>
    <xf numFmtId="2" fontId="14" fillId="7" borderId="9" xfId="0" applyNumberFormat="1" applyFont="1" applyFill="1" applyBorder="1" applyAlignment="1">
      <alignment horizontal="center" vertical="center"/>
    </xf>
    <xf numFmtId="0" fontId="0" fillId="7" borderId="9" xfId="0" applyFill="1" applyBorder="1"/>
    <xf numFmtId="0" fontId="20" fillId="10" borderId="9" xfId="0" applyFont="1" applyFill="1" applyBorder="1" applyAlignment="1">
      <alignment horizontal="left" vertical="center" indent="1"/>
    </xf>
    <xf numFmtId="168" fontId="17" fillId="10" borderId="9" xfId="0" applyNumberFormat="1" applyFont="1" applyFill="1" applyBorder="1" applyAlignment="1">
      <alignment horizontal="right" vertical="center"/>
    </xf>
    <xf numFmtId="168" fontId="18" fillId="7" borderId="9" xfId="0" applyNumberFormat="1" applyFont="1" applyFill="1" applyBorder="1" applyAlignment="1">
      <alignment horizontal="right" vertical="center"/>
    </xf>
    <xf numFmtId="168" fontId="17" fillId="7" borderId="9" xfId="0" applyNumberFormat="1" applyFont="1" applyFill="1" applyBorder="1" applyAlignment="1">
      <alignment horizontal="right" vertical="center"/>
    </xf>
    <xf numFmtId="168" fontId="16" fillId="3" borderId="12" xfId="0" applyNumberFormat="1" applyFont="1" applyFill="1" applyBorder="1" applyAlignment="1">
      <alignment horizontal="right" vertical="center"/>
    </xf>
    <xf numFmtId="168" fontId="4" fillId="2" borderId="12" xfId="0" applyNumberFormat="1" applyFont="1" applyFill="1" applyBorder="1" applyAlignment="1">
      <alignment horizontal="right" vertical="center"/>
    </xf>
    <xf numFmtId="168" fontId="14" fillId="7" borderId="9" xfId="0" applyNumberFormat="1" applyFont="1" applyFill="1" applyBorder="1" applyAlignment="1">
      <alignment horizontal="right" vertical="center"/>
    </xf>
    <xf numFmtId="168" fontId="15" fillId="7" borderId="9" xfId="0" applyNumberFormat="1" applyFont="1" applyFill="1" applyBorder="1" applyAlignment="1">
      <alignment horizontal="right" vertical="center"/>
    </xf>
    <xf numFmtId="0" fontId="4" fillId="2" borderId="12" xfId="0" applyFont="1" applyFill="1" applyBorder="1" applyAlignment="1">
      <alignment horizontal="left" vertical="center" indent="1"/>
    </xf>
    <xf numFmtId="168" fontId="16" fillId="2" borderId="12" xfId="0" applyNumberFormat="1" applyFont="1" applyFill="1" applyBorder="1" applyAlignment="1">
      <alignment horizontal="right" vertical="center"/>
    </xf>
    <xf numFmtId="168" fontId="4" fillId="3" borderId="12" xfId="0" applyNumberFormat="1" applyFont="1" applyFill="1" applyBorder="1" applyAlignment="1">
      <alignment horizontal="right" vertical="center"/>
    </xf>
    <xf numFmtId="0" fontId="16" fillId="3" borderId="12" xfId="0" applyFont="1" applyFill="1" applyBorder="1" applyAlignment="1">
      <alignment horizontal="left" vertical="center" indent="1"/>
    </xf>
    <xf numFmtId="0" fontId="15" fillId="12" borderId="0" xfId="0" applyFont="1" applyFill="1" applyAlignment="1">
      <alignment horizontal="left" vertical="center"/>
    </xf>
    <xf numFmtId="0" fontId="15" fillId="10" borderId="16" xfId="0" applyFont="1" applyFill="1" applyBorder="1" applyAlignment="1">
      <alignment horizontal="left" vertical="center" indent="1"/>
    </xf>
    <xf numFmtId="168" fontId="15" fillId="10" borderId="9" xfId="0" applyNumberFormat="1" applyFont="1" applyFill="1" applyBorder="1" applyAlignment="1">
      <alignment horizontal="right" vertical="center" indent="1"/>
    </xf>
    <xf numFmtId="0" fontId="15" fillId="7" borderId="16" xfId="0" applyFont="1" applyFill="1" applyBorder="1" applyAlignment="1">
      <alignment horizontal="left" vertical="center" indent="1"/>
    </xf>
    <xf numFmtId="168" fontId="15" fillId="7" borderId="9" xfId="0" applyNumberFormat="1" applyFont="1" applyFill="1" applyBorder="1" applyAlignment="1">
      <alignment horizontal="right" vertical="center" indent="1"/>
    </xf>
    <xf numFmtId="168" fontId="11" fillId="3" borderId="12" xfId="0" applyNumberFormat="1" applyFont="1" applyFill="1" applyBorder="1" applyAlignment="1">
      <alignment horizontal="right" vertical="center" indent="1"/>
    </xf>
    <xf numFmtId="0" fontId="18" fillId="10" borderId="12" xfId="0" applyFont="1" applyFill="1" applyBorder="1" applyAlignment="1">
      <alignment horizontal="left" vertical="center" indent="2"/>
    </xf>
    <xf numFmtId="168" fontId="4" fillId="2" borderId="12" xfId="0" applyNumberFormat="1" applyFont="1" applyFill="1" applyBorder="1" applyAlignment="1">
      <alignment horizontal="right" vertical="center" indent="1"/>
    </xf>
    <xf numFmtId="0" fontId="18" fillId="7" borderId="12" xfId="0" applyFont="1" applyFill="1" applyBorder="1" applyAlignment="1">
      <alignment horizontal="left" vertical="center" indent="2"/>
    </xf>
    <xf numFmtId="168" fontId="4" fillId="3" borderId="12" xfId="0" applyNumberFormat="1" applyFont="1" applyFill="1" applyBorder="1" applyAlignment="1">
      <alignment horizontal="right" vertical="center" indent="1"/>
    </xf>
    <xf numFmtId="0" fontId="21" fillId="3" borderId="12" xfId="0" applyFont="1" applyFill="1" applyBorder="1" applyAlignment="1">
      <alignment horizontal="left" vertical="center" indent="1"/>
    </xf>
    <xf numFmtId="168" fontId="23" fillId="2" borderId="12" xfId="0" applyNumberFormat="1" applyFont="1" applyFill="1" applyBorder="1" applyAlignment="1">
      <alignment horizontal="right" vertical="center" indent="1"/>
    </xf>
    <xf numFmtId="166" fontId="18" fillId="7" borderId="9" xfId="0" applyNumberFormat="1" applyFont="1" applyFill="1" applyBorder="1" applyAlignment="1">
      <alignment horizontal="right" vertical="center" indent="1"/>
    </xf>
    <xf numFmtId="0" fontId="17" fillId="7" borderId="16" xfId="0" applyFont="1" applyFill="1" applyBorder="1" applyAlignment="1">
      <alignment horizontal="left" vertical="center" indent="1"/>
    </xf>
    <xf numFmtId="168" fontId="15" fillId="7" borderId="12" xfId="0" applyNumberFormat="1" applyFont="1" applyFill="1" applyBorder="1" applyAlignment="1">
      <alignment horizontal="right" vertical="center"/>
    </xf>
    <xf numFmtId="168" fontId="4" fillId="13" borderId="12" xfId="0" applyNumberFormat="1" applyFont="1" applyFill="1" applyBorder="1" applyAlignment="1">
      <alignment horizontal="right" vertical="center"/>
    </xf>
    <xf numFmtId="168" fontId="24" fillId="7" borderId="12" xfId="0" applyNumberFormat="1" applyFont="1" applyFill="1" applyBorder="1" applyAlignment="1">
      <alignment horizontal="right" vertical="center"/>
    </xf>
    <xf numFmtId="168" fontId="18" fillId="7" borderId="12" xfId="0" applyNumberFormat="1" applyFont="1" applyFill="1" applyBorder="1" applyAlignment="1">
      <alignment horizontal="right" vertical="center"/>
    </xf>
    <xf numFmtId="0" fontId="17" fillId="10" borderId="16" xfId="0" applyFont="1" applyFill="1" applyBorder="1" applyAlignment="1">
      <alignment horizontal="left" vertical="center" indent="1"/>
    </xf>
    <xf numFmtId="168" fontId="18" fillId="10" borderId="9" xfId="0" applyNumberFormat="1" applyFont="1" applyFill="1" applyBorder="1" applyAlignment="1">
      <alignment horizontal="right" vertical="center"/>
    </xf>
    <xf numFmtId="166" fontId="18" fillId="10" borderId="9" xfId="0" applyNumberFormat="1" applyFont="1" applyFill="1" applyBorder="1" applyAlignment="1">
      <alignment horizontal="right" vertical="center"/>
    </xf>
    <xf numFmtId="0" fontId="17" fillId="6" borderId="9" xfId="0" applyFont="1" applyFill="1" applyBorder="1" applyAlignment="1">
      <alignment horizontal="center" vertical="center"/>
    </xf>
    <xf numFmtId="166" fontId="18" fillId="7" borderId="9" xfId="0" applyNumberFormat="1" applyFont="1" applyFill="1" applyBorder="1" applyAlignment="1">
      <alignment horizontal="right" vertical="center"/>
    </xf>
    <xf numFmtId="0" fontId="17" fillId="8" borderId="9" xfId="0" applyFont="1" applyFill="1" applyBorder="1" applyAlignment="1">
      <alignment horizontal="center" vertical="center"/>
    </xf>
    <xf numFmtId="166" fontId="4" fillId="3" borderId="12" xfId="0" applyNumberFormat="1" applyFont="1" applyFill="1" applyBorder="1" applyAlignment="1">
      <alignment horizontal="right" vertical="center" indent="1"/>
    </xf>
    <xf numFmtId="166" fontId="15" fillId="7" borderId="9" xfId="0" applyNumberFormat="1" applyFont="1" applyFill="1" applyBorder="1" applyAlignment="1">
      <alignment horizontal="right" vertical="center" indent="1"/>
    </xf>
    <xf numFmtId="169" fontId="15" fillId="7" borderId="9" xfId="0" applyNumberFormat="1" applyFont="1" applyFill="1" applyBorder="1" applyAlignment="1">
      <alignment horizontal="right" vertical="center" indent="1"/>
    </xf>
    <xf numFmtId="0" fontId="20" fillId="10" borderId="16" xfId="0" applyFont="1" applyFill="1" applyBorder="1" applyAlignment="1">
      <alignment horizontal="left" vertical="center" indent="1"/>
    </xf>
    <xf numFmtId="168" fontId="18" fillId="10" borderId="9" xfId="0" applyNumberFormat="1" applyFont="1" applyFill="1" applyBorder="1" applyAlignment="1">
      <alignment horizontal="right" vertical="center" indent="1"/>
    </xf>
    <xf numFmtId="0" fontId="20" fillId="7" borderId="16" xfId="0" applyFont="1" applyFill="1" applyBorder="1" applyAlignment="1">
      <alignment horizontal="left" vertical="center" indent="1"/>
    </xf>
    <xf numFmtId="168" fontId="18" fillId="7" borderId="9" xfId="0" applyNumberFormat="1" applyFont="1" applyFill="1" applyBorder="1" applyAlignment="1">
      <alignment horizontal="right" vertical="center" indent="1"/>
    </xf>
    <xf numFmtId="166" fontId="15" fillId="10" borderId="9" xfId="0" applyNumberFormat="1" applyFont="1" applyFill="1" applyBorder="1" applyAlignment="1">
      <alignment horizontal="right" vertical="center" indent="1"/>
    </xf>
    <xf numFmtId="14" fontId="13" fillId="6" borderId="10" xfId="0" applyNumberFormat="1" applyFont="1" applyFill="1" applyBorder="1" applyAlignment="1">
      <alignment horizontal="right" vertical="center" indent="1"/>
    </xf>
    <xf numFmtId="0" fontId="14" fillId="7" borderId="11" xfId="0" applyFont="1" applyFill="1" applyBorder="1" applyAlignment="1">
      <alignment horizontal="left" vertical="center" wrapText="1" indent="2"/>
    </xf>
    <xf numFmtId="0" fontId="16" fillId="3" borderId="14" xfId="0" applyFont="1" applyFill="1" applyBorder="1" applyAlignment="1">
      <alignment horizontal="right" vertical="center" indent="1"/>
    </xf>
    <xf numFmtId="0" fontId="16" fillId="4" borderId="15" xfId="0" applyFont="1" applyFill="1" applyBorder="1" applyAlignment="1">
      <alignment horizontal="left" vertical="center" indent="2"/>
    </xf>
    <xf numFmtId="0" fontId="16" fillId="3" borderId="8" xfId="0" applyFont="1" applyFill="1" applyBorder="1" applyAlignment="1">
      <alignment horizontal="left" vertical="center" indent="2"/>
    </xf>
    <xf numFmtId="0" fontId="16" fillId="4" borderId="8" xfId="0" applyFont="1" applyFill="1" applyBorder="1" applyAlignment="1">
      <alignment horizontal="left" vertical="center" indent="2"/>
    </xf>
    <xf numFmtId="0" fontId="16" fillId="2" borderId="8" xfId="0" applyFont="1" applyFill="1" applyBorder="1" applyAlignment="1">
      <alignment horizontal="left" vertical="center" indent="2"/>
    </xf>
    <xf numFmtId="0" fontId="16" fillId="4" borderId="6" xfId="0" applyFont="1" applyFill="1" applyBorder="1" applyAlignment="1">
      <alignment horizontal="left" vertical="center" indent="2"/>
    </xf>
    <xf numFmtId="0" fontId="15" fillId="7" borderId="17" xfId="0" applyFont="1" applyFill="1" applyBorder="1" applyAlignment="1">
      <alignment horizontal="left" vertical="center"/>
    </xf>
    <xf numFmtId="0" fontId="16" fillId="4" borderId="7" xfId="0" applyFont="1" applyFill="1" applyBorder="1" applyAlignment="1">
      <alignment horizontal="left" vertical="center" indent="2"/>
    </xf>
    <xf numFmtId="0" fontId="25" fillId="7" borderId="18" xfId="0" applyFont="1" applyFill="1" applyBorder="1" applyAlignment="1">
      <alignment horizontal="left" vertical="center" indent="1"/>
    </xf>
    <xf numFmtId="0" fontId="17" fillId="10" borderId="18" xfId="0" applyFont="1" applyFill="1" applyBorder="1" applyAlignment="1">
      <alignment horizontal="left" vertical="center" wrapText="1" indent="1"/>
    </xf>
    <xf numFmtId="0" fontId="17" fillId="7" borderId="18" xfId="0" applyFont="1" applyFill="1" applyBorder="1" applyAlignment="1">
      <alignment horizontal="left" vertical="center" wrapText="1" indent="1"/>
    </xf>
    <xf numFmtId="0" fontId="26" fillId="3" borderId="0" xfId="0" applyFont="1" applyFill="1" applyAlignment="1">
      <alignment horizontal="center" vertical="center" wrapText="1"/>
    </xf>
  </cellXfs>
  <cellStyles count="1">
    <cellStyle name="Standard" xfId="0" builtinId="0"/>
  </cellStyles>
  <dxfs count="10">
    <dxf>
      <font>
        <b/>
        <sz val="10"/>
        <color rgb="FFC62828"/>
        <name val="Calibri"/>
        <charset val="1"/>
      </font>
      <fill>
        <patternFill>
          <bgColor rgb="FFFFEBEE"/>
        </patternFill>
      </fill>
    </dxf>
    <dxf>
      <font>
        <b/>
        <sz val="10"/>
        <color rgb="FF2E7D32"/>
        <name val="Calibri"/>
        <charset val="1"/>
      </font>
      <fill>
        <patternFill>
          <bgColor rgb="FFE8F5E9"/>
        </patternFill>
      </fill>
    </dxf>
    <dxf>
      <font>
        <b/>
        <sz val="10"/>
        <color rgb="FFC62828"/>
        <name val="Calibri"/>
        <charset val="1"/>
      </font>
      <fill>
        <patternFill>
          <bgColor rgb="FFFFEBEE"/>
        </patternFill>
      </fill>
    </dxf>
    <dxf>
      <font>
        <b/>
        <sz val="10"/>
        <color rgb="FF2E7D32"/>
        <name val="Calibri"/>
        <charset val="1"/>
      </font>
      <fill>
        <patternFill>
          <bgColor rgb="FFE8F5E9"/>
        </patternFill>
      </fill>
    </dxf>
    <dxf>
      <font>
        <b/>
        <sz val="10"/>
        <color rgb="FFC62828"/>
        <name val="Calibri"/>
        <charset val="1"/>
      </font>
      <fill>
        <patternFill>
          <bgColor rgb="FFFFEBEE"/>
        </patternFill>
      </fill>
    </dxf>
    <dxf>
      <font>
        <b/>
        <sz val="10"/>
        <color rgb="FF2E7D32"/>
        <name val="Calibri"/>
        <charset val="1"/>
      </font>
      <fill>
        <patternFill>
          <bgColor rgb="FFE8F5E9"/>
        </patternFill>
      </fill>
    </dxf>
    <dxf>
      <font>
        <b/>
        <sz val="13"/>
        <color rgb="FFC62828"/>
        <name val="Calibri"/>
        <charset val="1"/>
      </font>
      <fill>
        <patternFill>
          <bgColor rgb="FFFFEBEE"/>
        </patternFill>
      </fill>
    </dxf>
    <dxf>
      <font>
        <b/>
        <sz val="13"/>
        <color rgb="FF2E7D32"/>
        <name val="Calibri"/>
        <charset val="1"/>
      </font>
      <fill>
        <patternFill>
          <bgColor rgb="FFE8F5E9"/>
        </patternFill>
      </fill>
    </dxf>
    <dxf>
      <font>
        <b/>
        <sz val="12"/>
        <color rgb="FFC62828"/>
        <name val="Calibri"/>
        <charset val="1"/>
      </font>
      <fill>
        <patternFill>
          <bgColor rgb="FFFFEBEE"/>
        </patternFill>
      </fill>
    </dxf>
    <dxf>
      <font>
        <b/>
        <sz val="12"/>
        <color rgb="FF2E7D32"/>
        <name val="Calibri"/>
        <charset val="1"/>
      </font>
      <fill>
        <patternFill>
          <bgColor rgb="FFE8F5E9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D9D9D9"/>
      <rgbColor rgb="FF87A44B"/>
      <rgbColor rgb="FF0000FF"/>
      <rgbColor rgb="FFB8CD97"/>
      <rgbColor rgb="FFD09493"/>
      <rgbColor rgb="FF8EA5CA"/>
      <rgbColor rgb="FFFFEBEE"/>
      <rgbColor rgb="FF2E7D32"/>
      <rgbColor rgb="FF000080"/>
      <rgbColor rgb="FF9E6B3A"/>
      <rgbColor rgb="FF6F568D"/>
      <rgbColor rgb="FF4672A8"/>
      <rgbColor rgb="FFBBBBBB"/>
      <rgbColor rgb="FF878787"/>
      <rgbColor rgb="FF93A9CE"/>
      <rgbColor rgb="FFAA433F"/>
      <rgbColor rgb="FFF7F3EF"/>
      <rgbColor rgb="FFE8F5E9"/>
      <rgbColor rgb="FFA596B9"/>
      <rgbColor rgb="FFDC853E"/>
      <rgbColor rgb="FF1565C0"/>
      <rgbColor rgb="FFCCCCCC"/>
      <rgbColor rgb="FF000080"/>
      <rgbColor rgb="FFDDD5CC"/>
      <rgbColor rgb="FFB3C992"/>
      <rgbColor rgb="FFA0A0A0"/>
      <rgbColor rgb="FFCC8F8E"/>
      <rgbColor rgb="FF800000"/>
      <rgbColor rgb="FF555555"/>
      <rgbColor rgb="FF0000FF"/>
      <rgbColor rgb="FF8CBFD2"/>
      <rgbColor rgb="FFF9F9F9"/>
      <rgbColor rgb="FFDDDDDD"/>
      <rgbColor rgb="FFF5E6D3"/>
      <rgbColor rgb="FF92C3D5"/>
      <rgbColor rgb="FFF5B089"/>
      <rgbColor rgb="FFA99BBD"/>
      <rgbColor rgb="FFE8C9A8"/>
      <rgbColor rgb="FF426FA6"/>
      <rgbColor rgb="FF4299B0"/>
      <rgbColor rgb="FF8AA64F"/>
      <rgbColor rgb="FFF8B590"/>
      <rgbColor rgb="FFDB8238"/>
      <rgbColor rgb="FFC4956A"/>
      <rgbColor rgb="FF725990"/>
      <rgbColor rgb="FF8C8C8C"/>
      <rgbColor rgb="FF4A4A4A"/>
      <rgbColor rgb="FF3D97AF"/>
      <rgbColor rgb="FF003300"/>
      <rgbColor rgb="FF2D2D2D"/>
      <rgbColor rgb="FFC62828"/>
      <rgbColor rgb="FFAB4744"/>
      <rgbColor rgb="FF3D3D3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Chiffre d'affaires mensuel HT — An 1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CA HT An 1</c:v>
          </c:tx>
          <c:spPr>
            <a:solidFill>
              <a:srgbClr val="4672A8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'CA PRÉVISIONNEL'!$C$10</c:f>
              <c:numCache>
                <c:formatCode>#,##0" €"</c:formatCode>
                <c:ptCount val="1"/>
                <c:pt idx="0">
                  <c:v>7920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42-4887-9805-E90ECBC08184}"/>
            </c:ext>
          </c:extLst>
        </c:ser>
        <c:ser>
          <c:idx val="1"/>
          <c:order val="1"/>
          <c:spPr>
            <a:solidFill>
              <a:srgbClr val="AB47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'CA PRÉVISIONNEL'!$D$10</c:f>
              <c:numCache>
                <c:formatCode>#,##0" €"</c:formatCode>
                <c:ptCount val="1"/>
                <c:pt idx="0">
                  <c:v>7454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42-4887-9805-E90ECBC08184}"/>
            </c:ext>
          </c:extLst>
        </c:ser>
        <c:ser>
          <c:idx val="2"/>
          <c:order val="2"/>
          <c:spPr>
            <a:solidFill>
              <a:srgbClr val="8AA64F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'CA PRÉVISIONNEL'!$E$10</c:f>
              <c:numCache>
                <c:formatCode>#,##0" €"</c:formatCode>
                <c:ptCount val="1"/>
                <c:pt idx="0">
                  <c:v>8851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42-4887-9805-E90ECBC08184}"/>
            </c:ext>
          </c:extLst>
        </c:ser>
        <c:ser>
          <c:idx val="3"/>
          <c:order val="3"/>
          <c:spPr>
            <a:solidFill>
              <a:srgbClr val="725990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'CA PRÉVISIONNEL'!$F$10</c:f>
              <c:numCache>
                <c:formatCode>#,##0" €"</c:formatCode>
                <c:ptCount val="1"/>
                <c:pt idx="0">
                  <c:v>9317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542-4887-9805-E90ECBC08184}"/>
            </c:ext>
          </c:extLst>
        </c:ser>
        <c:ser>
          <c:idx val="4"/>
          <c:order val="4"/>
          <c:spPr>
            <a:solidFill>
              <a:srgbClr val="4299B0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'CA PRÉVISIONNEL'!$G$10</c:f>
              <c:numCache>
                <c:formatCode>#,##0" €"</c:formatCode>
                <c:ptCount val="1"/>
                <c:pt idx="0">
                  <c:v>9783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542-4887-9805-E90ECBC08184}"/>
            </c:ext>
          </c:extLst>
        </c:ser>
        <c:ser>
          <c:idx val="5"/>
          <c:order val="5"/>
          <c:spPr>
            <a:solidFill>
              <a:srgbClr val="DC853E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'CA PRÉVISIONNEL'!$H$10</c:f>
              <c:numCache>
                <c:formatCode>#,##0" €"</c:formatCode>
                <c:ptCount val="1"/>
                <c:pt idx="0">
                  <c:v>10249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542-4887-9805-E90ECBC08184}"/>
            </c:ext>
          </c:extLst>
        </c:ser>
        <c:ser>
          <c:idx val="6"/>
          <c:order val="6"/>
          <c:spPr>
            <a:solidFill>
              <a:srgbClr val="93A9CE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'CA PRÉVISIONNEL'!$I$10</c:f>
              <c:numCache>
                <c:formatCode>#,##0" €"</c:formatCode>
                <c:ptCount val="1"/>
                <c:pt idx="0">
                  <c:v>7454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542-4887-9805-E90ECBC08184}"/>
            </c:ext>
          </c:extLst>
        </c:ser>
        <c:ser>
          <c:idx val="7"/>
          <c:order val="7"/>
          <c:spPr>
            <a:solidFill>
              <a:srgbClr val="D0949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'CA PRÉVISIONNEL'!$J$10</c:f>
              <c:numCache>
                <c:formatCode>#,##0" €"</c:formatCode>
                <c:ptCount val="1"/>
                <c:pt idx="0">
                  <c:v>6522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542-4887-9805-E90ECBC08184}"/>
            </c:ext>
          </c:extLst>
        </c:ser>
        <c:ser>
          <c:idx val="8"/>
          <c:order val="8"/>
          <c:spPr>
            <a:solidFill>
              <a:srgbClr val="B8CD97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'CA PRÉVISIONNEL'!$K$10</c:f>
              <c:numCache>
                <c:formatCode>#,##0" €"</c:formatCode>
                <c:ptCount val="1"/>
                <c:pt idx="0">
                  <c:v>9783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542-4887-9805-E90ECBC08184}"/>
            </c:ext>
          </c:extLst>
        </c:ser>
        <c:ser>
          <c:idx val="9"/>
          <c:order val="9"/>
          <c:spPr>
            <a:solidFill>
              <a:srgbClr val="A99B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'CA PRÉVISIONNEL'!$L$10</c:f>
              <c:numCache>
                <c:formatCode>#,##0" €"</c:formatCode>
                <c:ptCount val="1"/>
                <c:pt idx="0">
                  <c:v>9783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542-4887-9805-E90ECBC08184}"/>
            </c:ext>
          </c:extLst>
        </c:ser>
        <c:ser>
          <c:idx val="10"/>
          <c:order val="10"/>
          <c:spPr>
            <a:solidFill>
              <a:srgbClr val="92C3D5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'CA PRÉVISIONNEL'!$M$10</c:f>
              <c:numCache>
                <c:formatCode>#,##0" €"</c:formatCode>
                <c:ptCount val="1"/>
                <c:pt idx="0">
                  <c:v>9783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542-4887-9805-E90ECBC08184}"/>
            </c:ext>
          </c:extLst>
        </c:ser>
        <c:ser>
          <c:idx val="11"/>
          <c:order val="11"/>
          <c:spPr>
            <a:solidFill>
              <a:srgbClr val="F8B590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'CA PRÉVISIONNEL'!$N$10</c:f>
              <c:numCache>
                <c:formatCode>#,##0" €"</c:formatCode>
                <c:ptCount val="1"/>
                <c:pt idx="0">
                  <c:v>14908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542-4887-9805-E90ECBC081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947808"/>
        <c:axId val="14286314"/>
      </c:barChart>
      <c:catAx>
        <c:axId val="909478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14286314"/>
        <c:crosses val="autoZero"/>
        <c:auto val="1"/>
        <c:lblAlgn val="ctr"/>
        <c:lblOffset val="100"/>
        <c:noMultiLvlLbl val="0"/>
      </c:catAx>
      <c:valAx>
        <c:axId val="1428631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sz="1000" b="1" strike="noStrike" spc="-1">
                    <a:solidFill>
                      <a:srgbClr val="000000"/>
                    </a:solidFill>
                    <a:latin typeface="Calibri"/>
                  </a:rPr>
                  <a:t>CA HT (€)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&quot;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9094780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Trésorerie cumulée — An 1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Trésorerie cumulée</c:v>
          </c:tx>
          <c:spPr>
            <a:ln w="47520">
              <a:solidFill>
                <a:srgbClr val="426FA6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TRÉSORERIE!$D$17</c:f>
              <c:numCache>
                <c:formatCode>#,##0" €"</c:formatCode>
                <c:ptCount val="1"/>
                <c:pt idx="0">
                  <c:v>-213616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553A-4268-A97B-A6814235E45C}"/>
            </c:ext>
          </c:extLst>
        </c:ser>
        <c:ser>
          <c:idx val="1"/>
          <c:order val="1"/>
          <c:spPr>
            <a:ln w="47520">
              <a:solidFill>
                <a:srgbClr val="AA433F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TRÉSORERIE!$E$17</c:f>
              <c:numCache>
                <c:formatCode>#,##0" €"</c:formatCode>
                <c:ptCount val="1"/>
                <c:pt idx="0">
                  <c:v>-213616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553A-4268-A97B-A6814235E45C}"/>
            </c:ext>
          </c:extLst>
        </c:ser>
        <c:ser>
          <c:idx val="2"/>
          <c:order val="2"/>
          <c:spPr>
            <a:ln w="47520">
              <a:solidFill>
                <a:srgbClr val="87A44B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TRÉSORERIE!$F$17</c:f>
              <c:numCache>
                <c:formatCode>#,##0" €"</c:formatCode>
                <c:ptCount val="1"/>
                <c:pt idx="0">
                  <c:v>-213616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553A-4268-A97B-A6814235E45C}"/>
            </c:ext>
          </c:extLst>
        </c:ser>
        <c:ser>
          <c:idx val="3"/>
          <c:order val="3"/>
          <c:spPr>
            <a:ln w="47520">
              <a:solidFill>
                <a:srgbClr val="6F568D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TRÉSORERIE!$G$17</c:f>
              <c:numCache>
                <c:formatCode>#,##0" €"</c:formatCode>
                <c:ptCount val="1"/>
                <c:pt idx="0">
                  <c:v>-216598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553A-4268-A97B-A6814235E45C}"/>
            </c:ext>
          </c:extLst>
        </c:ser>
        <c:ser>
          <c:idx val="4"/>
          <c:order val="4"/>
          <c:spPr>
            <a:ln w="47520">
              <a:solidFill>
                <a:srgbClr val="3D97AF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TRÉSORERIE!$H$17</c:f>
              <c:numCache>
                <c:formatCode>#,##0" €"</c:formatCode>
                <c:ptCount val="1"/>
                <c:pt idx="0">
                  <c:v>-216598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553A-4268-A97B-A6814235E45C}"/>
            </c:ext>
          </c:extLst>
        </c:ser>
        <c:ser>
          <c:idx val="5"/>
          <c:order val="5"/>
          <c:spPr>
            <a:ln w="47520">
              <a:solidFill>
                <a:srgbClr val="DB8238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TRÉSORERIE!$I$17</c:f>
              <c:numCache>
                <c:formatCode>#,##0" €"</c:formatCode>
                <c:ptCount val="1"/>
                <c:pt idx="0">
                  <c:v>-216598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553A-4268-A97B-A6814235E45C}"/>
            </c:ext>
          </c:extLst>
        </c:ser>
        <c:ser>
          <c:idx val="6"/>
          <c:order val="6"/>
          <c:spPr>
            <a:ln w="47520">
              <a:solidFill>
                <a:srgbClr val="8EA5CA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TRÉSORERIE!$J$17</c:f>
              <c:numCache>
                <c:formatCode>#,##0" €"</c:formatCode>
                <c:ptCount val="1"/>
                <c:pt idx="0">
                  <c:v>-220512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6-553A-4268-A97B-A6814235E45C}"/>
            </c:ext>
          </c:extLst>
        </c:ser>
        <c:ser>
          <c:idx val="7"/>
          <c:order val="7"/>
          <c:spPr>
            <a:ln w="47520">
              <a:solidFill>
                <a:srgbClr val="CC8F8E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TRÉSORERIE!$K$17</c:f>
              <c:numCache>
                <c:formatCode>#,##0" €"</c:formatCode>
                <c:ptCount val="1"/>
                <c:pt idx="0">
                  <c:v>-220512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553A-4268-A97B-A6814235E45C}"/>
            </c:ext>
          </c:extLst>
        </c:ser>
        <c:ser>
          <c:idx val="8"/>
          <c:order val="8"/>
          <c:spPr>
            <a:ln w="47520">
              <a:solidFill>
                <a:srgbClr val="B3C992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TRÉSORERIE!$L$17</c:f>
              <c:numCache>
                <c:formatCode>#,##0" €"</c:formatCode>
                <c:ptCount val="1"/>
                <c:pt idx="0">
                  <c:v>-220512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553A-4268-A97B-A6814235E45C}"/>
            </c:ext>
          </c:extLst>
        </c:ser>
        <c:ser>
          <c:idx val="9"/>
          <c:order val="9"/>
          <c:spPr>
            <a:ln w="47520">
              <a:solidFill>
                <a:srgbClr val="A596B9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TRÉSORERIE!$M$17</c:f>
              <c:numCache>
                <c:formatCode>#,##0" €"</c:formatCode>
                <c:ptCount val="1"/>
                <c:pt idx="0">
                  <c:v>-223120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9-553A-4268-A97B-A6814235E45C}"/>
            </c:ext>
          </c:extLst>
        </c:ser>
        <c:ser>
          <c:idx val="10"/>
          <c:order val="10"/>
          <c:spPr>
            <a:ln w="47520">
              <a:solidFill>
                <a:srgbClr val="8CBFD2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TRÉSORERIE!$N$17</c:f>
              <c:numCache>
                <c:formatCode>#,##0" €"</c:formatCode>
                <c:ptCount val="1"/>
                <c:pt idx="0">
                  <c:v>-223120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A-553A-4268-A97B-A6814235E45C}"/>
            </c:ext>
          </c:extLst>
        </c:ser>
        <c:ser>
          <c:idx val="11"/>
          <c:order val="11"/>
          <c:spPr>
            <a:ln w="47520">
              <a:solidFill>
                <a:srgbClr val="F5B089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TRÉSORERIE!$O$17</c:f>
              <c:numCache>
                <c:formatCode>#,##0" €"</c:formatCode>
                <c:ptCount val="1"/>
                <c:pt idx="0">
                  <c:v>-2398418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B-553A-4268-A97B-A6814235E4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77189437"/>
        <c:axId val="55991127"/>
      </c:lineChart>
      <c:catAx>
        <c:axId val="77189437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55991127"/>
        <c:crosses val="autoZero"/>
        <c:auto val="1"/>
        <c:lblAlgn val="ctr"/>
        <c:lblOffset val="100"/>
        <c:noMultiLvlLbl val="0"/>
      </c:catAx>
      <c:valAx>
        <c:axId val="5599112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sz="1000" b="1" strike="noStrike" spc="-1">
                    <a:solidFill>
                      <a:srgbClr val="000000"/>
                    </a:solidFill>
                    <a:latin typeface="Calibri"/>
                  </a:rPr>
                  <a:t>Solde (€)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&quot;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7718943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zero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</xdr:row>
      <xdr:rowOff>0</xdr:rowOff>
    </xdr:from>
    <xdr:to>
      <xdr:col>12</xdr:col>
      <xdr:colOff>447480</xdr:colOff>
      <xdr:row>33</xdr:row>
      <xdr:rowOff>168120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18</xdr:row>
      <xdr:rowOff>0</xdr:rowOff>
    </xdr:from>
    <xdr:to>
      <xdr:col>12</xdr:col>
      <xdr:colOff>321840</xdr:colOff>
      <xdr:row>38</xdr:row>
      <xdr:rowOff>149040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D2D2D"/>
  </sheetPr>
  <dimension ref="A1:H57"/>
  <sheetViews>
    <sheetView showGridLines="0" showRowColHeaders="0" tabSelected="1" zoomScaleNormal="100" workbookViewId="0">
      <selection activeCell="L39" sqref="L39"/>
    </sheetView>
  </sheetViews>
  <sheetFormatPr baseColWidth="10" defaultColWidth="8.7109375" defaultRowHeight="15" x14ac:dyDescent="0.25"/>
  <cols>
    <col min="1" max="1" width="2" customWidth="1"/>
    <col min="2" max="2" width="8" customWidth="1"/>
    <col min="3" max="3" width="36" customWidth="1"/>
    <col min="4" max="4" width="22" customWidth="1"/>
    <col min="5" max="7" width="8" customWidth="1"/>
    <col min="8" max="8" width="2" customWidth="1"/>
  </cols>
  <sheetData>
    <row r="1" spans="1:8" ht="7.5" customHeight="1" x14ac:dyDescent="0.25">
      <c r="A1" s="14"/>
      <c r="B1" s="14"/>
      <c r="C1" s="14"/>
      <c r="D1" s="14"/>
      <c r="E1" s="14"/>
      <c r="F1" s="14"/>
      <c r="G1" s="14"/>
      <c r="H1" s="14"/>
    </row>
    <row r="2" spans="1:8" ht="7.5" customHeight="1" x14ac:dyDescent="0.25">
      <c r="A2" s="14"/>
      <c r="B2" s="14"/>
      <c r="C2" s="14"/>
      <c r="D2" s="14"/>
      <c r="E2" s="14"/>
      <c r="F2" s="14"/>
      <c r="G2" s="14"/>
      <c r="H2" s="14"/>
    </row>
    <row r="3" spans="1:8" ht="15.75" customHeight="1" x14ac:dyDescent="0.25">
      <c r="A3" s="15"/>
      <c r="B3" s="13" t="s">
        <v>0</v>
      </c>
      <c r="C3" s="13"/>
      <c r="D3" s="13"/>
      <c r="E3" s="13"/>
      <c r="F3" s="13"/>
      <c r="G3" s="13"/>
      <c r="H3" s="15"/>
    </row>
    <row r="4" spans="1:8" ht="67.5" customHeight="1" x14ac:dyDescent="0.25">
      <c r="A4" s="15"/>
      <c r="B4" s="119" t="s">
        <v>1</v>
      </c>
      <c r="C4" s="119"/>
      <c r="D4" s="119"/>
      <c r="E4" s="119"/>
      <c r="F4" s="119"/>
      <c r="G4" s="119"/>
      <c r="H4" s="15"/>
    </row>
    <row r="5" spans="1:8" ht="27.75" customHeight="1" x14ac:dyDescent="0.25">
      <c r="A5" s="15"/>
      <c r="B5" s="12" t="s">
        <v>2</v>
      </c>
      <c r="C5" s="12"/>
      <c r="D5" s="12"/>
      <c r="E5" s="12"/>
      <c r="F5" s="12"/>
      <c r="G5" s="12"/>
      <c r="H5" s="15"/>
    </row>
    <row r="6" spans="1:8" ht="6" customHeight="1" x14ac:dyDescent="0.25">
      <c r="A6" s="15"/>
      <c r="B6" s="15"/>
      <c r="C6" s="11"/>
      <c r="D6" s="11"/>
      <c r="E6" s="11"/>
      <c r="F6" s="11"/>
      <c r="G6" s="15"/>
      <c r="H6" s="15"/>
    </row>
    <row r="7" spans="1:8" ht="13.5" customHeight="1" x14ac:dyDescent="0.25">
      <c r="A7" s="15"/>
      <c r="B7" s="15"/>
      <c r="C7" s="15"/>
      <c r="D7" s="15"/>
      <c r="E7" s="15"/>
      <c r="F7" s="15"/>
      <c r="G7" s="15"/>
      <c r="H7" s="15"/>
    </row>
    <row r="8" spans="1:8" ht="27.75" customHeight="1" x14ac:dyDescent="0.25">
      <c r="A8" s="15"/>
      <c r="B8" s="16" t="s">
        <v>3</v>
      </c>
      <c r="C8" s="10" t="s">
        <v>4</v>
      </c>
      <c r="D8" s="10"/>
      <c r="E8" s="10"/>
      <c r="F8" s="9" t="s">
        <v>5</v>
      </c>
      <c r="G8" s="9"/>
      <c r="H8" s="15"/>
    </row>
    <row r="9" spans="1:8" ht="3.75" customHeight="1" x14ac:dyDescent="0.25">
      <c r="A9" s="15"/>
      <c r="B9" s="15"/>
      <c r="C9" s="15"/>
      <c r="D9" s="15"/>
      <c r="E9" s="15"/>
      <c r="F9" s="15"/>
      <c r="G9" s="15"/>
      <c r="H9" s="15"/>
    </row>
    <row r="10" spans="1:8" ht="27.75" customHeight="1" x14ac:dyDescent="0.25">
      <c r="A10" s="15"/>
      <c r="B10" s="16" t="s">
        <v>6</v>
      </c>
      <c r="C10" s="10" t="s">
        <v>7</v>
      </c>
      <c r="D10" s="10"/>
      <c r="E10" s="10"/>
      <c r="F10" s="9" t="s">
        <v>8</v>
      </c>
      <c r="G10" s="9"/>
      <c r="H10" s="15"/>
    </row>
    <row r="11" spans="1:8" ht="3.75" customHeight="1" x14ac:dyDescent="0.25">
      <c r="A11" s="15"/>
      <c r="B11" s="15"/>
      <c r="C11" s="15"/>
      <c r="D11" s="15"/>
      <c r="E11" s="15"/>
      <c r="F11" s="15"/>
      <c r="G11" s="15"/>
      <c r="H11" s="15"/>
    </row>
    <row r="12" spans="1:8" ht="27.75" customHeight="1" x14ac:dyDescent="0.25">
      <c r="A12" s="15"/>
      <c r="B12" s="16" t="s">
        <v>9</v>
      </c>
      <c r="C12" s="10" t="s">
        <v>10</v>
      </c>
      <c r="D12" s="10"/>
      <c r="E12" s="10"/>
      <c r="F12" s="9" t="s">
        <v>11</v>
      </c>
      <c r="G12" s="9"/>
      <c r="H12" s="15"/>
    </row>
    <row r="13" spans="1:8" ht="3.75" customHeight="1" x14ac:dyDescent="0.25">
      <c r="A13" s="15"/>
      <c r="B13" s="15"/>
      <c r="C13" s="15"/>
      <c r="D13" s="15"/>
      <c r="E13" s="15"/>
      <c r="F13" s="15"/>
      <c r="G13" s="15"/>
      <c r="H13" s="15"/>
    </row>
    <row r="14" spans="1:8" ht="27.75" customHeight="1" x14ac:dyDescent="0.25">
      <c r="A14" s="15"/>
      <c r="B14" s="16" t="s">
        <v>12</v>
      </c>
      <c r="C14" s="10" t="s">
        <v>13</v>
      </c>
      <c r="D14" s="10"/>
      <c r="E14" s="10"/>
      <c r="F14" s="9" t="s">
        <v>14</v>
      </c>
      <c r="G14" s="9"/>
      <c r="H14" s="15"/>
    </row>
    <row r="15" spans="1:8" ht="3.75" customHeight="1" x14ac:dyDescent="0.25">
      <c r="A15" s="15"/>
      <c r="B15" s="15"/>
      <c r="C15" s="15"/>
      <c r="D15" s="15"/>
      <c r="E15" s="15"/>
      <c r="F15" s="15"/>
      <c r="G15" s="15"/>
      <c r="H15" s="15"/>
    </row>
    <row r="16" spans="1:8" ht="27.75" customHeight="1" x14ac:dyDescent="0.25">
      <c r="A16" s="15"/>
      <c r="B16" s="16" t="s">
        <v>15</v>
      </c>
      <c r="C16" s="10" t="s">
        <v>16</v>
      </c>
      <c r="D16" s="10"/>
      <c r="E16" s="10"/>
      <c r="F16" s="9" t="s">
        <v>17</v>
      </c>
      <c r="G16" s="9"/>
      <c r="H16" s="15"/>
    </row>
    <row r="17" spans="1:8" ht="3.75" customHeight="1" x14ac:dyDescent="0.25">
      <c r="A17" s="15"/>
      <c r="B17" s="15"/>
      <c r="C17" s="15"/>
      <c r="D17" s="15"/>
      <c r="E17" s="15"/>
      <c r="F17" s="15"/>
      <c r="G17" s="15"/>
      <c r="H17" s="15"/>
    </row>
    <row r="18" spans="1:8" ht="27.75" customHeight="1" x14ac:dyDescent="0.25">
      <c r="A18" s="15"/>
      <c r="B18" s="16" t="s">
        <v>18</v>
      </c>
      <c r="C18" s="10" t="s">
        <v>19</v>
      </c>
      <c r="D18" s="10"/>
      <c r="E18" s="10"/>
      <c r="F18" s="9" t="s">
        <v>20</v>
      </c>
      <c r="G18" s="9"/>
      <c r="H18" s="15"/>
    </row>
    <row r="19" spans="1:8" ht="3.75" customHeight="1" x14ac:dyDescent="0.25">
      <c r="A19" s="15"/>
      <c r="B19" s="15"/>
      <c r="C19" s="15"/>
      <c r="D19" s="15"/>
      <c r="E19" s="15"/>
      <c r="F19" s="15"/>
      <c r="G19" s="15"/>
      <c r="H19" s="15"/>
    </row>
    <row r="20" spans="1:8" ht="18" customHeight="1" x14ac:dyDescent="0.25">
      <c r="A20" s="15"/>
      <c r="B20" s="15"/>
      <c r="C20" s="15"/>
      <c r="D20" s="15"/>
      <c r="E20" s="15"/>
      <c r="F20" s="15"/>
      <c r="G20" s="15"/>
      <c r="H20" s="15"/>
    </row>
    <row r="21" spans="1:8" ht="12" customHeight="1" x14ac:dyDescent="0.25">
      <c r="A21" s="15"/>
      <c r="B21" s="8" t="s">
        <v>21</v>
      </c>
      <c r="C21" s="8"/>
      <c r="D21" s="8"/>
      <c r="E21" s="8"/>
      <c r="F21" s="8"/>
      <c r="G21" s="8"/>
      <c r="H21" s="15"/>
    </row>
    <row r="22" spans="1:8" ht="21.75" customHeight="1" x14ac:dyDescent="0.25">
      <c r="A22" s="15"/>
      <c r="B22" s="7" t="s">
        <v>22</v>
      </c>
      <c r="C22" s="7"/>
      <c r="D22" s="7"/>
      <c r="E22" s="7"/>
      <c r="F22" s="7"/>
      <c r="G22" s="7"/>
      <c r="H22" s="15"/>
    </row>
    <row r="23" spans="1:8" ht="21.75" customHeight="1" x14ac:dyDescent="0.25">
      <c r="A23" s="15"/>
      <c r="B23" s="7" t="s">
        <v>23</v>
      </c>
      <c r="C23" s="7"/>
      <c r="D23" s="7"/>
      <c r="E23" s="7"/>
      <c r="F23" s="7"/>
      <c r="G23" s="7"/>
      <c r="H23" s="15"/>
    </row>
    <row r="24" spans="1:8" ht="21.75" customHeight="1" x14ac:dyDescent="0.25">
      <c r="A24" s="15"/>
      <c r="B24" s="7" t="s">
        <v>24</v>
      </c>
      <c r="C24" s="7"/>
      <c r="D24" s="7"/>
      <c r="E24" s="7"/>
      <c r="F24" s="7"/>
      <c r="G24" s="7"/>
      <c r="H24" s="15"/>
    </row>
    <row r="25" spans="1:8" ht="21.75" customHeight="1" x14ac:dyDescent="0.25">
      <c r="A25" s="15"/>
      <c r="B25" s="7" t="s">
        <v>25</v>
      </c>
      <c r="C25" s="7"/>
      <c r="D25" s="7"/>
      <c r="E25" s="7"/>
      <c r="F25" s="7"/>
      <c r="G25" s="7"/>
      <c r="H25" s="15"/>
    </row>
    <row r="26" spans="1:8" ht="21.75" customHeight="1" x14ac:dyDescent="0.25">
      <c r="A26" s="15"/>
      <c r="B26" s="7" t="s">
        <v>26</v>
      </c>
      <c r="C26" s="7"/>
      <c r="D26" s="7"/>
      <c r="E26" s="7"/>
      <c r="F26" s="7"/>
      <c r="G26" s="7"/>
      <c r="H26" s="15"/>
    </row>
    <row r="27" spans="1:8" ht="18" customHeight="1" x14ac:dyDescent="0.25">
      <c r="A27" s="15"/>
      <c r="B27" s="15"/>
      <c r="C27" s="15"/>
      <c r="D27" s="15"/>
      <c r="E27" s="15"/>
      <c r="F27" s="15"/>
      <c r="G27" s="15"/>
      <c r="H27" s="15"/>
    </row>
    <row r="28" spans="1:8" ht="12" customHeight="1" x14ac:dyDescent="0.25">
      <c r="A28" s="15"/>
      <c r="B28" s="8" t="s">
        <v>27</v>
      </c>
      <c r="C28" s="8"/>
      <c r="D28" s="8"/>
      <c r="E28" s="8"/>
      <c r="F28" s="8"/>
      <c r="G28" s="8"/>
      <c r="H28" s="15"/>
    </row>
    <row r="29" spans="1:8" ht="19.5" customHeight="1" x14ac:dyDescent="0.25">
      <c r="A29" s="15"/>
      <c r="B29" s="17"/>
      <c r="C29" s="6" t="s">
        <v>28</v>
      </c>
      <c r="D29" s="6"/>
      <c r="E29" s="6"/>
      <c r="F29" s="6"/>
      <c r="G29" s="6"/>
      <c r="H29" s="15"/>
    </row>
    <row r="30" spans="1:8" ht="19.5" customHeight="1" x14ac:dyDescent="0.25">
      <c r="A30" s="15"/>
      <c r="B30" s="18"/>
      <c r="C30" s="6" t="s">
        <v>29</v>
      </c>
      <c r="D30" s="6"/>
      <c r="E30" s="6"/>
      <c r="F30" s="6"/>
      <c r="G30" s="6"/>
      <c r="H30" s="15"/>
    </row>
    <row r="31" spans="1:8" ht="19.5" customHeight="1" x14ac:dyDescent="0.25">
      <c r="A31" s="15"/>
      <c r="B31" s="19"/>
      <c r="C31" s="6" t="s">
        <v>30</v>
      </c>
      <c r="D31" s="6"/>
      <c r="E31" s="6"/>
      <c r="F31" s="6"/>
      <c r="G31" s="6"/>
      <c r="H31" s="15"/>
    </row>
    <row r="32" spans="1:8" ht="19.5" customHeight="1" x14ac:dyDescent="0.25">
      <c r="A32" s="15"/>
      <c r="B32" s="20"/>
      <c r="C32" s="6" t="s">
        <v>31</v>
      </c>
      <c r="D32" s="6"/>
      <c r="E32" s="6"/>
      <c r="F32" s="6"/>
      <c r="G32" s="6"/>
      <c r="H32" s="15"/>
    </row>
    <row r="33" spans="1:8" ht="18" customHeight="1" x14ac:dyDescent="0.25">
      <c r="A33" s="15"/>
      <c r="B33" s="15"/>
      <c r="C33" s="15"/>
      <c r="D33" s="15"/>
      <c r="E33" s="15"/>
      <c r="F33" s="15"/>
      <c r="G33" s="15"/>
      <c r="H33" s="15"/>
    </row>
    <row r="34" spans="1:8" ht="18" customHeight="1" x14ac:dyDescent="0.25">
      <c r="A34" s="15"/>
      <c r="B34" s="15"/>
      <c r="C34" s="15"/>
      <c r="D34" s="15"/>
      <c r="E34" s="15"/>
      <c r="F34" s="15"/>
      <c r="G34" s="15"/>
      <c r="H34" s="15"/>
    </row>
    <row r="35" spans="1:8" ht="18" customHeight="1" x14ac:dyDescent="0.25">
      <c r="A35" s="15"/>
      <c r="B35" s="15"/>
      <c r="C35" s="15"/>
      <c r="D35" s="15"/>
      <c r="E35" s="15"/>
      <c r="F35" s="15"/>
      <c r="G35" s="15"/>
      <c r="H35" s="15"/>
    </row>
    <row r="36" spans="1:8" ht="18" customHeight="1" x14ac:dyDescent="0.25">
      <c r="A36" s="15"/>
      <c r="B36" s="15"/>
      <c r="C36" s="15"/>
      <c r="D36" s="15"/>
      <c r="E36" s="15"/>
      <c r="F36" s="15"/>
      <c r="G36" s="15"/>
      <c r="H36" s="15"/>
    </row>
    <row r="37" spans="1:8" ht="18" customHeight="1" x14ac:dyDescent="0.25">
      <c r="A37" s="15"/>
      <c r="B37" s="15"/>
      <c r="C37" s="15"/>
      <c r="D37" s="15"/>
      <c r="E37" s="15"/>
      <c r="F37" s="15"/>
      <c r="G37" s="15"/>
      <c r="H37" s="15"/>
    </row>
    <row r="38" spans="1:8" ht="18" customHeight="1" x14ac:dyDescent="0.25">
      <c r="A38" s="15"/>
      <c r="B38" s="15"/>
      <c r="C38" s="15"/>
      <c r="D38" s="15"/>
      <c r="E38" s="15"/>
      <c r="F38" s="15"/>
      <c r="G38" s="15"/>
      <c r="H38" s="15"/>
    </row>
    <row r="39" spans="1:8" ht="18" customHeight="1" x14ac:dyDescent="0.25">
      <c r="A39" s="15"/>
      <c r="B39" s="15"/>
      <c r="C39" s="15"/>
      <c r="D39" s="15"/>
      <c r="E39" s="15"/>
      <c r="F39" s="15"/>
      <c r="G39" s="15"/>
      <c r="H39" s="15"/>
    </row>
    <row r="40" spans="1:8" ht="18" customHeight="1" x14ac:dyDescent="0.25">
      <c r="A40" s="15"/>
      <c r="B40" s="15"/>
      <c r="C40" s="15"/>
      <c r="D40" s="15"/>
      <c r="E40" s="15"/>
      <c r="F40" s="15"/>
      <c r="G40" s="15"/>
      <c r="H40" s="15"/>
    </row>
    <row r="41" spans="1:8" ht="18" customHeight="1" x14ac:dyDescent="0.25">
      <c r="A41" s="15"/>
      <c r="B41" s="15"/>
      <c r="C41" s="15"/>
      <c r="D41" s="15"/>
      <c r="E41" s="15"/>
      <c r="F41" s="15"/>
      <c r="G41" s="15"/>
      <c r="H41" s="15"/>
    </row>
    <row r="42" spans="1:8" ht="18" customHeight="1" x14ac:dyDescent="0.25">
      <c r="A42" s="15"/>
      <c r="B42" s="15"/>
      <c r="C42" s="15"/>
      <c r="D42" s="15"/>
      <c r="E42" s="15"/>
      <c r="F42" s="15"/>
      <c r="G42" s="15"/>
      <c r="H42" s="15"/>
    </row>
    <row r="43" spans="1:8" ht="18" customHeight="1" x14ac:dyDescent="0.25">
      <c r="A43" s="15"/>
      <c r="B43" s="15"/>
      <c r="C43" s="15"/>
      <c r="D43" s="15"/>
      <c r="E43" s="15"/>
      <c r="F43" s="15"/>
      <c r="G43" s="15"/>
      <c r="H43" s="15"/>
    </row>
    <row r="44" spans="1:8" ht="18" customHeight="1" x14ac:dyDescent="0.25">
      <c r="A44" s="15"/>
      <c r="B44" s="15"/>
      <c r="C44" s="15"/>
      <c r="D44" s="15"/>
      <c r="E44" s="15"/>
      <c r="F44" s="15"/>
      <c r="G44" s="15"/>
      <c r="H44" s="15"/>
    </row>
    <row r="45" spans="1:8" ht="18" customHeight="1" x14ac:dyDescent="0.25">
      <c r="A45" s="15"/>
      <c r="B45" s="15"/>
      <c r="C45" s="15"/>
      <c r="D45" s="15"/>
      <c r="E45" s="15"/>
      <c r="F45" s="15"/>
      <c r="G45" s="15"/>
      <c r="H45" s="15"/>
    </row>
    <row r="46" spans="1:8" ht="18" customHeight="1" x14ac:dyDescent="0.25">
      <c r="A46" s="15"/>
      <c r="B46" s="15"/>
      <c r="C46" s="15"/>
      <c r="D46" s="15"/>
      <c r="E46" s="15"/>
      <c r="F46" s="15"/>
      <c r="G46" s="15"/>
      <c r="H46" s="15"/>
    </row>
    <row r="47" spans="1:8" ht="18" customHeight="1" x14ac:dyDescent="0.25">
      <c r="A47" s="15"/>
      <c r="B47" s="15"/>
      <c r="C47" s="15"/>
      <c r="D47" s="15"/>
      <c r="E47" s="15"/>
      <c r="F47" s="15"/>
      <c r="G47" s="15"/>
      <c r="H47" s="15"/>
    </row>
    <row r="48" spans="1:8" ht="18" customHeight="1" x14ac:dyDescent="0.25">
      <c r="A48" s="15"/>
      <c r="B48" s="15"/>
      <c r="C48" s="15"/>
      <c r="D48" s="15"/>
      <c r="E48" s="15"/>
      <c r="F48" s="15"/>
      <c r="G48" s="15"/>
      <c r="H48" s="15"/>
    </row>
    <row r="49" spans="1:8" ht="18" customHeight="1" x14ac:dyDescent="0.25">
      <c r="A49" s="15"/>
      <c r="B49" s="15"/>
      <c r="C49" s="15"/>
      <c r="D49" s="15"/>
      <c r="E49" s="15"/>
      <c r="F49" s="15"/>
      <c r="G49" s="15"/>
      <c r="H49" s="15"/>
    </row>
    <row r="50" spans="1:8" ht="18" customHeight="1" x14ac:dyDescent="0.25">
      <c r="A50" s="15"/>
      <c r="B50" s="15"/>
      <c r="C50" s="15"/>
      <c r="D50" s="15"/>
      <c r="E50" s="15"/>
      <c r="F50" s="15"/>
      <c r="G50" s="15"/>
      <c r="H50" s="15"/>
    </row>
    <row r="51" spans="1:8" ht="18" customHeight="1" x14ac:dyDescent="0.25">
      <c r="A51" s="15"/>
      <c r="B51" s="15"/>
      <c r="C51" s="15"/>
      <c r="D51" s="15"/>
      <c r="E51" s="15"/>
      <c r="F51" s="15"/>
      <c r="G51" s="15"/>
      <c r="H51" s="15"/>
    </row>
    <row r="52" spans="1:8" ht="18" customHeight="1" x14ac:dyDescent="0.25">
      <c r="A52" s="15"/>
      <c r="B52" s="15"/>
      <c r="C52" s="15"/>
      <c r="D52" s="15"/>
      <c r="E52" s="15"/>
      <c r="F52" s="15"/>
      <c r="G52" s="15"/>
      <c r="H52" s="15"/>
    </row>
    <row r="53" spans="1:8" ht="18" customHeight="1" x14ac:dyDescent="0.25">
      <c r="A53" s="15"/>
      <c r="B53" s="15"/>
      <c r="C53" s="15"/>
      <c r="D53" s="15"/>
      <c r="E53" s="15"/>
      <c r="F53" s="15"/>
      <c r="G53" s="15"/>
      <c r="H53" s="15"/>
    </row>
    <row r="54" spans="1:8" ht="18" customHeight="1" x14ac:dyDescent="0.25">
      <c r="A54" s="15"/>
      <c r="B54" s="15"/>
      <c r="C54" s="15"/>
      <c r="D54" s="15"/>
      <c r="E54" s="15"/>
      <c r="F54" s="15"/>
      <c r="G54" s="15"/>
      <c r="H54" s="15"/>
    </row>
    <row r="55" spans="1:8" ht="7.5" customHeight="1" x14ac:dyDescent="0.25">
      <c r="A55" s="14"/>
      <c r="B55" s="14"/>
      <c r="C55" s="14"/>
      <c r="D55" s="14"/>
      <c r="E55" s="14"/>
      <c r="F55" s="14"/>
      <c r="G55" s="14"/>
      <c r="H55" s="14"/>
    </row>
    <row r="56" spans="1:8" ht="18" customHeight="1" x14ac:dyDescent="0.25">
      <c r="A56" s="15"/>
      <c r="B56" s="15"/>
      <c r="C56" s="15"/>
      <c r="D56" s="15"/>
      <c r="E56" s="15"/>
      <c r="F56" s="15"/>
      <c r="G56" s="15"/>
      <c r="H56" s="15"/>
    </row>
    <row r="57" spans="1:8" ht="18" customHeight="1" x14ac:dyDescent="0.25">
      <c r="A57" s="15"/>
      <c r="B57" s="15"/>
      <c r="C57" s="15"/>
      <c r="D57" s="15"/>
      <c r="E57" s="15"/>
      <c r="F57" s="15"/>
      <c r="G57" s="15"/>
      <c r="H57" s="15"/>
    </row>
  </sheetData>
  <mergeCells count="27">
    <mergeCell ref="B28:G28"/>
    <mergeCell ref="C29:G29"/>
    <mergeCell ref="C30:G30"/>
    <mergeCell ref="C31:G31"/>
    <mergeCell ref="C32:G32"/>
    <mergeCell ref="B22:G22"/>
    <mergeCell ref="B23:G23"/>
    <mergeCell ref="B24:G24"/>
    <mergeCell ref="B25:G25"/>
    <mergeCell ref="B26:G26"/>
    <mergeCell ref="C16:E16"/>
    <mergeCell ref="F16:G16"/>
    <mergeCell ref="C18:E18"/>
    <mergeCell ref="F18:G18"/>
    <mergeCell ref="B21:G21"/>
    <mergeCell ref="C10:E10"/>
    <mergeCell ref="F10:G10"/>
    <mergeCell ref="C12:E12"/>
    <mergeCell ref="F12:G12"/>
    <mergeCell ref="C14:E14"/>
    <mergeCell ref="F14:G14"/>
    <mergeCell ref="B3:G3"/>
    <mergeCell ref="B4:G4"/>
    <mergeCell ref="B5:G5"/>
    <mergeCell ref="C6:F6"/>
    <mergeCell ref="C8:E8"/>
    <mergeCell ref="F8:G8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4956A"/>
  </sheetPr>
  <dimension ref="A1:I79"/>
  <sheetViews>
    <sheetView showGridLines="0" showRowColHeader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I1"/>
    </sheetView>
  </sheetViews>
  <sheetFormatPr baseColWidth="10" defaultColWidth="8.7109375" defaultRowHeight="15" x14ac:dyDescent="0.25"/>
  <cols>
    <col min="1" max="1" width="2" customWidth="1"/>
    <col min="2" max="2" width="4" customWidth="1"/>
    <col min="3" max="3" width="32" customWidth="1"/>
    <col min="4" max="8" width="14" customWidth="1"/>
    <col min="9" max="9" width="2" customWidth="1"/>
  </cols>
  <sheetData>
    <row r="1" spans="1:9" ht="4.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43.5" customHeight="1" x14ac:dyDescent="0.25">
      <c r="A2" s="5" t="s">
        <v>32</v>
      </c>
      <c r="B2" s="5"/>
      <c r="C2" s="5"/>
      <c r="D2" s="5"/>
      <c r="E2" s="5"/>
      <c r="F2" s="5"/>
      <c r="G2" s="5"/>
      <c r="H2" s="5"/>
      <c r="I2" s="5"/>
    </row>
    <row r="3" spans="1:9" ht="18" customHeight="1" x14ac:dyDescent="0.25">
      <c r="A3" s="4" t="s">
        <v>33</v>
      </c>
      <c r="B3" s="4"/>
      <c r="C3" s="4"/>
      <c r="D3" s="4"/>
      <c r="E3" s="4"/>
      <c r="F3" s="4"/>
      <c r="G3" s="4"/>
      <c r="H3" s="4"/>
      <c r="I3" s="4"/>
    </row>
    <row r="4" spans="1:9" ht="4.5" customHeight="1" x14ac:dyDescent="0.25">
      <c r="A4" s="11"/>
      <c r="B4" s="11"/>
      <c r="C4" s="11"/>
      <c r="D4" s="11"/>
      <c r="E4" s="11"/>
      <c r="F4" s="11"/>
      <c r="G4" s="11"/>
      <c r="H4" s="11"/>
      <c r="I4" s="11"/>
    </row>
    <row r="5" spans="1:9" ht="12" customHeight="1" x14ac:dyDescent="0.25"/>
    <row r="6" spans="1:9" ht="25.5" customHeight="1" x14ac:dyDescent="0.25">
      <c r="B6" s="3" t="s">
        <v>34</v>
      </c>
      <c r="C6" s="3"/>
      <c r="D6" s="3"/>
      <c r="E6" s="3"/>
      <c r="F6" s="3"/>
      <c r="G6" s="3"/>
      <c r="H6" s="3"/>
    </row>
    <row r="7" spans="1:9" ht="6" customHeight="1" x14ac:dyDescent="0.25">
      <c r="B7" s="2"/>
      <c r="C7" s="2"/>
      <c r="D7" s="2"/>
      <c r="E7" s="2"/>
      <c r="F7" s="2"/>
      <c r="G7" s="2"/>
      <c r="H7" s="2"/>
    </row>
    <row r="8" spans="1:9" ht="19.5" customHeight="1" x14ac:dyDescent="0.25">
      <c r="C8" s="21" t="s">
        <v>35</v>
      </c>
      <c r="D8" s="1" t="s">
        <v>36</v>
      </c>
      <c r="E8" s="1"/>
    </row>
    <row r="9" spans="1:9" ht="19.5" customHeight="1" x14ac:dyDescent="0.25">
      <c r="C9" s="22" t="s">
        <v>37</v>
      </c>
      <c r="D9" s="1" t="s">
        <v>38</v>
      </c>
      <c r="E9" s="1"/>
    </row>
    <row r="10" spans="1:9" ht="19.5" customHeight="1" x14ac:dyDescent="0.25">
      <c r="C10" s="21" t="s">
        <v>39</v>
      </c>
      <c r="D10" s="1" t="s">
        <v>40</v>
      </c>
      <c r="E10" s="1"/>
    </row>
    <row r="11" spans="1:9" ht="19.5" customHeight="1" x14ac:dyDescent="0.25">
      <c r="C11" s="22" t="s">
        <v>41</v>
      </c>
      <c r="D11" s="106">
        <v>46478</v>
      </c>
      <c r="E11" s="106"/>
    </row>
    <row r="12" spans="1:9" ht="19.5" customHeight="1" x14ac:dyDescent="0.25">
      <c r="C12" s="21" t="s">
        <v>42</v>
      </c>
      <c r="D12" s="1" t="s">
        <v>43</v>
      </c>
      <c r="E12" s="1"/>
    </row>
    <row r="13" spans="1:9" ht="19.5" customHeight="1" x14ac:dyDescent="0.25">
      <c r="C13" s="22" t="s">
        <v>44</v>
      </c>
      <c r="D13" s="1" t="s">
        <v>45</v>
      </c>
      <c r="E13" s="1"/>
    </row>
    <row r="14" spans="1:9" ht="19.5" customHeight="1" x14ac:dyDescent="0.25">
      <c r="C14" s="21" t="s">
        <v>46</v>
      </c>
      <c r="D14" s="1">
        <v>3</v>
      </c>
      <c r="E14" s="1"/>
    </row>
    <row r="15" spans="1:9" ht="19.5" customHeight="1" x14ac:dyDescent="0.25">
      <c r="C15" s="22" t="s">
        <v>47</v>
      </c>
      <c r="D15" s="1">
        <v>5.5</v>
      </c>
      <c r="E15" s="1"/>
    </row>
    <row r="16" spans="1:9" ht="19.5" customHeight="1" x14ac:dyDescent="0.25">
      <c r="C16" s="21" t="s">
        <v>48</v>
      </c>
      <c r="D16" s="1">
        <v>47</v>
      </c>
      <c r="E16" s="1"/>
    </row>
    <row r="17" spans="2:8" ht="13.5" customHeight="1" x14ac:dyDescent="0.25">
      <c r="B17" s="2"/>
      <c r="C17" s="2"/>
      <c r="D17" s="2"/>
      <c r="E17" s="2"/>
      <c r="F17" s="2"/>
      <c r="G17" s="2"/>
      <c r="H17" s="2"/>
    </row>
    <row r="18" spans="2:8" ht="25.5" customHeight="1" x14ac:dyDescent="0.25">
      <c r="B18" s="3" t="s">
        <v>49</v>
      </c>
      <c r="C18" s="3"/>
      <c r="D18" s="3"/>
      <c r="E18" s="3"/>
      <c r="F18" s="3"/>
      <c r="G18" s="3"/>
      <c r="H18" s="3"/>
    </row>
    <row r="19" spans="2:8" ht="4.5" customHeight="1" x14ac:dyDescent="0.25">
      <c r="B19" s="2"/>
      <c r="C19" s="2"/>
      <c r="D19" s="2"/>
      <c r="E19" s="2"/>
      <c r="F19" s="2"/>
      <c r="G19" s="2"/>
      <c r="H19" s="2"/>
    </row>
    <row r="20" spans="2:8" ht="13.5" customHeight="1" x14ac:dyDescent="0.25">
      <c r="B20" s="107" t="s">
        <v>50</v>
      </c>
      <c r="C20" s="107"/>
      <c r="D20" s="107"/>
      <c r="E20" s="107"/>
      <c r="F20" s="107"/>
      <c r="G20" s="107"/>
      <c r="H20" s="107"/>
    </row>
    <row r="21" spans="2:8" ht="4.5" customHeight="1" x14ac:dyDescent="0.25">
      <c r="B21" s="2"/>
      <c r="C21" s="2"/>
      <c r="D21" s="2"/>
      <c r="E21" s="2"/>
      <c r="F21" s="2"/>
      <c r="G21" s="2"/>
      <c r="H21" s="2"/>
    </row>
    <row r="22" spans="2:8" ht="31.5" customHeight="1" x14ac:dyDescent="0.25">
      <c r="B22" s="23"/>
      <c r="C22" s="24" t="s">
        <v>51</v>
      </c>
      <c r="D22" s="24" t="s">
        <v>52</v>
      </c>
      <c r="E22" s="24" t="s">
        <v>53</v>
      </c>
      <c r="F22" s="24" t="s">
        <v>54</v>
      </c>
      <c r="G22" s="24" t="s">
        <v>55</v>
      </c>
      <c r="H22" s="24" t="s">
        <v>56</v>
      </c>
    </row>
    <row r="23" spans="2:8" ht="21.75" customHeight="1" x14ac:dyDescent="0.25">
      <c r="B23" s="25"/>
      <c r="C23" s="26" t="s">
        <v>57</v>
      </c>
      <c r="D23" s="27">
        <v>45</v>
      </c>
      <c r="E23" s="28">
        <v>4</v>
      </c>
      <c r="F23" s="28">
        <v>5</v>
      </c>
      <c r="G23" s="28">
        <v>5</v>
      </c>
      <c r="H23" s="29">
        <f t="shared" ref="H23:H32" si="0">D23*E23</f>
        <v>180</v>
      </c>
    </row>
    <row r="24" spans="2:8" ht="21.75" customHeight="1" x14ac:dyDescent="0.25">
      <c r="B24" s="30"/>
      <c r="C24" s="31" t="s">
        <v>58</v>
      </c>
      <c r="D24" s="27">
        <v>28</v>
      </c>
      <c r="E24" s="28">
        <v>3</v>
      </c>
      <c r="F24" s="28">
        <v>4</v>
      </c>
      <c r="G24" s="28">
        <v>4</v>
      </c>
      <c r="H24" s="29">
        <f t="shared" si="0"/>
        <v>84</v>
      </c>
    </row>
    <row r="25" spans="2:8" ht="21.75" customHeight="1" x14ac:dyDescent="0.25">
      <c r="B25" s="25"/>
      <c r="C25" s="26" t="s">
        <v>59</v>
      </c>
      <c r="D25" s="27">
        <v>18</v>
      </c>
      <c r="E25" s="28">
        <v>1.5</v>
      </c>
      <c r="F25" s="28">
        <v>2</v>
      </c>
      <c r="G25" s="28">
        <v>2</v>
      </c>
      <c r="H25" s="29">
        <f t="shared" si="0"/>
        <v>27</v>
      </c>
    </row>
    <row r="26" spans="2:8" ht="21.75" customHeight="1" x14ac:dyDescent="0.25">
      <c r="B26" s="30"/>
      <c r="C26" s="31" t="s">
        <v>60</v>
      </c>
      <c r="D26" s="27">
        <v>65</v>
      </c>
      <c r="E26" s="28">
        <v>2</v>
      </c>
      <c r="F26" s="28">
        <v>2.5</v>
      </c>
      <c r="G26" s="28">
        <v>3</v>
      </c>
      <c r="H26" s="29">
        <f t="shared" si="0"/>
        <v>130</v>
      </c>
    </row>
    <row r="27" spans="2:8" ht="21.75" customHeight="1" x14ac:dyDescent="0.25">
      <c r="B27" s="25"/>
      <c r="C27" s="26" t="s">
        <v>61</v>
      </c>
      <c r="D27" s="27">
        <v>85</v>
      </c>
      <c r="E27" s="28">
        <v>1.5</v>
      </c>
      <c r="F27" s="28">
        <v>2</v>
      </c>
      <c r="G27" s="28">
        <v>2.5</v>
      </c>
      <c r="H27" s="29">
        <f t="shared" si="0"/>
        <v>127.5</v>
      </c>
    </row>
    <row r="28" spans="2:8" ht="21.75" customHeight="1" x14ac:dyDescent="0.25">
      <c r="B28" s="30"/>
      <c r="C28" s="31" t="s">
        <v>62</v>
      </c>
      <c r="D28" s="27">
        <v>35</v>
      </c>
      <c r="E28" s="28">
        <v>2</v>
      </c>
      <c r="F28" s="28">
        <v>2.5</v>
      </c>
      <c r="G28" s="28">
        <v>3</v>
      </c>
      <c r="H28" s="29">
        <f t="shared" si="0"/>
        <v>70</v>
      </c>
    </row>
    <row r="29" spans="2:8" ht="21.75" customHeight="1" x14ac:dyDescent="0.25">
      <c r="B29" s="25"/>
      <c r="C29" s="26" t="s">
        <v>63</v>
      </c>
      <c r="D29" s="27">
        <v>20</v>
      </c>
      <c r="E29" s="28">
        <v>1</v>
      </c>
      <c r="F29" s="28">
        <v>1.5</v>
      </c>
      <c r="G29" s="28">
        <v>2</v>
      </c>
      <c r="H29" s="29">
        <f t="shared" si="0"/>
        <v>20</v>
      </c>
    </row>
    <row r="30" spans="2:8" ht="21.75" customHeight="1" x14ac:dyDescent="0.25">
      <c r="B30" s="30"/>
      <c r="C30" s="31" t="s">
        <v>64</v>
      </c>
      <c r="D30" s="27">
        <v>75</v>
      </c>
      <c r="E30" s="28">
        <v>0.5</v>
      </c>
      <c r="F30" s="28">
        <v>0.8</v>
      </c>
      <c r="G30" s="28">
        <v>1</v>
      </c>
      <c r="H30" s="29">
        <f t="shared" si="0"/>
        <v>37.5</v>
      </c>
    </row>
    <row r="31" spans="2:8" ht="21.75" customHeight="1" x14ac:dyDescent="0.25">
      <c r="B31" s="25"/>
      <c r="C31" s="26" t="s">
        <v>65</v>
      </c>
      <c r="D31" s="27">
        <v>120</v>
      </c>
      <c r="E31" s="28">
        <v>0.3</v>
      </c>
      <c r="F31" s="28">
        <v>0.5</v>
      </c>
      <c r="G31" s="28">
        <v>0.8</v>
      </c>
      <c r="H31" s="29">
        <f t="shared" si="0"/>
        <v>36</v>
      </c>
    </row>
    <row r="32" spans="2:8" ht="21.75" customHeight="1" x14ac:dyDescent="0.25">
      <c r="B32" s="30"/>
      <c r="C32" s="31" t="s">
        <v>66</v>
      </c>
      <c r="D32" s="27">
        <v>0</v>
      </c>
      <c r="E32" s="28">
        <v>0</v>
      </c>
      <c r="F32" s="28">
        <v>0</v>
      </c>
      <c r="G32" s="28">
        <v>0</v>
      </c>
      <c r="H32" s="29">
        <f t="shared" si="0"/>
        <v>0</v>
      </c>
    </row>
    <row r="33" spans="2:8" ht="21.75" customHeight="1" x14ac:dyDescent="0.25">
      <c r="B33" s="25"/>
      <c r="C33" s="31" t="s">
        <v>67</v>
      </c>
      <c r="D33" s="27">
        <v>800</v>
      </c>
      <c r="E33" s="32" t="s">
        <v>68</v>
      </c>
      <c r="F33" s="32" t="s">
        <v>68</v>
      </c>
      <c r="G33" s="32" t="s">
        <v>68</v>
      </c>
      <c r="H33" s="32" t="s">
        <v>68</v>
      </c>
    </row>
    <row r="34" spans="2:8" ht="24" customHeight="1" x14ac:dyDescent="0.25">
      <c r="B34" s="23"/>
      <c r="C34" s="108" t="s">
        <v>69</v>
      </c>
      <c r="D34" s="108"/>
      <c r="E34" s="108"/>
      <c r="F34" s="108"/>
      <c r="G34" s="108"/>
      <c r="H34" s="33">
        <f>SUM(H23:H32)</f>
        <v>712</v>
      </c>
    </row>
    <row r="35" spans="2:8" ht="13.5" customHeight="1" x14ac:dyDescent="0.25">
      <c r="B35" s="2"/>
      <c r="C35" s="2"/>
      <c r="D35" s="2"/>
      <c r="E35" s="2"/>
      <c r="F35" s="2"/>
      <c r="G35" s="2"/>
      <c r="H35" s="2"/>
    </row>
    <row r="36" spans="2:8" ht="25.5" customHeight="1" x14ac:dyDescent="0.25">
      <c r="B36" s="3" t="s">
        <v>70</v>
      </c>
      <c r="C36" s="3"/>
      <c r="D36" s="3"/>
      <c r="E36" s="3"/>
      <c r="F36" s="3"/>
      <c r="G36" s="3"/>
      <c r="H36" s="3"/>
    </row>
    <row r="37" spans="2:8" ht="4.5" customHeight="1" x14ac:dyDescent="0.25">
      <c r="B37" s="2"/>
      <c r="C37" s="2"/>
      <c r="D37" s="2"/>
      <c r="E37" s="2"/>
      <c r="F37" s="2"/>
      <c r="G37" s="2"/>
      <c r="H37" s="2"/>
    </row>
    <row r="38" spans="2:8" ht="13.5" customHeight="1" x14ac:dyDescent="0.25">
      <c r="B38" s="107" t="s">
        <v>71</v>
      </c>
      <c r="C38" s="107"/>
      <c r="D38" s="107"/>
      <c r="E38" s="107"/>
      <c r="F38" s="107"/>
      <c r="G38" s="107"/>
      <c r="H38" s="107"/>
    </row>
    <row r="39" spans="2:8" ht="4.5" customHeight="1" x14ac:dyDescent="0.25">
      <c r="B39" s="2"/>
      <c r="C39" s="2"/>
      <c r="D39" s="2"/>
      <c r="E39" s="2"/>
      <c r="F39" s="2"/>
      <c r="G39" s="2"/>
      <c r="H39" s="2"/>
    </row>
    <row r="40" spans="2:8" ht="27.75" customHeight="1" x14ac:dyDescent="0.25">
      <c r="C40" s="24" t="s">
        <v>72</v>
      </c>
      <c r="D40" s="24" t="s">
        <v>73</v>
      </c>
      <c r="E40" s="24" t="s">
        <v>74</v>
      </c>
      <c r="F40" s="24" t="s">
        <v>75</v>
      </c>
      <c r="G40" s="24" t="s">
        <v>76</v>
      </c>
    </row>
    <row r="41" spans="2:8" ht="21.75" customHeight="1" x14ac:dyDescent="0.25">
      <c r="C41" s="26" t="s">
        <v>77</v>
      </c>
      <c r="D41" s="34">
        <v>261</v>
      </c>
      <c r="E41" s="34">
        <v>261</v>
      </c>
      <c r="F41" s="34">
        <v>261</v>
      </c>
      <c r="G41" s="35" t="s">
        <v>78</v>
      </c>
    </row>
    <row r="42" spans="2:8" ht="21.75" customHeight="1" x14ac:dyDescent="0.25">
      <c r="C42" s="31" t="s">
        <v>79</v>
      </c>
      <c r="D42" s="36">
        <v>0.55000000000000004</v>
      </c>
      <c r="E42" s="37"/>
      <c r="F42" s="37"/>
      <c r="G42" s="38" t="s">
        <v>80</v>
      </c>
    </row>
    <row r="43" spans="2:8" ht="21.75" customHeight="1" x14ac:dyDescent="0.25">
      <c r="C43" s="26" t="s">
        <v>81</v>
      </c>
      <c r="D43" s="37"/>
      <c r="E43" s="36">
        <v>0.65</v>
      </c>
      <c r="F43" s="37"/>
      <c r="G43" s="35" t="s">
        <v>82</v>
      </c>
    </row>
    <row r="44" spans="2:8" ht="21.75" customHeight="1" x14ac:dyDescent="0.25">
      <c r="C44" s="31" t="s">
        <v>83</v>
      </c>
      <c r="D44" s="37"/>
      <c r="E44" s="37"/>
      <c r="F44" s="36">
        <v>0.72</v>
      </c>
      <c r="G44" s="38" t="s">
        <v>84</v>
      </c>
    </row>
    <row r="45" spans="2:8" ht="21.75" customHeight="1" x14ac:dyDescent="0.25">
      <c r="C45" s="26" t="s">
        <v>85</v>
      </c>
      <c r="D45" s="37"/>
      <c r="E45" s="36">
        <v>0.2</v>
      </c>
      <c r="F45" s="37"/>
      <c r="G45" s="35" t="s">
        <v>86</v>
      </c>
    </row>
    <row r="46" spans="2:8" ht="21.75" customHeight="1" x14ac:dyDescent="0.25">
      <c r="C46" s="31" t="s">
        <v>87</v>
      </c>
      <c r="D46" s="37"/>
      <c r="E46" s="37"/>
      <c r="F46" s="36">
        <v>0.15</v>
      </c>
      <c r="G46" s="38" t="s">
        <v>86</v>
      </c>
    </row>
    <row r="47" spans="2:8" ht="13.5" customHeight="1" x14ac:dyDescent="0.25">
      <c r="B47" s="2"/>
      <c r="C47" s="2"/>
      <c r="D47" s="2"/>
      <c r="E47" s="2"/>
      <c r="F47" s="2"/>
      <c r="G47" s="2"/>
      <c r="H47" s="2"/>
    </row>
    <row r="48" spans="2:8" ht="25.5" customHeight="1" x14ac:dyDescent="0.25">
      <c r="B48" s="3" t="s">
        <v>88</v>
      </c>
      <c r="C48" s="3"/>
      <c r="D48" s="3"/>
      <c r="E48" s="3"/>
      <c r="F48" s="3"/>
      <c r="G48" s="3"/>
      <c r="H48" s="3"/>
    </row>
    <row r="49" spans="2:8" ht="4.5" customHeight="1" x14ac:dyDescent="0.25">
      <c r="B49" s="2"/>
      <c r="C49" s="2"/>
      <c r="D49" s="2"/>
      <c r="E49" s="2"/>
      <c r="F49" s="2"/>
      <c r="G49" s="2"/>
      <c r="H49" s="2"/>
    </row>
    <row r="50" spans="2:8" ht="13.5" customHeight="1" x14ac:dyDescent="0.25">
      <c r="B50" s="107" t="s">
        <v>89</v>
      </c>
      <c r="C50" s="107"/>
      <c r="D50" s="107"/>
      <c r="E50" s="107"/>
      <c r="F50" s="107"/>
      <c r="G50" s="107"/>
      <c r="H50" s="107"/>
    </row>
    <row r="51" spans="2:8" ht="4.5" customHeight="1" x14ac:dyDescent="0.25">
      <c r="B51" s="2"/>
      <c r="C51" s="2"/>
      <c r="D51" s="2"/>
      <c r="E51" s="2"/>
      <c r="F51" s="2"/>
      <c r="G51" s="2"/>
      <c r="H51" s="2"/>
    </row>
    <row r="52" spans="2:8" ht="27.75" customHeight="1" x14ac:dyDescent="0.25">
      <c r="C52" s="24" t="s">
        <v>90</v>
      </c>
      <c r="D52" s="24" t="s">
        <v>91</v>
      </c>
      <c r="E52" s="24" t="s">
        <v>92</v>
      </c>
      <c r="F52" s="24" t="s">
        <v>93</v>
      </c>
      <c r="G52" s="24" t="s">
        <v>94</v>
      </c>
    </row>
    <row r="53" spans="2:8" ht="21.75" customHeight="1" x14ac:dyDescent="0.25">
      <c r="C53" s="109" t="s">
        <v>95</v>
      </c>
      <c r="D53" s="109"/>
      <c r="E53" s="109"/>
      <c r="F53" s="109"/>
      <c r="G53" s="109"/>
    </row>
    <row r="54" spans="2:8" ht="21.75" customHeight="1" x14ac:dyDescent="0.25">
      <c r="C54" s="39" t="s">
        <v>96</v>
      </c>
      <c r="D54" s="27">
        <v>2200</v>
      </c>
      <c r="E54" s="29">
        <f t="shared" ref="E54:E62" si="1">D54*12</f>
        <v>26400</v>
      </c>
      <c r="F54" s="37"/>
      <c r="G54" s="40"/>
    </row>
    <row r="55" spans="2:8" ht="21.75" customHeight="1" x14ac:dyDescent="0.25">
      <c r="C55" s="41" t="s">
        <v>97</v>
      </c>
      <c r="D55" s="27">
        <v>120</v>
      </c>
      <c r="E55" s="29">
        <f t="shared" si="1"/>
        <v>1440</v>
      </c>
      <c r="F55" s="37"/>
      <c r="G55" s="37"/>
    </row>
    <row r="56" spans="2:8" ht="21.75" customHeight="1" x14ac:dyDescent="0.25">
      <c r="C56" s="39" t="s">
        <v>98</v>
      </c>
      <c r="D56" s="27">
        <v>280</v>
      </c>
      <c r="E56" s="29">
        <f t="shared" si="1"/>
        <v>3360</v>
      </c>
      <c r="F56" s="37"/>
      <c r="G56" s="40"/>
    </row>
    <row r="57" spans="2:8" ht="21.75" customHeight="1" x14ac:dyDescent="0.25">
      <c r="C57" s="41" t="s">
        <v>99</v>
      </c>
      <c r="D57" s="27">
        <v>60</v>
      </c>
      <c r="E57" s="29">
        <f t="shared" si="1"/>
        <v>720</v>
      </c>
      <c r="F57" s="37"/>
      <c r="G57" s="37"/>
    </row>
    <row r="58" spans="2:8" ht="21.75" customHeight="1" x14ac:dyDescent="0.25">
      <c r="C58" s="39" t="s">
        <v>100</v>
      </c>
      <c r="D58" s="27">
        <v>45</v>
      </c>
      <c r="E58" s="29">
        <f t="shared" si="1"/>
        <v>540</v>
      </c>
      <c r="F58" s="37"/>
      <c r="G58" s="40"/>
    </row>
    <row r="59" spans="2:8" ht="21.75" customHeight="1" x14ac:dyDescent="0.25">
      <c r="C59" s="41" t="s">
        <v>101</v>
      </c>
      <c r="D59" s="27">
        <v>150</v>
      </c>
      <c r="E59" s="29">
        <f t="shared" si="1"/>
        <v>1800</v>
      </c>
      <c r="F59" s="37"/>
      <c r="G59" s="37"/>
    </row>
    <row r="60" spans="2:8" ht="21.75" customHeight="1" x14ac:dyDescent="0.25">
      <c r="C60" s="39" t="s">
        <v>102</v>
      </c>
      <c r="D60" s="27">
        <v>200</v>
      </c>
      <c r="E60" s="29">
        <f t="shared" si="1"/>
        <v>2400</v>
      </c>
      <c r="F60" s="37"/>
      <c r="G60" s="40"/>
    </row>
    <row r="61" spans="2:8" ht="21.75" customHeight="1" x14ac:dyDescent="0.25">
      <c r="C61" s="41" t="s">
        <v>103</v>
      </c>
      <c r="D61" s="27">
        <v>35</v>
      </c>
      <c r="E61" s="29">
        <f t="shared" si="1"/>
        <v>420</v>
      </c>
      <c r="F61" s="37"/>
      <c r="G61" s="37"/>
    </row>
    <row r="62" spans="2:8" ht="21.75" customHeight="1" x14ac:dyDescent="0.25">
      <c r="C62" s="39" t="s">
        <v>104</v>
      </c>
      <c r="D62" s="27">
        <v>80</v>
      </c>
      <c r="E62" s="29">
        <f t="shared" si="1"/>
        <v>960</v>
      </c>
      <c r="F62" s="37"/>
      <c r="G62" s="40"/>
    </row>
    <row r="63" spans="2:8" ht="21.75" customHeight="1" x14ac:dyDescent="0.25">
      <c r="C63" s="109" t="s">
        <v>105</v>
      </c>
      <c r="D63" s="109"/>
      <c r="E63" s="109"/>
      <c r="F63" s="109"/>
      <c r="G63" s="109"/>
    </row>
    <row r="64" spans="2:8" ht="21.75" customHeight="1" x14ac:dyDescent="0.25">
      <c r="C64" s="39" t="s">
        <v>106</v>
      </c>
      <c r="D64" s="27">
        <v>2200</v>
      </c>
      <c r="E64" s="29">
        <f>D64*12</f>
        <v>26400</v>
      </c>
      <c r="F64" s="37"/>
      <c r="G64" s="40"/>
    </row>
    <row r="65" spans="2:8" ht="21.75" customHeight="1" x14ac:dyDescent="0.25">
      <c r="C65" s="41" t="s">
        <v>107</v>
      </c>
      <c r="D65" s="27">
        <v>1700</v>
      </c>
      <c r="E65" s="29">
        <f>D65*12</f>
        <v>20400</v>
      </c>
      <c r="F65" s="37"/>
      <c r="G65" s="37"/>
    </row>
    <row r="66" spans="2:8" ht="21.75" customHeight="1" x14ac:dyDescent="0.25">
      <c r="C66" s="39" t="s">
        <v>108</v>
      </c>
      <c r="D66" s="27">
        <v>0</v>
      </c>
      <c r="E66" s="29">
        <f>D66*12</f>
        <v>0</v>
      </c>
      <c r="F66" s="37"/>
      <c r="G66" s="42" t="s">
        <v>109</v>
      </c>
    </row>
    <row r="67" spans="2:8" ht="21.75" customHeight="1" x14ac:dyDescent="0.25">
      <c r="C67" s="109" t="s">
        <v>110</v>
      </c>
      <c r="D67" s="109"/>
      <c r="E67" s="109"/>
      <c r="F67" s="109"/>
      <c r="G67" s="109"/>
    </row>
    <row r="68" spans="2:8" ht="21.75" customHeight="1" x14ac:dyDescent="0.25">
      <c r="C68" s="39" t="s">
        <v>111</v>
      </c>
      <c r="D68" s="27">
        <v>480</v>
      </c>
      <c r="E68" s="29">
        <f>D68*12</f>
        <v>5760</v>
      </c>
      <c r="F68" s="37"/>
      <c r="G68" s="40"/>
    </row>
    <row r="69" spans="2:8" ht="21.75" customHeight="1" x14ac:dyDescent="0.25">
      <c r="C69" s="41" t="s">
        <v>112</v>
      </c>
      <c r="D69" s="27">
        <v>350</v>
      </c>
      <c r="E69" s="29">
        <f>D69*12</f>
        <v>4200</v>
      </c>
      <c r="F69" s="37"/>
      <c r="G69" s="37"/>
    </row>
    <row r="70" spans="2:8" ht="21.75" customHeight="1" x14ac:dyDescent="0.25">
      <c r="C70" s="39" t="s">
        <v>113</v>
      </c>
      <c r="D70" s="27">
        <v>80</v>
      </c>
      <c r="E70" s="29">
        <f>D70*12</f>
        <v>960</v>
      </c>
      <c r="F70" s="37"/>
      <c r="G70" s="40"/>
    </row>
    <row r="71" spans="2:8" ht="25.5" customHeight="1" x14ac:dyDescent="0.25">
      <c r="B71" s="23"/>
      <c r="C71" s="43" t="s">
        <v>114</v>
      </c>
      <c r="D71" s="44">
        <f>D54+D55+D56+D57+D58+D59+D60+D61+D62+D64+D65+D66+D68+D69+D70</f>
        <v>7980</v>
      </c>
      <c r="E71" s="45">
        <f>D71*12</f>
        <v>95760</v>
      </c>
      <c r="F71" s="46"/>
      <c r="G71" s="46"/>
    </row>
    <row r="72" spans="2:8" ht="13.5" customHeight="1" x14ac:dyDescent="0.25">
      <c r="B72" s="2"/>
      <c r="C72" s="2"/>
      <c r="D72" s="2"/>
      <c r="E72" s="2"/>
      <c r="F72" s="2"/>
      <c r="G72" s="2"/>
      <c r="H72" s="2"/>
    </row>
    <row r="73" spans="2:8" ht="25.5" customHeight="1" x14ac:dyDescent="0.25">
      <c r="B73" s="3" t="s">
        <v>115</v>
      </c>
      <c r="C73" s="3"/>
      <c r="D73" s="3"/>
      <c r="E73" s="3"/>
      <c r="F73" s="3"/>
      <c r="G73" s="3"/>
      <c r="H73" s="3"/>
    </row>
    <row r="74" spans="2:8" ht="4.5" customHeight="1" x14ac:dyDescent="0.25">
      <c r="B74" s="2"/>
      <c r="C74" s="2"/>
      <c r="D74" s="2"/>
      <c r="E74" s="2"/>
      <c r="F74" s="2"/>
      <c r="G74" s="2"/>
      <c r="H74" s="2"/>
    </row>
    <row r="75" spans="2:8" ht="21.75" customHeight="1" x14ac:dyDescent="0.25">
      <c r="C75" s="26" t="s">
        <v>116</v>
      </c>
      <c r="D75" s="36">
        <v>0.2</v>
      </c>
      <c r="E75" s="40"/>
      <c r="F75" s="40"/>
      <c r="G75" s="40"/>
    </row>
    <row r="76" spans="2:8" ht="21.75" customHeight="1" x14ac:dyDescent="0.25">
      <c r="C76" s="31" t="s">
        <v>117</v>
      </c>
      <c r="D76" s="36">
        <v>0.2</v>
      </c>
      <c r="E76" s="37"/>
      <c r="F76" s="37"/>
      <c r="G76" s="37"/>
    </row>
    <row r="77" spans="2:8" ht="21.75" customHeight="1" x14ac:dyDescent="0.25">
      <c r="C77" s="26" t="s">
        <v>118</v>
      </c>
      <c r="D77" s="36">
        <v>0.15</v>
      </c>
      <c r="E77" s="40"/>
      <c r="F77" s="40"/>
      <c r="G77" s="40"/>
    </row>
    <row r="78" spans="2:8" ht="21.75" customHeight="1" x14ac:dyDescent="0.25">
      <c r="C78" s="31" t="s">
        <v>119</v>
      </c>
      <c r="D78" s="36">
        <v>0.45</v>
      </c>
      <c r="E78" s="37"/>
      <c r="F78" s="37"/>
      <c r="G78" s="37"/>
    </row>
    <row r="79" spans="2:8" ht="13.5" customHeight="1" x14ac:dyDescent="0.25">
      <c r="B79" s="2"/>
      <c r="C79" s="2"/>
      <c r="D79" s="2"/>
      <c r="E79" s="2"/>
      <c r="F79" s="2"/>
      <c r="G79" s="2"/>
      <c r="H79" s="2"/>
    </row>
  </sheetData>
  <mergeCells count="38">
    <mergeCell ref="B73:H73"/>
    <mergeCell ref="B74:H74"/>
    <mergeCell ref="B79:H79"/>
    <mergeCell ref="B51:H51"/>
    <mergeCell ref="C53:G53"/>
    <mergeCell ref="C63:G63"/>
    <mergeCell ref="C67:G67"/>
    <mergeCell ref="B72:H72"/>
    <mergeCell ref="B39:H39"/>
    <mergeCell ref="B47:H47"/>
    <mergeCell ref="B48:H48"/>
    <mergeCell ref="B49:H49"/>
    <mergeCell ref="B50:H50"/>
    <mergeCell ref="C34:G34"/>
    <mergeCell ref="B35:H35"/>
    <mergeCell ref="B36:H36"/>
    <mergeCell ref="B37:H37"/>
    <mergeCell ref="B38:H38"/>
    <mergeCell ref="B17:H17"/>
    <mergeCell ref="B18:H18"/>
    <mergeCell ref="B19:H19"/>
    <mergeCell ref="B20:H20"/>
    <mergeCell ref="B21:H21"/>
    <mergeCell ref="D12:E12"/>
    <mergeCell ref="D13:E13"/>
    <mergeCell ref="D14:E14"/>
    <mergeCell ref="D15:E15"/>
    <mergeCell ref="D16:E16"/>
    <mergeCell ref="B7:H7"/>
    <mergeCell ref="D8:E8"/>
    <mergeCell ref="D9:E9"/>
    <mergeCell ref="D10:E10"/>
    <mergeCell ref="D11:E11"/>
    <mergeCell ref="A1:I1"/>
    <mergeCell ref="A2:I2"/>
    <mergeCell ref="A3:I3"/>
    <mergeCell ref="A4:I4"/>
    <mergeCell ref="B6:H6"/>
  </mergeCells>
  <dataValidations count="4">
    <dataValidation type="list" sqref="D9" xr:uid="{00000000-0002-0000-0100-000000000000}">
      <formula1>"SARL,SAS,EURL,EI,Micro-entreprise,Auto-entrepreneur"</formula1>
      <formula2>0</formula2>
    </dataValidation>
    <dataValidation type="list" sqref="D11" xr:uid="{00000000-0002-0000-0100-000001000000}">
      <formula1>"Création,Reprise,Franchise"</formula1>
      <formula2>0</formula2>
    </dataValidation>
    <dataValidation type="list" sqref="D12" xr:uid="{00000000-0002-0000-0100-000002000000}">
      <formula1>"Entrée de gamme,Milieu de gamme,Haut de gamme,Luxe"</formula1>
      <formula2>0</formula2>
    </dataValidation>
    <dataValidation type="list" sqref="D75:D76" xr:uid="{00000000-0002-0000-0100-000003000000}">
      <formula1>"0.10,0.20"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4956A"/>
  </sheetPr>
  <dimension ref="A1:H57"/>
  <sheetViews>
    <sheetView showGridLines="0" showRowColHeader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H1"/>
    </sheetView>
  </sheetViews>
  <sheetFormatPr baseColWidth="10" defaultColWidth="8.7109375" defaultRowHeight="15" x14ac:dyDescent="0.25"/>
  <cols>
    <col min="1" max="1" width="2" customWidth="1"/>
    <col min="2" max="2" width="4" customWidth="1"/>
    <col min="3" max="3" width="32" customWidth="1"/>
    <col min="4" max="4" width="16" customWidth="1"/>
    <col min="5" max="7" width="14" customWidth="1"/>
    <col min="8" max="9" width="4" customWidth="1"/>
  </cols>
  <sheetData>
    <row r="1" spans="1:8" ht="4.5" customHeight="1" x14ac:dyDescent="0.25">
      <c r="A1" s="11"/>
      <c r="B1" s="11"/>
      <c r="C1" s="11"/>
      <c r="D1" s="11"/>
      <c r="E1" s="11"/>
      <c r="F1" s="11"/>
      <c r="G1" s="11"/>
      <c r="H1" s="11"/>
    </row>
    <row r="2" spans="1:8" ht="43.5" customHeight="1" x14ac:dyDescent="0.25">
      <c r="A2" s="5" t="s">
        <v>120</v>
      </c>
      <c r="B2" s="5"/>
      <c r="C2" s="5"/>
      <c r="D2" s="5"/>
      <c r="E2" s="5"/>
      <c r="F2" s="5"/>
      <c r="G2" s="5"/>
      <c r="H2" s="5"/>
    </row>
    <row r="3" spans="1:8" ht="18" customHeight="1" x14ac:dyDescent="0.25">
      <c r="A3" s="4" t="s">
        <v>121</v>
      </c>
      <c r="B3" s="4"/>
      <c r="C3" s="4"/>
      <c r="D3" s="4"/>
      <c r="E3" s="4"/>
      <c r="F3" s="4"/>
      <c r="G3" s="4"/>
      <c r="H3" s="4"/>
    </row>
    <row r="4" spans="1:8" ht="4.5" customHeight="1" x14ac:dyDescent="0.25">
      <c r="A4" s="11"/>
      <c r="B4" s="11"/>
      <c r="C4" s="11"/>
      <c r="D4" s="11"/>
      <c r="E4" s="11"/>
      <c r="F4" s="11"/>
      <c r="G4" s="11"/>
      <c r="H4" s="11"/>
    </row>
    <row r="5" spans="1:8" ht="12" customHeight="1" x14ac:dyDescent="0.25"/>
    <row r="6" spans="1:8" ht="25.5" customHeight="1" x14ac:dyDescent="0.25">
      <c r="B6" s="3" t="s">
        <v>122</v>
      </c>
      <c r="C6" s="3"/>
      <c r="D6" s="3"/>
      <c r="E6" s="3"/>
      <c r="F6" s="3"/>
      <c r="G6" s="3"/>
    </row>
    <row r="7" spans="1:8" ht="4.5" customHeight="1" x14ac:dyDescent="0.25">
      <c r="B7" s="2"/>
      <c r="C7" s="2"/>
      <c r="D7" s="2"/>
      <c r="E7" s="2"/>
      <c r="F7" s="2"/>
      <c r="G7" s="2"/>
    </row>
    <row r="8" spans="1:8" ht="13.5" customHeight="1" x14ac:dyDescent="0.25">
      <c r="B8" s="107" t="s">
        <v>123</v>
      </c>
      <c r="C8" s="107"/>
      <c r="D8" s="107"/>
      <c r="E8" s="107"/>
      <c r="F8" s="107"/>
      <c r="G8" s="107"/>
    </row>
    <row r="9" spans="1:8" ht="4.5" customHeight="1" x14ac:dyDescent="0.25">
      <c r="B9" s="2"/>
      <c r="C9" s="2"/>
      <c r="D9" s="2"/>
      <c r="E9" s="2"/>
      <c r="F9" s="2"/>
      <c r="G9" s="2"/>
    </row>
    <row r="10" spans="1:8" ht="30" customHeight="1" x14ac:dyDescent="0.25">
      <c r="C10" s="24" t="s">
        <v>124</v>
      </c>
      <c r="D10" s="24" t="s">
        <v>125</v>
      </c>
      <c r="E10" s="24" t="s">
        <v>126</v>
      </c>
      <c r="F10" s="24" t="s">
        <v>127</v>
      </c>
      <c r="G10" s="24" t="s">
        <v>94</v>
      </c>
    </row>
    <row r="11" spans="1:8" ht="21.75" customHeight="1" x14ac:dyDescent="0.25">
      <c r="C11" s="109" t="s">
        <v>128</v>
      </c>
      <c r="D11" s="109"/>
      <c r="E11" s="109"/>
      <c r="F11" s="109"/>
      <c r="G11" s="109"/>
    </row>
    <row r="12" spans="1:8" ht="21.75" customHeight="1" x14ac:dyDescent="0.25">
      <c r="C12" s="39" t="s">
        <v>129</v>
      </c>
      <c r="D12" s="27">
        <v>45000</v>
      </c>
      <c r="E12" s="29">
        <f>D12</f>
        <v>45000</v>
      </c>
      <c r="F12" s="32" t="s">
        <v>68</v>
      </c>
      <c r="G12" s="35" t="s">
        <v>130</v>
      </c>
    </row>
    <row r="13" spans="1:8" ht="21.75" customHeight="1" x14ac:dyDescent="0.25">
      <c r="C13" s="41" t="s">
        <v>131</v>
      </c>
      <c r="D13" s="27">
        <v>18000</v>
      </c>
      <c r="E13" s="29">
        <f>D13*1.2</f>
        <v>21600</v>
      </c>
      <c r="F13" s="47">
        <v>10</v>
      </c>
      <c r="G13" s="38"/>
    </row>
    <row r="14" spans="1:8" ht="21.75" customHeight="1" x14ac:dyDescent="0.25">
      <c r="C14" s="39" t="s">
        <v>132</v>
      </c>
      <c r="D14" s="27">
        <v>4400</v>
      </c>
      <c r="E14" s="29">
        <f>D14</f>
        <v>4400</v>
      </c>
      <c r="F14" s="32" t="s">
        <v>68</v>
      </c>
      <c r="G14" s="35" t="s">
        <v>130</v>
      </c>
    </row>
    <row r="15" spans="1:8" ht="21.75" customHeight="1" x14ac:dyDescent="0.25">
      <c r="C15" s="109" t="s">
        <v>133</v>
      </c>
      <c r="D15" s="109"/>
      <c r="E15" s="109"/>
      <c r="F15" s="109"/>
      <c r="G15" s="109"/>
    </row>
    <row r="16" spans="1:8" ht="21.75" customHeight="1" x14ac:dyDescent="0.25">
      <c r="C16" s="39" t="s">
        <v>134</v>
      </c>
      <c r="D16" s="27">
        <v>3600</v>
      </c>
      <c r="E16" s="29">
        <f t="shared" ref="E16:E22" si="0">D16*1.2</f>
        <v>4320</v>
      </c>
      <c r="F16" s="47">
        <v>7</v>
      </c>
      <c r="G16" s="35"/>
    </row>
    <row r="17" spans="3:7" ht="21.75" customHeight="1" x14ac:dyDescent="0.25">
      <c r="C17" s="41" t="s">
        <v>135</v>
      </c>
      <c r="D17" s="27">
        <v>1200</v>
      </c>
      <c r="E17" s="29">
        <f t="shared" si="0"/>
        <v>1440</v>
      </c>
      <c r="F17" s="47">
        <v>7</v>
      </c>
      <c r="G17" s="38"/>
    </row>
    <row r="18" spans="3:7" ht="21.75" customHeight="1" x14ac:dyDescent="0.25">
      <c r="C18" s="39" t="s">
        <v>136</v>
      </c>
      <c r="D18" s="27">
        <v>900</v>
      </c>
      <c r="E18" s="29">
        <f t="shared" si="0"/>
        <v>1080</v>
      </c>
      <c r="F18" s="47">
        <v>5</v>
      </c>
      <c r="G18" s="35"/>
    </row>
    <row r="19" spans="3:7" ht="21.75" customHeight="1" x14ac:dyDescent="0.25">
      <c r="C19" s="41" t="s">
        <v>137</v>
      </c>
      <c r="D19" s="27">
        <v>1500</v>
      </c>
      <c r="E19" s="29">
        <f t="shared" si="0"/>
        <v>1800</v>
      </c>
      <c r="F19" s="47">
        <v>3</v>
      </c>
      <c r="G19" s="38"/>
    </row>
    <row r="20" spans="3:7" ht="21.75" customHeight="1" x14ac:dyDescent="0.25">
      <c r="C20" s="39" t="s">
        <v>138</v>
      </c>
      <c r="D20" s="27">
        <v>1800</v>
      </c>
      <c r="E20" s="29">
        <f t="shared" si="0"/>
        <v>2160</v>
      </c>
      <c r="F20" s="47">
        <v>7</v>
      </c>
      <c r="G20" s="35"/>
    </row>
    <row r="21" spans="3:7" ht="21.75" customHeight="1" x14ac:dyDescent="0.25">
      <c r="C21" s="41" t="s">
        <v>139</v>
      </c>
      <c r="D21" s="27">
        <v>1200</v>
      </c>
      <c r="E21" s="29">
        <f t="shared" si="0"/>
        <v>1440</v>
      </c>
      <c r="F21" s="47">
        <v>3</v>
      </c>
      <c r="G21" s="38"/>
    </row>
    <row r="22" spans="3:7" ht="21.75" customHeight="1" x14ac:dyDescent="0.25">
      <c r="C22" s="39" t="s">
        <v>140</v>
      </c>
      <c r="D22" s="27">
        <v>2500</v>
      </c>
      <c r="E22" s="29">
        <f t="shared" si="0"/>
        <v>3000</v>
      </c>
      <c r="F22" s="47">
        <v>10</v>
      </c>
      <c r="G22" s="35"/>
    </row>
    <row r="23" spans="3:7" ht="21.75" customHeight="1" x14ac:dyDescent="0.25">
      <c r="C23" s="109" t="s">
        <v>141</v>
      </c>
      <c r="D23" s="109"/>
      <c r="E23" s="109"/>
      <c r="F23" s="109"/>
      <c r="G23" s="109"/>
    </row>
    <row r="24" spans="3:7" ht="21.75" customHeight="1" x14ac:dyDescent="0.25">
      <c r="C24" s="39" t="s">
        <v>142</v>
      </c>
      <c r="D24" s="27">
        <v>2200</v>
      </c>
      <c r="E24" s="29">
        <f>D24*1.2</f>
        <v>2640</v>
      </c>
      <c r="F24" s="32" t="s">
        <v>68</v>
      </c>
      <c r="G24" s="35"/>
    </row>
    <row r="25" spans="3:7" ht="21.75" customHeight="1" x14ac:dyDescent="0.25">
      <c r="C25" s="41" t="s">
        <v>143</v>
      </c>
      <c r="D25" s="27">
        <v>7000</v>
      </c>
      <c r="E25" s="29">
        <f>D25</f>
        <v>7000</v>
      </c>
      <c r="F25" s="32" t="s">
        <v>68</v>
      </c>
      <c r="G25" s="38" t="s">
        <v>130</v>
      </c>
    </row>
    <row r="26" spans="3:7" ht="21.75" customHeight="1" x14ac:dyDescent="0.25">
      <c r="C26" s="109" t="s">
        <v>144</v>
      </c>
      <c r="D26" s="109"/>
      <c r="E26" s="109"/>
      <c r="F26" s="109"/>
      <c r="G26" s="109"/>
    </row>
    <row r="27" spans="3:7" ht="21.75" customHeight="1" x14ac:dyDescent="0.25">
      <c r="C27" s="39" t="s">
        <v>145</v>
      </c>
      <c r="D27" s="27">
        <v>800</v>
      </c>
      <c r="E27" s="29">
        <f>D27</f>
        <v>800</v>
      </c>
      <c r="F27" s="32" t="s">
        <v>68</v>
      </c>
      <c r="G27" s="35" t="s">
        <v>130</v>
      </c>
    </row>
    <row r="28" spans="3:7" ht="21.75" customHeight="1" x14ac:dyDescent="0.25">
      <c r="C28" s="41" t="s">
        <v>146</v>
      </c>
      <c r="D28" s="27">
        <v>0</v>
      </c>
      <c r="E28" s="29">
        <f>D28</f>
        <v>0</v>
      </c>
      <c r="F28" s="32" t="s">
        <v>68</v>
      </c>
      <c r="G28" s="38" t="s">
        <v>130</v>
      </c>
    </row>
    <row r="29" spans="3:7" ht="21.75" customHeight="1" x14ac:dyDescent="0.25">
      <c r="C29" s="39" t="s">
        <v>147</v>
      </c>
      <c r="D29" s="27">
        <v>1500</v>
      </c>
      <c r="E29" s="29">
        <f>D29*1.2</f>
        <v>1800</v>
      </c>
      <c r="F29" s="32" t="s">
        <v>68</v>
      </c>
      <c r="G29" s="35"/>
    </row>
    <row r="30" spans="3:7" ht="21.75" customHeight="1" x14ac:dyDescent="0.25">
      <c r="C30" s="41" t="s">
        <v>148</v>
      </c>
      <c r="D30" s="27">
        <v>1440</v>
      </c>
      <c r="E30" s="29">
        <f>D30*1.2</f>
        <v>1728</v>
      </c>
      <c r="F30" s="32" t="s">
        <v>68</v>
      </c>
      <c r="G30" s="38"/>
    </row>
    <row r="31" spans="3:7" ht="21.75" customHeight="1" x14ac:dyDescent="0.25">
      <c r="C31" s="109" t="s">
        <v>149</v>
      </c>
      <c r="D31" s="109"/>
      <c r="E31" s="109"/>
      <c r="F31" s="109"/>
      <c r="G31" s="109"/>
    </row>
    <row r="32" spans="3:7" ht="21.75" customHeight="1" x14ac:dyDescent="0.25">
      <c r="C32" s="39" t="s">
        <v>150</v>
      </c>
      <c r="D32" s="27">
        <v>6600</v>
      </c>
      <c r="E32" s="29">
        <f>D32</f>
        <v>6600</v>
      </c>
      <c r="F32" s="32" t="s">
        <v>68</v>
      </c>
      <c r="G32" s="35" t="s">
        <v>130</v>
      </c>
    </row>
    <row r="33" spans="2:7" ht="25.5" customHeight="1" x14ac:dyDescent="0.25">
      <c r="B33" s="23"/>
      <c r="C33" s="43" t="s">
        <v>151</v>
      </c>
      <c r="D33" s="44">
        <f>D12+D13+D14+D16+D17+D18+D19+D20+D21+D22+D24+D25+D27+D28+D29+D30+D32</f>
        <v>99640</v>
      </c>
      <c r="E33" s="48">
        <f>E12+E13+E14+E16+E17+E18+E19+E20+E21+E22+E24+E25+E27+E28+E29+E30+E32</f>
        <v>106808</v>
      </c>
      <c r="F33" s="49"/>
      <c r="G33" s="49"/>
    </row>
    <row r="34" spans="2:7" ht="13.5" customHeight="1" x14ac:dyDescent="0.25">
      <c r="B34" s="2"/>
      <c r="C34" s="2"/>
      <c r="D34" s="2"/>
      <c r="E34" s="2"/>
      <c r="F34" s="2"/>
      <c r="G34" s="2"/>
    </row>
    <row r="35" spans="2:7" ht="25.5" customHeight="1" x14ac:dyDescent="0.25">
      <c r="B35" s="3" t="s">
        <v>152</v>
      </c>
      <c r="C35" s="3"/>
      <c r="D35" s="3"/>
      <c r="E35" s="3"/>
      <c r="F35" s="3"/>
      <c r="G35" s="3"/>
    </row>
    <row r="36" spans="2:7" ht="4.5" customHeight="1" x14ac:dyDescent="0.25">
      <c r="B36" s="2"/>
      <c r="C36" s="2"/>
      <c r="D36" s="2"/>
      <c r="E36" s="2"/>
      <c r="F36" s="2"/>
      <c r="G36" s="2"/>
    </row>
    <row r="37" spans="2:7" ht="13.5" customHeight="1" x14ac:dyDescent="0.25">
      <c r="B37" s="107" t="s">
        <v>153</v>
      </c>
      <c r="C37" s="107"/>
      <c r="D37" s="107"/>
      <c r="E37" s="107"/>
      <c r="F37" s="107"/>
      <c r="G37" s="107"/>
    </row>
    <row r="38" spans="2:7" ht="4.5" customHeight="1" x14ac:dyDescent="0.25">
      <c r="B38" s="2"/>
      <c r="C38" s="2"/>
      <c r="D38" s="2"/>
      <c r="E38" s="2"/>
      <c r="F38" s="2"/>
      <c r="G38" s="2"/>
    </row>
    <row r="39" spans="2:7" ht="30" customHeight="1" x14ac:dyDescent="0.25">
      <c r="C39" s="24" t="s">
        <v>154</v>
      </c>
      <c r="D39" s="24" t="s">
        <v>155</v>
      </c>
      <c r="E39" s="24" t="s">
        <v>156</v>
      </c>
      <c r="F39" s="24" t="s">
        <v>94</v>
      </c>
    </row>
    <row r="40" spans="2:7" ht="21.75" customHeight="1" x14ac:dyDescent="0.25">
      <c r="C40" s="109" t="s">
        <v>157</v>
      </c>
      <c r="D40" s="109"/>
      <c r="E40" s="109"/>
      <c r="F40" s="109"/>
    </row>
    <row r="41" spans="2:7" ht="21.75" customHeight="1" x14ac:dyDescent="0.25">
      <c r="C41" s="39" t="s">
        <v>158</v>
      </c>
      <c r="D41" s="27">
        <v>20000</v>
      </c>
      <c r="E41" s="32" t="s">
        <v>68</v>
      </c>
      <c r="F41" s="35" t="s">
        <v>159</v>
      </c>
    </row>
    <row r="42" spans="2:7" ht="21.75" customHeight="1" x14ac:dyDescent="0.25">
      <c r="C42" s="41" t="s">
        <v>160</v>
      </c>
      <c r="D42" s="27">
        <v>0</v>
      </c>
      <c r="E42" s="32" t="s">
        <v>68</v>
      </c>
      <c r="F42" s="38" t="s">
        <v>161</v>
      </c>
    </row>
    <row r="43" spans="2:7" ht="21.75" customHeight="1" x14ac:dyDescent="0.25">
      <c r="C43" s="109" t="s">
        <v>162</v>
      </c>
      <c r="D43" s="109"/>
      <c r="E43" s="109"/>
      <c r="F43" s="109"/>
    </row>
    <row r="44" spans="2:7" ht="21.75" customHeight="1" x14ac:dyDescent="0.25">
      <c r="C44" s="39" t="s">
        <v>163</v>
      </c>
      <c r="D44" s="27">
        <v>55000</v>
      </c>
      <c r="E44" s="50" t="s">
        <v>164</v>
      </c>
      <c r="F44" s="35" t="s">
        <v>165</v>
      </c>
    </row>
    <row r="45" spans="2:7" ht="21.75" customHeight="1" x14ac:dyDescent="0.25">
      <c r="C45" s="41" t="s">
        <v>166</v>
      </c>
      <c r="D45" s="27">
        <v>5000</v>
      </c>
      <c r="E45" s="50" t="s">
        <v>167</v>
      </c>
      <c r="F45" s="38" t="s">
        <v>168</v>
      </c>
    </row>
    <row r="46" spans="2:7" ht="21.75" customHeight="1" x14ac:dyDescent="0.25">
      <c r="C46" s="109" t="s">
        <v>169</v>
      </c>
      <c r="D46" s="109"/>
      <c r="E46" s="109"/>
      <c r="F46" s="109"/>
    </row>
    <row r="47" spans="2:7" ht="21.75" customHeight="1" x14ac:dyDescent="0.25">
      <c r="C47" s="39" t="s">
        <v>170</v>
      </c>
      <c r="D47" s="27">
        <v>0</v>
      </c>
      <c r="E47" s="32" t="s">
        <v>68</v>
      </c>
      <c r="F47" s="35" t="s">
        <v>171</v>
      </c>
    </row>
    <row r="48" spans="2:7" ht="21.75" customHeight="1" x14ac:dyDescent="0.25">
      <c r="C48" s="41" t="s">
        <v>172</v>
      </c>
      <c r="D48" s="27">
        <v>0</v>
      </c>
      <c r="E48" s="32" t="s">
        <v>68</v>
      </c>
      <c r="F48" s="38" t="s">
        <v>173</v>
      </c>
    </row>
    <row r="49" spans="2:7" ht="25.5" customHeight="1" x14ac:dyDescent="0.25">
      <c r="B49" s="23"/>
      <c r="C49" s="43" t="s">
        <v>174</v>
      </c>
      <c r="D49" s="48">
        <f>D41+D42+D44+D45+D47+D48</f>
        <v>80000</v>
      </c>
      <c r="E49" s="49"/>
      <c r="F49" s="49"/>
    </row>
    <row r="50" spans="2:7" ht="13.5" customHeight="1" x14ac:dyDescent="0.25">
      <c r="B50" s="2"/>
      <c r="C50" s="2"/>
      <c r="D50" s="2"/>
      <c r="E50" s="2"/>
      <c r="F50" s="2"/>
      <c r="G50" s="2"/>
    </row>
    <row r="51" spans="2:7" ht="25.5" customHeight="1" x14ac:dyDescent="0.25">
      <c r="B51" s="3" t="s">
        <v>175</v>
      </c>
      <c r="C51" s="3"/>
      <c r="D51" s="3"/>
      <c r="E51" s="3"/>
      <c r="F51" s="3"/>
      <c r="G51" s="3"/>
    </row>
    <row r="52" spans="2:7" ht="6" customHeight="1" x14ac:dyDescent="0.25">
      <c r="B52" s="2"/>
      <c r="C52" s="2"/>
      <c r="D52" s="2"/>
      <c r="E52" s="2"/>
      <c r="F52" s="2"/>
      <c r="G52" s="2"/>
    </row>
    <row r="53" spans="2:7" ht="21.75" customHeight="1" x14ac:dyDescent="0.25">
      <c r="C53" s="51" t="s">
        <v>176</v>
      </c>
      <c r="D53" s="29">
        <f>E33</f>
        <v>106808</v>
      </c>
    </row>
    <row r="54" spans="2:7" ht="21.75" customHeight="1" x14ac:dyDescent="0.25">
      <c r="C54" s="51" t="s">
        <v>177</v>
      </c>
      <c r="D54" s="29">
        <f>D49</f>
        <v>80000</v>
      </c>
    </row>
    <row r="55" spans="2:7" ht="24" customHeight="1" x14ac:dyDescent="0.25">
      <c r="C55" s="52" t="s">
        <v>178</v>
      </c>
      <c r="D55" s="53">
        <f>D54-D53</f>
        <v>-26808</v>
      </c>
    </row>
    <row r="56" spans="2:7" ht="21.75" customHeight="1" x14ac:dyDescent="0.25">
      <c r="C56" s="51" t="s">
        <v>179</v>
      </c>
      <c r="D56" s="54" t="str">
        <f>IF(D55&gt;=0,"✅ Financement équilibré — ressources suffisantes","⚠️ Déficit de financement — revoir les sources")</f>
        <v>⚠️ Déficit de financement — revoir les sources</v>
      </c>
    </row>
    <row r="57" spans="2:7" ht="13.5" customHeight="1" x14ac:dyDescent="0.25">
      <c r="B57" s="2"/>
      <c r="C57" s="2"/>
      <c r="D57" s="2"/>
      <c r="E57" s="2"/>
      <c r="F57" s="2"/>
      <c r="G57" s="2"/>
    </row>
  </sheetData>
  <mergeCells count="25">
    <mergeCell ref="C46:F46"/>
    <mergeCell ref="B50:G50"/>
    <mergeCell ref="B51:G51"/>
    <mergeCell ref="B52:G52"/>
    <mergeCell ref="B57:G57"/>
    <mergeCell ref="B36:G36"/>
    <mergeCell ref="B37:G37"/>
    <mergeCell ref="B38:G38"/>
    <mergeCell ref="C40:F40"/>
    <mergeCell ref="C43:F43"/>
    <mergeCell ref="C23:G23"/>
    <mergeCell ref="C26:G26"/>
    <mergeCell ref="C31:G31"/>
    <mergeCell ref="B34:G34"/>
    <mergeCell ref="B35:G35"/>
    <mergeCell ref="B7:G7"/>
    <mergeCell ref="B8:G8"/>
    <mergeCell ref="B9:G9"/>
    <mergeCell ref="C11:G11"/>
    <mergeCell ref="C15:G15"/>
    <mergeCell ref="A1:H1"/>
    <mergeCell ref="A2:H2"/>
    <mergeCell ref="A3:H3"/>
    <mergeCell ref="A4:H4"/>
    <mergeCell ref="B6:G6"/>
  </mergeCells>
  <conditionalFormatting sqref="D55">
    <cfRule type="cellIs" dxfId="9" priority="2" operator="greaterThanOrEqual">
      <formula>0</formula>
    </cfRule>
    <cfRule type="cellIs" dxfId="8" priority="3" operator="lessThan">
      <formula>0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E6B3A"/>
  </sheetPr>
  <dimension ref="A1:R30"/>
  <sheetViews>
    <sheetView showGridLines="0" showRowColHeaders="0"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baseColWidth="10" defaultColWidth="8.7109375" defaultRowHeight="15" x14ac:dyDescent="0.25"/>
  <cols>
    <col min="1" max="1" width="2" customWidth="1"/>
    <col min="2" max="2" width="26" customWidth="1"/>
    <col min="3" max="14" width="8" customWidth="1"/>
    <col min="15" max="17" width="10" customWidth="1"/>
    <col min="18" max="18" width="2" customWidth="1"/>
  </cols>
  <sheetData>
    <row r="1" spans="1:18" ht="4.5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43.5" customHeight="1" x14ac:dyDescent="0.25">
      <c r="A2" s="5" t="s">
        <v>180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ht="18" customHeight="1" x14ac:dyDescent="0.25">
      <c r="A3" s="4" t="s">
        <v>181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4.5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ht="12" customHeight="1" x14ac:dyDescent="0.25"/>
    <row r="6" spans="1:18" ht="30" customHeight="1" x14ac:dyDescent="0.25">
      <c r="B6" s="55" t="s">
        <v>182</v>
      </c>
      <c r="C6" s="56" t="s">
        <v>183</v>
      </c>
      <c r="D6" s="56" t="s">
        <v>184</v>
      </c>
      <c r="E6" s="56" t="s">
        <v>185</v>
      </c>
      <c r="F6" s="56" t="s">
        <v>186</v>
      </c>
      <c r="G6" s="56" t="s">
        <v>187</v>
      </c>
      <c r="H6" s="56" t="s">
        <v>188</v>
      </c>
      <c r="I6" s="56" t="s">
        <v>189</v>
      </c>
      <c r="J6" s="56" t="s">
        <v>190</v>
      </c>
      <c r="K6" s="56" t="s">
        <v>191</v>
      </c>
      <c r="L6" s="56" t="s">
        <v>192</v>
      </c>
      <c r="M6" s="56" t="s">
        <v>193</v>
      </c>
      <c r="N6" s="56" t="s">
        <v>194</v>
      </c>
      <c r="O6" s="57" t="s">
        <v>195</v>
      </c>
      <c r="P6" s="58" t="s">
        <v>196</v>
      </c>
      <c r="Q6" s="58" t="s">
        <v>197</v>
      </c>
    </row>
    <row r="7" spans="1:18" ht="19.5" customHeight="1" x14ac:dyDescent="0.25">
      <c r="B7" s="59" t="s">
        <v>198</v>
      </c>
      <c r="C7" s="60">
        <v>0.85</v>
      </c>
      <c r="D7" s="60">
        <v>0.8</v>
      </c>
      <c r="E7" s="60">
        <v>0.95</v>
      </c>
      <c r="F7" s="60">
        <v>1</v>
      </c>
      <c r="G7" s="60">
        <v>1.05</v>
      </c>
      <c r="H7" s="60">
        <v>1.1000000000000001</v>
      </c>
      <c r="I7" s="60">
        <v>0.8</v>
      </c>
      <c r="J7" s="60">
        <v>0.7</v>
      </c>
      <c r="K7" s="60">
        <v>1.05</v>
      </c>
      <c r="L7" s="60">
        <v>1.05</v>
      </c>
      <c r="M7" s="60">
        <v>1.05</v>
      </c>
      <c r="N7" s="60">
        <v>1.6</v>
      </c>
      <c r="O7" s="61"/>
      <c r="P7" s="61"/>
      <c r="Q7" s="61"/>
    </row>
    <row r="8" spans="1:18" ht="21.75" customHeight="1" x14ac:dyDescent="0.25">
      <c r="B8" s="62" t="s">
        <v>199</v>
      </c>
      <c r="C8" s="63">
        <f>ROUND(HYPOTHÈSES!H34*(HYPOTHÈSES!D41/12)*0.85*HYPOTHÈSES!D42,0)</f>
        <v>7240</v>
      </c>
      <c r="D8" s="63">
        <f>ROUND(HYPOTHÈSES!H34*(HYPOTHÈSES!D41/12)*0.8*HYPOTHÈSES!D42,0)</f>
        <v>6814</v>
      </c>
      <c r="E8" s="63">
        <f>ROUND(HYPOTHÈSES!H34*(HYPOTHÈSES!D41/12)*0.95*HYPOTHÈSES!D42,0)</f>
        <v>8091</v>
      </c>
      <c r="F8" s="63">
        <f>ROUND(HYPOTHÈSES!H34*(HYPOTHÈSES!D41/12)*1*HYPOTHÈSES!D42,0)</f>
        <v>8517</v>
      </c>
      <c r="G8" s="63">
        <f>ROUND(HYPOTHÈSES!H34*(HYPOTHÈSES!D41/12)*1.05*HYPOTHÈSES!D42,0)</f>
        <v>8943</v>
      </c>
      <c r="H8" s="63">
        <f>ROUND(HYPOTHÈSES!H34*(HYPOTHÈSES!D41/12)*1.1*HYPOTHÈSES!D42,0)</f>
        <v>9369</v>
      </c>
      <c r="I8" s="63">
        <f>ROUND(HYPOTHÈSES!H34*(HYPOTHÈSES!D41/12)*0.8*HYPOTHÈSES!D42,0)</f>
        <v>6814</v>
      </c>
      <c r="J8" s="63">
        <f>ROUND(HYPOTHÈSES!H34*(HYPOTHÈSES!D41/12)*0.7*HYPOTHÈSES!D42,0)</f>
        <v>5962</v>
      </c>
      <c r="K8" s="63">
        <f>ROUND(HYPOTHÈSES!H34*(HYPOTHÈSES!D41/12)*1.05*HYPOTHÈSES!D42,0)</f>
        <v>8943</v>
      </c>
      <c r="L8" s="63">
        <f>ROUND(HYPOTHÈSES!H34*(HYPOTHÈSES!D41/12)*1.05*HYPOTHÈSES!D42,0)</f>
        <v>8943</v>
      </c>
      <c r="M8" s="63">
        <f>ROUND(HYPOTHÈSES!H34*(HYPOTHÈSES!D41/12)*1.05*HYPOTHÈSES!D42,0)</f>
        <v>8943</v>
      </c>
      <c r="N8" s="63">
        <f>ROUND(HYPOTHÈSES!H34*(HYPOTHÈSES!D41/12)*1.6*HYPOTHÈSES!D42,0)</f>
        <v>13628</v>
      </c>
      <c r="O8" s="64">
        <f>SUM(C8:N8)</f>
        <v>102207</v>
      </c>
      <c r="P8" s="64">
        <f>ROUND(HYPOTHÈSES!H34*HYPOTHÈSES!D41*HYPOTHÈSES!E43,0)</f>
        <v>120791</v>
      </c>
      <c r="Q8" s="64">
        <f>ROUND(HYPOTHÈSES!H34*HYPOTHÈSES!D41*HYPOTHÈSES!F44,0)</f>
        <v>133799</v>
      </c>
    </row>
    <row r="9" spans="1:18" ht="21.75" customHeight="1" x14ac:dyDescent="0.25">
      <c r="B9" s="31" t="s">
        <v>200</v>
      </c>
      <c r="C9" s="65">
        <f>ROUND(HYPOTHÈSES!D33*0.85/1,0)</f>
        <v>680</v>
      </c>
      <c r="D9" s="65">
        <f>ROUND(HYPOTHÈSES!D33*0.8/1,0)</f>
        <v>640</v>
      </c>
      <c r="E9" s="65">
        <f>ROUND(HYPOTHÈSES!D33*0.95/1,0)</f>
        <v>760</v>
      </c>
      <c r="F9" s="65">
        <f>ROUND(HYPOTHÈSES!D33*1/1,0)</f>
        <v>800</v>
      </c>
      <c r="G9" s="65">
        <f>ROUND(HYPOTHÈSES!D33*1.05/1,0)</f>
        <v>840</v>
      </c>
      <c r="H9" s="65">
        <f>ROUND(HYPOTHÈSES!D33*1.1/1,0)</f>
        <v>880</v>
      </c>
      <c r="I9" s="65">
        <f>ROUND(HYPOTHÈSES!D33*0.8/1,0)</f>
        <v>640</v>
      </c>
      <c r="J9" s="65">
        <f>ROUND(HYPOTHÈSES!D33*0.7/1,0)</f>
        <v>560</v>
      </c>
      <c r="K9" s="65">
        <f>ROUND(HYPOTHÈSES!D33*1.05/1,0)</f>
        <v>840</v>
      </c>
      <c r="L9" s="65">
        <f>ROUND(HYPOTHÈSES!D33*1.05/1,0)</f>
        <v>840</v>
      </c>
      <c r="M9" s="65">
        <f>ROUND(HYPOTHÈSES!D33*1.05/1,0)</f>
        <v>840</v>
      </c>
      <c r="N9" s="65">
        <f>ROUND(HYPOTHÈSES!D33*1.6/1,0)</f>
        <v>1280</v>
      </c>
      <c r="O9" s="64">
        <f>SUM(C9:N9)</f>
        <v>9600</v>
      </c>
      <c r="P9" s="64">
        <f>HYPOTHÈSES!D33*12*(1+HYPOTHÈSES!E45)</f>
        <v>11520</v>
      </c>
      <c r="Q9" s="64">
        <f>HYPOTHÈSES!D33*12*(1+HYPOTHÈSES!E45)*(1+HYPOTHÈSES!F46)</f>
        <v>13247.999999999998</v>
      </c>
    </row>
    <row r="10" spans="1:18" ht="25.5" customHeight="1" x14ac:dyDescent="0.25">
      <c r="B10" s="52" t="s">
        <v>201</v>
      </c>
      <c r="C10" s="66">
        <f t="shared" ref="C10:Q10" si="0">C8+C9</f>
        <v>7920</v>
      </c>
      <c r="D10" s="66">
        <f t="shared" si="0"/>
        <v>7454</v>
      </c>
      <c r="E10" s="66">
        <f t="shared" si="0"/>
        <v>8851</v>
      </c>
      <c r="F10" s="66">
        <f t="shared" si="0"/>
        <v>9317</v>
      </c>
      <c r="G10" s="66">
        <f t="shared" si="0"/>
        <v>9783</v>
      </c>
      <c r="H10" s="66">
        <f t="shared" si="0"/>
        <v>10249</v>
      </c>
      <c r="I10" s="66">
        <f t="shared" si="0"/>
        <v>7454</v>
      </c>
      <c r="J10" s="66">
        <f t="shared" si="0"/>
        <v>6522</v>
      </c>
      <c r="K10" s="66">
        <f t="shared" si="0"/>
        <v>9783</v>
      </c>
      <c r="L10" s="66">
        <f t="shared" si="0"/>
        <v>9783</v>
      </c>
      <c r="M10" s="66">
        <f t="shared" si="0"/>
        <v>9783</v>
      </c>
      <c r="N10" s="66">
        <f t="shared" si="0"/>
        <v>14908</v>
      </c>
      <c r="O10" s="67">
        <f t="shared" si="0"/>
        <v>111807</v>
      </c>
      <c r="P10" s="67">
        <f t="shared" si="0"/>
        <v>132311</v>
      </c>
      <c r="Q10" s="67">
        <f t="shared" si="0"/>
        <v>147047</v>
      </c>
    </row>
    <row r="11" spans="1:18" ht="19.5" customHeight="1" x14ac:dyDescent="0.25">
      <c r="B11" s="38" t="s">
        <v>202</v>
      </c>
      <c r="C11" s="68">
        <f t="shared" ref="C11:N11" si="1">ROUND(C10*0.2,0)</f>
        <v>1584</v>
      </c>
      <c r="D11" s="68">
        <f t="shared" si="1"/>
        <v>1491</v>
      </c>
      <c r="E11" s="68">
        <f t="shared" si="1"/>
        <v>1770</v>
      </c>
      <c r="F11" s="68">
        <f t="shared" si="1"/>
        <v>1863</v>
      </c>
      <c r="G11" s="68">
        <f t="shared" si="1"/>
        <v>1957</v>
      </c>
      <c r="H11" s="68">
        <f t="shared" si="1"/>
        <v>2050</v>
      </c>
      <c r="I11" s="68">
        <f t="shared" si="1"/>
        <v>1491</v>
      </c>
      <c r="J11" s="68">
        <f t="shared" si="1"/>
        <v>1304</v>
      </c>
      <c r="K11" s="68">
        <f t="shared" si="1"/>
        <v>1957</v>
      </c>
      <c r="L11" s="68">
        <f t="shared" si="1"/>
        <v>1957</v>
      </c>
      <c r="M11" s="68">
        <f t="shared" si="1"/>
        <v>1957</v>
      </c>
      <c r="N11" s="68">
        <f t="shared" si="1"/>
        <v>2982</v>
      </c>
      <c r="O11" s="69">
        <f>SUM(C11:N11)</f>
        <v>22363</v>
      </c>
      <c r="P11" s="69">
        <f>P10*0.2</f>
        <v>26462.2</v>
      </c>
      <c r="Q11" s="69">
        <f>Q10*0.2</f>
        <v>29409.4</v>
      </c>
    </row>
    <row r="12" spans="1:18" ht="24" customHeight="1" x14ac:dyDescent="0.25">
      <c r="B12" s="70" t="s">
        <v>203</v>
      </c>
      <c r="C12" s="71">
        <f t="shared" ref="C12:Q12" si="2">C10+C11</f>
        <v>9504</v>
      </c>
      <c r="D12" s="71">
        <f t="shared" si="2"/>
        <v>8945</v>
      </c>
      <c r="E12" s="71">
        <f t="shared" si="2"/>
        <v>10621</v>
      </c>
      <c r="F12" s="71">
        <f t="shared" si="2"/>
        <v>11180</v>
      </c>
      <c r="G12" s="71">
        <f t="shared" si="2"/>
        <v>11740</v>
      </c>
      <c r="H12" s="71">
        <f t="shared" si="2"/>
        <v>12299</v>
      </c>
      <c r="I12" s="71">
        <f t="shared" si="2"/>
        <v>8945</v>
      </c>
      <c r="J12" s="71">
        <f t="shared" si="2"/>
        <v>7826</v>
      </c>
      <c r="K12" s="71">
        <f t="shared" si="2"/>
        <v>11740</v>
      </c>
      <c r="L12" s="71">
        <f t="shared" si="2"/>
        <v>11740</v>
      </c>
      <c r="M12" s="71">
        <f t="shared" si="2"/>
        <v>11740</v>
      </c>
      <c r="N12" s="71">
        <f t="shared" si="2"/>
        <v>17890</v>
      </c>
      <c r="O12" s="72">
        <f t="shared" si="2"/>
        <v>134170</v>
      </c>
      <c r="P12" s="72">
        <f t="shared" si="2"/>
        <v>158773.20000000001</v>
      </c>
      <c r="Q12" s="72">
        <f t="shared" si="2"/>
        <v>176456.4</v>
      </c>
    </row>
    <row r="13" spans="1:18" ht="13.5" customHeight="1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30" spans="2:17" ht="13.5" customHeight="1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</sheetData>
  <mergeCells count="6">
    <mergeCell ref="B30:Q30"/>
    <mergeCell ref="A1:R1"/>
    <mergeCell ref="A2:R2"/>
    <mergeCell ref="A3:R3"/>
    <mergeCell ref="A4:R4"/>
    <mergeCell ref="B13:Q13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E6B3A"/>
  </sheetPr>
  <dimension ref="A1:G29"/>
  <sheetViews>
    <sheetView showGridLines="0" showRowColHeaders="0"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baseColWidth="10" defaultColWidth="8.7109375" defaultRowHeight="15" x14ac:dyDescent="0.25"/>
  <cols>
    <col min="1" max="1" width="2" customWidth="1"/>
    <col min="2" max="2" width="4" customWidth="1"/>
    <col min="3" max="3" width="36" customWidth="1"/>
    <col min="4" max="6" width="16" customWidth="1"/>
    <col min="7" max="7" width="2" customWidth="1"/>
  </cols>
  <sheetData>
    <row r="1" spans="1:7" ht="4.5" customHeight="1" x14ac:dyDescent="0.25">
      <c r="A1" s="11"/>
      <c r="B1" s="11"/>
      <c r="C1" s="11"/>
      <c r="D1" s="11"/>
      <c r="E1" s="11"/>
      <c r="F1" s="11"/>
      <c r="G1" s="11"/>
    </row>
    <row r="2" spans="1:7" ht="43.5" customHeight="1" x14ac:dyDescent="0.25">
      <c r="A2" s="5" t="s">
        <v>204</v>
      </c>
      <c r="B2" s="5"/>
      <c r="C2" s="5"/>
      <c r="D2" s="5"/>
      <c r="E2" s="5"/>
      <c r="F2" s="5"/>
      <c r="G2" s="5"/>
    </row>
    <row r="3" spans="1:7" ht="18" customHeight="1" x14ac:dyDescent="0.25">
      <c r="A3" s="4" t="s">
        <v>205</v>
      </c>
      <c r="B3" s="4"/>
      <c r="C3" s="4"/>
      <c r="D3" s="4"/>
      <c r="E3" s="4"/>
      <c r="F3" s="4"/>
      <c r="G3" s="4"/>
    </row>
    <row r="4" spans="1:7" ht="4.5" customHeight="1" x14ac:dyDescent="0.25">
      <c r="A4" s="11"/>
      <c r="B4" s="11"/>
      <c r="C4" s="11"/>
      <c r="D4" s="11"/>
      <c r="E4" s="11"/>
      <c r="F4" s="11"/>
      <c r="G4" s="11"/>
    </row>
    <row r="5" spans="1:7" ht="12" customHeight="1" x14ac:dyDescent="0.25"/>
    <row r="6" spans="1:7" ht="13.5" customHeight="1" x14ac:dyDescent="0.25">
      <c r="B6" s="107" t="s">
        <v>206</v>
      </c>
      <c r="C6" s="107"/>
      <c r="D6" s="107"/>
      <c r="E6" s="107"/>
      <c r="F6" s="107"/>
    </row>
    <row r="7" spans="1:7" ht="7.5" customHeight="1" x14ac:dyDescent="0.25">
      <c r="B7" s="2"/>
      <c r="C7" s="2"/>
      <c r="D7" s="2"/>
      <c r="E7" s="2"/>
      <c r="F7" s="2"/>
    </row>
    <row r="8" spans="1:7" ht="30" customHeight="1" x14ac:dyDescent="0.25">
      <c r="B8" s="23"/>
      <c r="C8" s="73" t="s">
        <v>207</v>
      </c>
      <c r="D8" s="24" t="s">
        <v>73</v>
      </c>
      <c r="E8" s="57" t="s">
        <v>74</v>
      </c>
      <c r="F8" s="57" t="s">
        <v>75</v>
      </c>
    </row>
    <row r="9" spans="1:7" ht="24" customHeight="1" x14ac:dyDescent="0.25">
      <c r="B9" s="110" t="s">
        <v>208</v>
      </c>
      <c r="C9" s="110"/>
      <c r="D9" s="110"/>
      <c r="E9" s="110"/>
      <c r="F9" s="110"/>
    </row>
    <row r="10" spans="1:7" ht="21.75" customHeight="1" x14ac:dyDescent="0.25">
      <c r="B10" s="74"/>
      <c r="C10" s="75" t="s">
        <v>209</v>
      </c>
      <c r="D10" s="76">
        <f>'CA PRÉVISIONNEL'!O8</f>
        <v>102207</v>
      </c>
      <c r="E10" s="76">
        <f>'CA PRÉVISIONNEL'!P8</f>
        <v>120791</v>
      </c>
      <c r="F10" s="76">
        <f>'CA PRÉVISIONNEL'!Q8</f>
        <v>133799</v>
      </c>
    </row>
    <row r="11" spans="1:7" ht="21.75" customHeight="1" x14ac:dyDescent="0.25">
      <c r="B11" s="74"/>
      <c r="C11" s="77" t="s">
        <v>210</v>
      </c>
      <c r="D11" s="78">
        <f>'CA PRÉVISIONNEL'!O9</f>
        <v>9600</v>
      </c>
      <c r="E11" s="78">
        <f>'CA PRÉVISIONNEL'!P9</f>
        <v>11520</v>
      </c>
      <c r="F11" s="78">
        <f>'CA PRÉVISIONNEL'!Q9</f>
        <v>13247.999999999998</v>
      </c>
    </row>
    <row r="12" spans="1:7" ht="24" customHeight="1" x14ac:dyDescent="0.25">
      <c r="B12" s="23"/>
      <c r="C12" s="52" t="s">
        <v>201</v>
      </c>
      <c r="D12" s="79">
        <f>D10+D11</f>
        <v>111807</v>
      </c>
      <c r="E12" s="79">
        <f>E10+E11</f>
        <v>132311</v>
      </c>
      <c r="F12" s="79">
        <f>F10+F11</f>
        <v>147047</v>
      </c>
    </row>
    <row r="13" spans="1:7" ht="6" customHeight="1" x14ac:dyDescent="0.25">
      <c r="B13" s="2"/>
      <c r="C13" s="2"/>
      <c r="D13" s="2"/>
      <c r="E13" s="2"/>
      <c r="F13" s="2"/>
    </row>
    <row r="14" spans="1:7" ht="24" customHeight="1" x14ac:dyDescent="0.25">
      <c r="B14" s="111" t="s">
        <v>211</v>
      </c>
      <c r="C14" s="111"/>
      <c r="D14" s="111"/>
      <c r="E14" s="111"/>
      <c r="F14" s="111"/>
    </row>
    <row r="15" spans="1:7" ht="21.75" customHeight="1" x14ac:dyDescent="0.25">
      <c r="B15" s="74"/>
      <c r="C15" s="75" t="s">
        <v>212</v>
      </c>
      <c r="D15" s="76">
        <f>ROUND(D12*0.22,0)</f>
        <v>24598</v>
      </c>
      <c r="E15" s="76">
        <f>ROUND(E12*0.21,0)</f>
        <v>27785</v>
      </c>
      <c r="F15" s="76">
        <f>ROUND(F12*0.2,0)</f>
        <v>29409</v>
      </c>
    </row>
    <row r="16" spans="1:7" ht="21.75" customHeight="1" x14ac:dyDescent="0.25">
      <c r="B16" s="74"/>
      <c r="C16" s="77" t="s">
        <v>213</v>
      </c>
      <c r="D16" s="78">
        <f>ROUND(D12*0.28,0)</f>
        <v>31306</v>
      </c>
      <c r="E16" s="78">
        <f>ROUND(E12*0.27,0)</f>
        <v>35724</v>
      </c>
      <c r="F16" s="78">
        <f>ROUND(F12*0.26,0)</f>
        <v>38232</v>
      </c>
    </row>
    <row r="17" spans="2:6" ht="21.75" customHeight="1" x14ac:dyDescent="0.25">
      <c r="B17" s="74"/>
      <c r="C17" s="75" t="s">
        <v>214</v>
      </c>
      <c r="D17" s="76">
        <f>ROUND(D12*0.48,0)</f>
        <v>53667</v>
      </c>
      <c r="E17" s="76">
        <f>ROUND(E12*0.46,0)</f>
        <v>60863</v>
      </c>
      <c r="F17" s="76">
        <f>ROUND(F12*0.44,0)</f>
        <v>64701</v>
      </c>
    </row>
    <row r="18" spans="2:6" ht="21.75" customHeight="1" x14ac:dyDescent="0.25">
      <c r="B18" s="74"/>
      <c r="C18" s="77" t="s">
        <v>215</v>
      </c>
      <c r="D18" s="78">
        <f>3000</f>
        <v>3000</v>
      </c>
      <c r="E18" s="78">
        <f>3000</f>
        <v>3000</v>
      </c>
      <c r="F18" s="78">
        <f>2800</f>
        <v>2800</v>
      </c>
    </row>
    <row r="19" spans="2:6" ht="24" customHeight="1" x14ac:dyDescent="0.25">
      <c r="B19" s="23"/>
      <c r="C19" s="52" t="s">
        <v>216</v>
      </c>
      <c r="D19" s="79">
        <f>D15+D16+D17+D18</f>
        <v>112571</v>
      </c>
      <c r="E19" s="79">
        <f>E15+E16+E17+E18</f>
        <v>127372</v>
      </c>
      <c r="F19" s="79">
        <f>F15+F16+F17+F18</f>
        <v>135142</v>
      </c>
    </row>
    <row r="20" spans="2:6" ht="6" customHeight="1" x14ac:dyDescent="0.25">
      <c r="B20" s="2"/>
      <c r="C20" s="2"/>
      <c r="D20" s="2"/>
      <c r="E20" s="2"/>
      <c r="F20" s="2"/>
    </row>
    <row r="21" spans="2:6" ht="24" customHeight="1" x14ac:dyDescent="0.25">
      <c r="B21" s="112" t="s">
        <v>217</v>
      </c>
      <c r="C21" s="112"/>
      <c r="D21" s="112"/>
      <c r="E21" s="112"/>
      <c r="F21" s="112"/>
    </row>
    <row r="22" spans="2:6" ht="21.75" customHeight="1" x14ac:dyDescent="0.25">
      <c r="B22" s="25"/>
      <c r="C22" s="80" t="s">
        <v>218</v>
      </c>
      <c r="D22" s="81">
        <f>D12-D15-D16-D17</f>
        <v>2236</v>
      </c>
      <c r="E22" s="81">
        <f>E12-E15-E16-E17</f>
        <v>7939</v>
      </c>
      <c r="F22" s="81">
        <f>F12-F15-F16-F17</f>
        <v>14705</v>
      </c>
    </row>
    <row r="23" spans="2:6" ht="21.75" customHeight="1" x14ac:dyDescent="0.25">
      <c r="B23" s="74"/>
      <c r="C23" s="77" t="s">
        <v>219</v>
      </c>
      <c r="D23" s="78">
        <f>D22-D18</f>
        <v>-764</v>
      </c>
      <c r="E23" s="78">
        <f>E22-E18</f>
        <v>4939</v>
      </c>
      <c r="F23" s="78">
        <f>F22-F18</f>
        <v>11905</v>
      </c>
    </row>
    <row r="24" spans="2:6" ht="21.75" customHeight="1" x14ac:dyDescent="0.25">
      <c r="B24" s="74"/>
      <c r="C24" s="75" t="s">
        <v>220</v>
      </c>
      <c r="D24" s="76">
        <f>1925</f>
        <v>1925</v>
      </c>
      <c r="E24" s="76">
        <f>1650</f>
        <v>1650</v>
      </c>
      <c r="F24" s="76">
        <f>1350</f>
        <v>1350</v>
      </c>
    </row>
    <row r="25" spans="2:6" ht="21.75" customHeight="1" x14ac:dyDescent="0.25">
      <c r="B25" s="25"/>
      <c r="C25" s="82" t="s">
        <v>221</v>
      </c>
      <c r="D25" s="83">
        <f>D23-D24</f>
        <v>-2689</v>
      </c>
      <c r="E25" s="83">
        <f>E23-E24</f>
        <v>3289</v>
      </c>
      <c r="F25" s="83">
        <f>F23-F24</f>
        <v>10555</v>
      </c>
    </row>
    <row r="26" spans="2:6" ht="21.75" customHeight="1" x14ac:dyDescent="0.25">
      <c r="B26" s="74"/>
      <c r="C26" s="77" t="s">
        <v>222</v>
      </c>
      <c r="D26" s="78">
        <f>IF(D25&gt;0,IF(D25&lt;=42500,D25*0.15,42500*0.15+(D25-42500)*0.25),0)</f>
        <v>0</v>
      </c>
      <c r="E26" s="78">
        <f>IF(E25&gt;0,IF(E25&lt;=42500,E25*0.15,42500*0.15+(E25-42500)*0.25),0)</f>
        <v>493.34999999999997</v>
      </c>
      <c r="F26" s="78">
        <f>IF(F25&gt;0,IF(F25&lt;=42500,F25*0.15,42500*0.15+(F25-42500)*0.25),0)</f>
        <v>1583.25</v>
      </c>
    </row>
    <row r="27" spans="2:6" ht="27.75" customHeight="1" x14ac:dyDescent="0.25">
      <c r="B27" s="25"/>
      <c r="C27" s="84" t="s">
        <v>223</v>
      </c>
      <c r="D27" s="85">
        <f>D25-D26</f>
        <v>-2689</v>
      </c>
      <c r="E27" s="85">
        <f>E25-E26</f>
        <v>2795.65</v>
      </c>
      <c r="F27" s="85">
        <f>F25-F26</f>
        <v>8971.75</v>
      </c>
    </row>
    <row r="28" spans="2:6" ht="21.75" customHeight="1" x14ac:dyDescent="0.25">
      <c r="B28" s="30"/>
      <c r="C28" s="31" t="s">
        <v>224</v>
      </c>
      <c r="D28" s="86">
        <f>IFERROR(D27/D12,0)</f>
        <v>-2.4050372516926488E-2</v>
      </c>
      <c r="E28" s="86">
        <f>IFERROR(E27/E12,0)</f>
        <v>2.1129384556083774E-2</v>
      </c>
      <c r="F28" s="86">
        <f>IFERROR(F27/F12,0)</f>
        <v>6.1012805429556539E-2</v>
      </c>
    </row>
    <row r="29" spans="2:6" ht="13.5" customHeight="1" x14ac:dyDescent="0.25">
      <c r="B29" s="2"/>
      <c r="C29" s="2"/>
      <c r="D29" s="2"/>
      <c r="E29" s="2"/>
      <c r="F29" s="2"/>
    </row>
  </sheetData>
  <mergeCells count="12">
    <mergeCell ref="B21:F21"/>
    <mergeCell ref="B29:F29"/>
    <mergeCell ref="B7:F7"/>
    <mergeCell ref="B9:F9"/>
    <mergeCell ref="B13:F13"/>
    <mergeCell ref="B14:F14"/>
    <mergeCell ref="B20:F20"/>
    <mergeCell ref="A1:G1"/>
    <mergeCell ref="A2:G2"/>
    <mergeCell ref="A3:G3"/>
    <mergeCell ref="A4:G4"/>
    <mergeCell ref="B6:F6"/>
  </mergeCells>
  <conditionalFormatting sqref="D27:F27">
    <cfRule type="cellIs" dxfId="7" priority="2" operator="greaterThan">
      <formula>0</formula>
    </cfRule>
    <cfRule type="cellIs" dxfId="6" priority="3" operator="lessThanOrEqual">
      <formula>0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E6B3A"/>
  </sheetPr>
  <dimension ref="A1:P18"/>
  <sheetViews>
    <sheetView showGridLines="0" showRowColHeaders="0" zoomScaleNormal="100" workbookViewId="0">
      <pane xSplit="3" ySplit="8" topLeftCell="D9" activePane="bottomRight" state="frozen"/>
      <selection pane="topRight" activeCell="D1" sqref="D1"/>
      <selection pane="bottomLeft" activeCell="A9" sqref="A9"/>
      <selection pane="bottomRight"/>
    </sheetView>
  </sheetViews>
  <sheetFormatPr baseColWidth="10" defaultColWidth="8.7109375" defaultRowHeight="15" x14ac:dyDescent="0.25"/>
  <cols>
    <col min="1" max="1" width="2" customWidth="1"/>
    <col min="2" max="2" width="28" customWidth="1"/>
    <col min="3" max="14" width="9" customWidth="1"/>
    <col min="15" max="15" width="11" customWidth="1"/>
    <col min="16" max="16" width="2" customWidth="1"/>
  </cols>
  <sheetData>
    <row r="1" spans="1:16" ht="4.5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43.5" customHeight="1" x14ac:dyDescent="0.25">
      <c r="A2" s="5" t="s">
        <v>225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8" customHeight="1" x14ac:dyDescent="0.25">
      <c r="A3" s="4" t="s">
        <v>226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4.5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ht="12" customHeight="1" x14ac:dyDescent="0.25"/>
    <row r="6" spans="1:16" ht="13.5" customHeight="1" x14ac:dyDescent="0.25">
      <c r="B6" s="107" t="s">
        <v>227</v>
      </c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</row>
    <row r="7" spans="1:16" ht="7.5" customHeight="1" x14ac:dyDescent="0.25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6" ht="27.75" customHeight="1" x14ac:dyDescent="0.25">
      <c r="B8" s="73" t="s">
        <v>228</v>
      </c>
      <c r="C8" s="56" t="s">
        <v>183</v>
      </c>
      <c r="D8" s="56" t="s">
        <v>184</v>
      </c>
      <c r="E8" s="56" t="s">
        <v>185</v>
      </c>
      <c r="F8" s="56" t="s">
        <v>186</v>
      </c>
      <c r="G8" s="56" t="s">
        <v>187</v>
      </c>
      <c r="H8" s="56" t="s">
        <v>188</v>
      </c>
      <c r="I8" s="56" t="s">
        <v>189</v>
      </c>
      <c r="J8" s="56" t="s">
        <v>190</v>
      </c>
      <c r="K8" s="56" t="s">
        <v>191</v>
      </c>
      <c r="L8" s="56" t="s">
        <v>192</v>
      </c>
      <c r="M8" s="56" t="s">
        <v>193</v>
      </c>
      <c r="N8" s="56" t="s">
        <v>194</v>
      </c>
      <c r="O8" s="57" t="s">
        <v>195</v>
      </c>
    </row>
    <row r="9" spans="1:16" ht="21.75" customHeight="1" x14ac:dyDescent="0.25">
      <c r="B9" s="113" t="s">
        <v>229</v>
      </c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</row>
    <row r="10" spans="1:16" ht="6" customHeight="1" x14ac:dyDescent="0.25"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</row>
    <row r="11" spans="1:16" ht="21.75" customHeight="1" x14ac:dyDescent="0.25">
      <c r="B11" s="115" t="s">
        <v>230</v>
      </c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</row>
    <row r="12" spans="1:16" ht="21.75" customHeight="1" x14ac:dyDescent="0.25">
      <c r="B12" s="74"/>
      <c r="C12" s="87" t="s">
        <v>231</v>
      </c>
      <c r="D12" s="65">
        <f>INVESTISSEMENTS!E33</f>
        <v>106808</v>
      </c>
      <c r="E12" s="65">
        <v>0</v>
      </c>
      <c r="F12" s="65">
        <v>0</v>
      </c>
      <c r="G12" s="65">
        <v>0</v>
      </c>
      <c r="H12" s="65">
        <v>0</v>
      </c>
      <c r="I12" s="65">
        <v>0</v>
      </c>
      <c r="J12" s="65">
        <v>0</v>
      </c>
      <c r="K12" s="65">
        <v>0</v>
      </c>
      <c r="L12" s="65">
        <v>0</v>
      </c>
      <c r="M12" s="65">
        <v>0</v>
      </c>
      <c r="N12" s="65">
        <v>0</v>
      </c>
      <c r="O12" s="88">
        <f>INVESTISSEMENTS!E33</f>
        <v>106808</v>
      </c>
    </row>
    <row r="13" spans="1:16" ht="21.75" customHeight="1" x14ac:dyDescent="0.25">
      <c r="B13" s="74"/>
      <c r="C13" s="87" t="s">
        <v>232</v>
      </c>
      <c r="D13" s="65">
        <v>0</v>
      </c>
      <c r="E13" s="65">
        <v>0</v>
      </c>
      <c r="F13" s="65">
        <v>0</v>
      </c>
      <c r="G13" s="65">
        <f>ROUND('CA PRÉVISIONNEL'!D10*3*0.2/3,0)</f>
        <v>1491</v>
      </c>
      <c r="H13" s="65">
        <v>0</v>
      </c>
      <c r="I13" s="65">
        <v>0</v>
      </c>
      <c r="J13" s="65">
        <f>ROUND('CA PRÉVISIONNEL'!G10*3*0.2/3,0)</f>
        <v>1957</v>
      </c>
      <c r="K13" s="65">
        <v>0</v>
      </c>
      <c r="L13" s="65">
        <v>0</v>
      </c>
      <c r="M13" s="65">
        <f>ROUND('CA PRÉVISIONNEL'!J10*3*0.2/3,0)</f>
        <v>1304</v>
      </c>
      <c r="N13" s="65">
        <v>0</v>
      </c>
      <c r="O13" s="88">
        <f>SUM(D13:N13)</f>
        <v>4752</v>
      </c>
    </row>
    <row r="14" spans="1:16" ht="24" customHeight="1" x14ac:dyDescent="0.25">
      <c r="B14" s="25"/>
      <c r="C14" s="52" t="s">
        <v>233</v>
      </c>
      <c r="D14" s="66">
        <f t="shared" ref="D14:N14" si="0">D12+D12+D13+D13</f>
        <v>213616</v>
      </c>
      <c r="E14" s="66">
        <f t="shared" si="0"/>
        <v>0</v>
      </c>
      <c r="F14" s="66">
        <f t="shared" si="0"/>
        <v>0</v>
      </c>
      <c r="G14" s="66">
        <f t="shared" si="0"/>
        <v>2982</v>
      </c>
      <c r="H14" s="66">
        <f t="shared" si="0"/>
        <v>0</v>
      </c>
      <c r="I14" s="66">
        <f t="shared" si="0"/>
        <v>0</v>
      </c>
      <c r="J14" s="66">
        <f t="shared" si="0"/>
        <v>3914</v>
      </c>
      <c r="K14" s="66">
        <f t="shared" si="0"/>
        <v>0</v>
      </c>
      <c r="L14" s="66">
        <f t="shared" si="0"/>
        <v>0</v>
      </c>
      <c r="M14" s="66">
        <f t="shared" si="0"/>
        <v>2608</v>
      </c>
      <c r="N14" s="66">
        <f t="shared" si="0"/>
        <v>0</v>
      </c>
      <c r="O14" s="89">
        <f>SUM(D14:N14)</f>
        <v>223120</v>
      </c>
    </row>
    <row r="15" spans="1:16" ht="6" customHeight="1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6" ht="24" customHeight="1" x14ac:dyDescent="0.25">
      <c r="B16" s="25"/>
      <c r="C16" s="52" t="s">
        <v>234</v>
      </c>
      <c r="D16" s="64">
        <f t="shared" ref="D16:N16" si="1">D10-D14</f>
        <v>-213616</v>
      </c>
      <c r="E16" s="64">
        <f t="shared" si="1"/>
        <v>0</v>
      </c>
      <c r="F16" s="64">
        <f t="shared" si="1"/>
        <v>0</v>
      </c>
      <c r="G16" s="64">
        <f t="shared" si="1"/>
        <v>-2982</v>
      </c>
      <c r="H16" s="64">
        <f t="shared" si="1"/>
        <v>0</v>
      </c>
      <c r="I16" s="64">
        <f t="shared" si="1"/>
        <v>0</v>
      </c>
      <c r="J16" s="64">
        <f t="shared" si="1"/>
        <v>-3914</v>
      </c>
      <c r="K16" s="64">
        <f t="shared" si="1"/>
        <v>0</v>
      </c>
      <c r="L16" s="64">
        <f t="shared" si="1"/>
        <v>0</v>
      </c>
      <c r="M16" s="64">
        <f t="shared" si="1"/>
        <v>-2608</v>
      </c>
      <c r="N16" s="64">
        <f t="shared" si="1"/>
        <v>0</v>
      </c>
      <c r="O16" s="90">
        <f>SUM(D16:N16)</f>
        <v>-223120</v>
      </c>
    </row>
    <row r="17" spans="2:15" ht="21.75" customHeight="1" x14ac:dyDescent="0.25">
      <c r="B17" s="23"/>
      <c r="C17" s="52" t="s">
        <v>235</v>
      </c>
      <c r="D17" s="64">
        <f>D16</f>
        <v>-213616</v>
      </c>
      <c r="E17" s="64">
        <f t="shared" ref="E17:N17" si="2">D17+E16</f>
        <v>-213616</v>
      </c>
      <c r="F17" s="64">
        <f t="shared" si="2"/>
        <v>-213616</v>
      </c>
      <c r="G17" s="64">
        <f t="shared" si="2"/>
        <v>-216598</v>
      </c>
      <c r="H17" s="64">
        <f t="shared" si="2"/>
        <v>-216598</v>
      </c>
      <c r="I17" s="64">
        <f t="shared" si="2"/>
        <v>-216598</v>
      </c>
      <c r="J17" s="64">
        <f t="shared" si="2"/>
        <v>-220512</v>
      </c>
      <c r="K17" s="64">
        <f t="shared" si="2"/>
        <v>-220512</v>
      </c>
      <c r="L17" s="64">
        <f t="shared" si="2"/>
        <v>-220512</v>
      </c>
      <c r="M17" s="64">
        <f t="shared" si="2"/>
        <v>-223120</v>
      </c>
      <c r="N17" s="64">
        <f t="shared" si="2"/>
        <v>-223120</v>
      </c>
      <c r="O17" s="91">
        <f>SUM(D17:N17)</f>
        <v>-2398418</v>
      </c>
    </row>
    <row r="18" spans="2:15" ht="13.5" customHeight="1" x14ac:dyDescent="0.2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</sheetData>
  <mergeCells count="11">
    <mergeCell ref="B18:O18"/>
    <mergeCell ref="B7:O7"/>
    <mergeCell ref="B9:O9"/>
    <mergeCell ref="B10:O10"/>
    <mergeCell ref="B11:O11"/>
    <mergeCell ref="B15:O15"/>
    <mergeCell ref="A1:P1"/>
    <mergeCell ref="A2:P2"/>
    <mergeCell ref="A3:P3"/>
    <mergeCell ref="A4:P4"/>
    <mergeCell ref="B6:O6"/>
  </mergeCells>
  <conditionalFormatting sqref="D16:O17">
    <cfRule type="cellIs" dxfId="5" priority="2" operator="greaterThanOrEqual">
      <formula>0</formula>
    </cfRule>
    <cfRule type="cellIs" dxfId="4" priority="3" operator="lessThan">
      <formula>0</formula>
    </cfRule>
  </conditionalFormatting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E6B3A"/>
  </sheetPr>
  <dimension ref="A1:G37"/>
  <sheetViews>
    <sheetView showGridLines="0" showRowColHeaders="0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baseColWidth="10" defaultColWidth="8.7109375" defaultRowHeight="15" x14ac:dyDescent="0.25"/>
  <cols>
    <col min="1" max="1" width="2" customWidth="1"/>
    <col min="2" max="2" width="4" customWidth="1"/>
    <col min="3" max="3" width="34" customWidth="1"/>
    <col min="4" max="6" width="16" customWidth="1"/>
    <col min="7" max="7" width="2" customWidth="1"/>
  </cols>
  <sheetData>
    <row r="1" spans="1:7" ht="4.5" customHeight="1" x14ac:dyDescent="0.25">
      <c r="A1" s="11"/>
      <c r="B1" s="11"/>
      <c r="C1" s="11"/>
      <c r="D1" s="11"/>
      <c r="E1" s="11"/>
      <c r="F1" s="11"/>
      <c r="G1" s="11"/>
    </row>
    <row r="2" spans="1:7" ht="43.5" customHeight="1" x14ac:dyDescent="0.25">
      <c r="A2" s="5" t="s">
        <v>236</v>
      </c>
      <c r="B2" s="5"/>
      <c r="C2" s="5"/>
      <c r="D2" s="5"/>
      <c r="E2" s="5"/>
      <c r="F2" s="5"/>
      <c r="G2" s="5"/>
    </row>
    <row r="3" spans="1:7" ht="18" customHeight="1" x14ac:dyDescent="0.25">
      <c r="A3" s="4" t="s">
        <v>237</v>
      </c>
      <c r="B3" s="4"/>
      <c r="C3" s="4"/>
      <c r="D3" s="4"/>
      <c r="E3" s="4"/>
      <c r="F3" s="4"/>
      <c r="G3" s="4"/>
    </row>
    <row r="4" spans="1:7" ht="4.5" customHeight="1" x14ac:dyDescent="0.25">
      <c r="A4" s="11"/>
      <c r="B4" s="11"/>
      <c r="C4" s="11"/>
      <c r="D4" s="11"/>
      <c r="E4" s="11"/>
      <c r="F4" s="11"/>
      <c r="G4" s="11"/>
    </row>
    <row r="5" spans="1:7" ht="12" customHeight="1" x14ac:dyDescent="0.25"/>
    <row r="6" spans="1:7" ht="13.5" customHeight="1" x14ac:dyDescent="0.25">
      <c r="B6" s="107" t="s">
        <v>238</v>
      </c>
      <c r="C6" s="107"/>
      <c r="D6" s="107"/>
      <c r="E6" s="107"/>
      <c r="F6" s="107"/>
    </row>
    <row r="7" spans="1:7" ht="7.5" customHeight="1" x14ac:dyDescent="0.25">
      <c r="B7" s="2"/>
      <c r="C7" s="2"/>
      <c r="D7" s="2"/>
      <c r="E7" s="2"/>
      <c r="F7" s="2"/>
    </row>
    <row r="8" spans="1:7" ht="25.5" customHeight="1" x14ac:dyDescent="0.25">
      <c r="B8" s="3" t="s">
        <v>239</v>
      </c>
      <c r="C8" s="3"/>
      <c r="D8" s="3"/>
      <c r="E8" s="3"/>
      <c r="F8" s="3"/>
    </row>
    <row r="9" spans="1:7" ht="4.5" customHeight="1" x14ac:dyDescent="0.25">
      <c r="B9" s="2"/>
      <c r="C9" s="2"/>
      <c r="D9" s="2"/>
      <c r="E9" s="2"/>
      <c r="F9" s="2"/>
    </row>
    <row r="10" spans="1:7" ht="27.75" customHeight="1" x14ac:dyDescent="0.25">
      <c r="C10" s="24" t="s">
        <v>124</v>
      </c>
      <c r="D10" s="24" t="s">
        <v>240</v>
      </c>
      <c r="E10" s="24" t="s">
        <v>241</v>
      </c>
      <c r="F10" s="24" t="s">
        <v>242</v>
      </c>
    </row>
    <row r="11" spans="1:7" ht="21.75" customHeight="1" x14ac:dyDescent="0.25">
      <c r="C11" s="92" t="s">
        <v>243</v>
      </c>
      <c r="D11" s="93">
        <f>'COMPTE DE RÉSULTAT'!D17</f>
        <v>53667</v>
      </c>
      <c r="E11" s="94">
        <f>IFERROR(D11/'COMPTE DE RÉSULTAT'!D12,0)</f>
        <v>0.47999678016582148</v>
      </c>
      <c r="F11" s="95" t="s">
        <v>244</v>
      </c>
    </row>
    <row r="12" spans="1:7" ht="21.75" customHeight="1" x14ac:dyDescent="0.25">
      <c r="C12" s="87" t="s">
        <v>245</v>
      </c>
      <c r="D12" s="64">
        <f>'COMPTE DE RÉSULTAT'!D16</f>
        <v>31306</v>
      </c>
      <c r="E12" s="96">
        <f>IFERROR(D12/'COMPTE DE RÉSULTAT'!D12,0)</f>
        <v>0.28000035775935317</v>
      </c>
      <c r="F12" s="95" t="s">
        <v>244</v>
      </c>
    </row>
    <row r="13" spans="1:7" ht="21.75" customHeight="1" x14ac:dyDescent="0.25">
      <c r="C13" s="92" t="s">
        <v>212</v>
      </c>
      <c r="D13" s="93">
        <f>'COMPTE DE RÉSULTAT'!D15</f>
        <v>24598</v>
      </c>
      <c r="E13" s="94">
        <f>IFERROR(D13/'COMPTE DE RÉSULTAT'!D12,0)</f>
        <v>0.22000411423256147</v>
      </c>
      <c r="F13" s="97" t="s">
        <v>246</v>
      </c>
    </row>
    <row r="14" spans="1:7" ht="21.75" customHeight="1" x14ac:dyDescent="0.25">
      <c r="C14" s="87" t="s">
        <v>247</v>
      </c>
      <c r="D14" s="64">
        <f>3000</f>
        <v>3000</v>
      </c>
      <c r="E14" s="96">
        <f>IFERROR(D14/'COMPTE DE RÉSULTAT'!D12,0)</f>
        <v>2.6831951487831709E-2</v>
      </c>
      <c r="F14" s="95" t="s">
        <v>244</v>
      </c>
    </row>
    <row r="15" spans="1:7" ht="21.75" customHeight="1" x14ac:dyDescent="0.25">
      <c r="C15" s="92" t="s">
        <v>248</v>
      </c>
      <c r="D15" s="93">
        <f>1925</f>
        <v>1925</v>
      </c>
      <c r="E15" s="94">
        <f>IFERROR(D15/'COMPTE DE RÉSULTAT'!D12,0)</f>
        <v>1.7217168871358681E-2</v>
      </c>
      <c r="F15" s="95" t="s">
        <v>244</v>
      </c>
    </row>
    <row r="16" spans="1:7" ht="24" customHeight="1" x14ac:dyDescent="0.25">
      <c r="B16" s="23"/>
      <c r="C16" s="52" t="s">
        <v>249</v>
      </c>
      <c r="D16" s="79">
        <f>D11+D12+D13+D14+D15</f>
        <v>114496</v>
      </c>
      <c r="E16" s="98">
        <f>IFERROR(D16/'COMPTE DE RÉSULTAT'!D12,0)</f>
        <v>1.0240503725169265</v>
      </c>
      <c r="F16" s="46"/>
    </row>
    <row r="17" spans="2:6" ht="13.5" customHeight="1" x14ac:dyDescent="0.25">
      <c r="B17" s="2"/>
      <c r="C17" s="2"/>
      <c r="D17" s="2"/>
      <c r="E17" s="2"/>
      <c r="F17" s="2"/>
    </row>
    <row r="18" spans="2:6" ht="25.5" customHeight="1" x14ac:dyDescent="0.25">
      <c r="B18" s="3" t="s">
        <v>250</v>
      </c>
      <c r="C18" s="3"/>
      <c r="D18" s="3"/>
      <c r="E18" s="3"/>
      <c r="F18" s="3"/>
    </row>
    <row r="19" spans="2:6" ht="4.5" customHeight="1" x14ac:dyDescent="0.25">
      <c r="B19" s="2"/>
      <c r="C19" s="2"/>
      <c r="D19" s="2"/>
      <c r="E19" s="2"/>
      <c r="F19" s="2"/>
    </row>
    <row r="20" spans="2:6" ht="24" customHeight="1" x14ac:dyDescent="0.25">
      <c r="B20" s="30"/>
      <c r="C20" s="92" t="s">
        <v>251</v>
      </c>
      <c r="D20" s="76">
        <f>'COMPTE DE RÉSULTAT'!D12</f>
        <v>111807</v>
      </c>
      <c r="E20" s="40"/>
      <c r="F20" s="40"/>
    </row>
    <row r="21" spans="2:6" ht="24" customHeight="1" x14ac:dyDescent="0.25">
      <c r="B21" s="30"/>
      <c r="C21" s="87" t="s">
        <v>252</v>
      </c>
      <c r="D21" s="78">
        <f>D11+D12+D14+D15</f>
        <v>89898</v>
      </c>
      <c r="E21" s="37"/>
      <c r="F21" s="37"/>
    </row>
    <row r="22" spans="2:6" ht="24" customHeight="1" x14ac:dyDescent="0.25">
      <c r="B22" s="30"/>
      <c r="C22" s="92" t="s">
        <v>253</v>
      </c>
      <c r="D22" s="76">
        <f>D13</f>
        <v>24598</v>
      </c>
      <c r="E22" s="40"/>
      <c r="F22" s="40"/>
    </row>
    <row r="23" spans="2:6" ht="24" customHeight="1" x14ac:dyDescent="0.25">
      <c r="B23" s="74"/>
      <c r="C23" s="87" t="s">
        <v>254</v>
      </c>
      <c r="D23" s="99">
        <f>IFERROR(1-(D13)/'COMPTE DE RÉSULTAT'!D12,0)</f>
        <v>0.7799958857674385</v>
      </c>
      <c r="E23" s="37"/>
      <c r="F23" s="37"/>
    </row>
    <row r="24" spans="2:6" ht="27.75" customHeight="1" x14ac:dyDescent="0.25">
      <c r="B24" s="25"/>
      <c r="C24" s="52" t="s">
        <v>255</v>
      </c>
      <c r="D24" s="85">
        <f>IFERROR((D11+D12+D14+D15)/(1-(D13)/'COMPTE DE RÉSULTAT'!D12),0)</f>
        <v>115254.45408157415</v>
      </c>
      <c r="E24" s="116" t="s">
        <v>256</v>
      </c>
      <c r="F24" s="116"/>
    </row>
    <row r="25" spans="2:6" ht="24" customHeight="1" x14ac:dyDescent="0.25">
      <c r="B25" s="74"/>
      <c r="C25" s="87" t="s">
        <v>257</v>
      </c>
      <c r="D25" s="100">
        <f>IFERROR(ROUND((D11+D12+D14+D15)/(1-(D13)/'COMPTE DE RÉSULTAT'!D12)/('COMPTE DE RÉSULTAT'!D12/261),0),0)</f>
        <v>269</v>
      </c>
      <c r="E25" s="37"/>
      <c r="F25" s="37"/>
    </row>
    <row r="26" spans="2:6" ht="24" customHeight="1" x14ac:dyDescent="0.25">
      <c r="B26" s="74"/>
      <c r="C26" s="92" t="s">
        <v>258</v>
      </c>
      <c r="D26" s="76">
        <f>IFERROR('COMPTE DE RÉSULTAT'!D12-(D11+D12+D14+D15)/(1-(D13)/'COMPTE DE RÉSULTAT'!D12),0)</f>
        <v>-3447.4540815741493</v>
      </c>
      <c r="E26" s="117" t="str">
        <f>IF(D26&gt;=0,"✅ Le CA prévisionnel dépasse le seuil","⚠️ CA insuffisant — revoir les hypothèses")</f>
        <v>⚠️ CA insuffisant — revoir les hypothèses</v>
      </c>
      <c r="F26" s="117"/>
    </row>
    <row r="27" spans="2:6" ht="24" customHeight="1" x14ac:dyDescent="0.25">
      <c r="B27" s="74"/>
      <c r="C27" s="87" t="s">
        <v>259</v>
      </c>
      <c r="D27" s="99">
        <f>IFERROR(('COMPTE DE RÉSULTAT'!D12-(D11+D12+D14+D15)/(1-(D13)/'COMPTE DE RÉSULTAT'!D12))/'COMPTE DE RÉSULTAT'!D12,0)</f>
        <v>-3.0833973557775E-2</v>
      </c>
      <c r="E27" s="118" t="str">
        <f>IF(D27&gt;=0,"✅ Le CA prévisionnel dépasse le seuil","⚠️ CA insuffisant — revoir les hypothèses")</f>
        <v>⚠️ CA insuffisant — revoir les hypothèses</v>
      </c>
      <c r="F27" s="118"/>
    </row>
    <row r="28" spans="2:6" ht="13.5" customHeight="1" x14ac:dyDescent="0.25">
      <c r="B28" s="2"/>
      <c r="C28" s="2"/>
      <c r="D28" s="2"/>
      <c r="E28" s="2"/>
      <c r="F28" s="2"/>
    </row>
    <row r="29" spans="2:6" ht="25.5" customHeight="1" x14ac:dyDescent="0.25">
      <c r="B29" s="3" t="s">
        <v>260</v>
      </c>
      <c r="C29" s="3"/>
      <c r="D29" s="3"/>
      <c r="E29" s="3"/>
      <c r="F29" s="3"/>
    </row>
    <row r="30" spans="2:6" ht="4.5" customHeight="1" x14ac:dyDescent="0.25">
      <c r="B30" s="2"/>
      <c r="C30" s="2"/>
      <c r="D30" s="2"/>
      <c r="E30" s="2"/>
      <c r="F30" s="2"/>
    </row>
    <row r="31" spans="2:6" ht="27.75" customHeight="1" x14ac:dyDescent="0.25">
      <c r="C31" s="24" t="s">
        <v>261</v>
      </c>
      <c r="D31" s="24" t="s">
        <v>73</v>
      </c>
      <c r="E31" s="24" t="s">
        <v>74</v>
      </c>
      <c r="F31" s="24" t="s">
        <v>75</v>
      </c>
    </row>
    <row r="32" spans="2:6" ht="24" customHeight="1" x14ac:dyDescent="0.25">
      <c r="B32" s="25"/>
      <c r="C32" s="101" t="s">
        <v>262</v>
      </c>
      <c r="D32" s="102">
        <f>'COMPTE DE RÉSULTAT'!D12</f>
        <v>111807</v>
      </c>
      <c r="E32" s="102">
        <f>'COMPTE DE RÉSULTAT'!E12</f>
        <v>132311</v>
      </c>
      <c r="F32" s="102">
        <f>'COMPTE DE RÉSULTAT'!F12</f>
        <v>147047</v>
      </c>
    </row>
    <row r="33" spans="2:6" ht="24" customHeight="1" x14ac:dyDescent="0.25">
      <c r="B33" s="25"/>
      <c r="C33" s="103" t="s">
        <v>263</v>
      </c>
      <c r="D33" s="104">
        <f>'COMPTE DE RÉSULTAT'!D27</f>
        <v>-2689</v>
      </c>
      <c r="E33" s="104">
        <f>'COMPTE DE RÉSULTAT'!E27</f>
        <v>2795.65</v>
      </c>
      <c r="F33" s="104">
        <f>'COMPTE DE RÉSULTAT'!F27</f>
        <v>8971.75</v>
      </c>
    </row>
    <row r="34" spans="2:6" ht="24" customHeight="1" x14ac:dyDescent="0.25">
      <c r="B34" s="30"/>
      <c r="C34" s="92" t="s">
        <v>264</v>
      </c>
      <c r="D34" s="105">
        <f>IFERROR('COMPTE DE RÉSULTAT'!D27/'COMPTE DE RÉSULTAT'!D12,0)</f>
        <v>-2.4050372516926488E-2</v>
      </c>
      <c r="E34" s="105">
        <f>IFERROR('COMPTE DE RÉSULTAT'!E27/'COMPTE DE RÉSULTAT'!E12,0)</f>
        <v>2.1129384556083774E-2</v>
      </c>
      <c r="F34" s="105">
        <f>IFERROR('COMPTE DE RÉSULTAT'!F27/'COMPTE DE RÉSULTAT'!F12,0)</f>
        <v>6.1012805429556539E-2</v>
      </c>
    </row>
    <row r="35" spans="2:6" ht="24" customHeight="1" x14ac:dyDescent="0.25">
      <c r="B35" s="25"/>
      <c r="C35" s="103" t="s">
        <v>265</v>
      </c>
      <c r="D35" s="104">
        <f>'COMPTE DE RÉSULTAT'!D22</f>
        <v>2236</v>
      </c>
      <c r="E35" s="104">
        <f>'COMPTE DE RÉSULTAT'!E22</f>
        <v>7939</v>
      </c>
      <c r="F35" s="104">
        <f>'COMPTE DE RÉSULTAT'!F22</f>
        <v>14705</v>
      </c>
    </row>
    <row r="36" spans="2:6" ht="24" customHeight="1" x14ac:dyDescent="0.25">
      <c r="B36" s="30"/>
      <c r="C36" s="92" t="s">
        <v>266</v>
      </c>
      <c r="D36" s="105">
        <f>IFERROR('COMPTE DE RÉSULTAT'!D22/'COMPTE DE RÉSULTAT'!D12,0)</f>
        <v>1.9998747842263902E-2</v>
      </c>
      <c r="E36" s="105">
        <f>IFERROR('COMPTE DE RÉSULTAT'!E22/'COMPTE DE RÉSULTAT'!E12,0)</f>
        <v>6.0002569703199282E-2</v>
      </c>
      <c r="F36" s="105">
        <f>IFERROR('COMPTE DE RÉSULTAT'!F22/'COMPTE DE RÉSULTAT'!F12,0)</f>
        <v>0.10000204016402919</v>
      </c>
    </row>
    <row r="37" spans="2:6" ht="13.5" customHeight="1" x14ac:dyDescent="0.25">
      <c r="B37" s="2"/>
      <c r="C37" s="2"/>
      <c r="D37" s="2"/>
      <c r="E37" s="2"/>
      <c r="F37" s="2"/>
    </row>
  </sheetData>
  <mergeCells count="18">
    <mergeCell ref="B29:F29"/>
    <mergeCell ref="B30:F30"/>
    <mergeCell ref="B37:F37"/>
    <mergeCell ref="B19:F19"/>
    <mergeCell ref="E24:F24"/>
    <mergeCell ref="E26:F26"/>
    <mergeCell ref="E27:F27"/>
    <mergeCell ref="B28:F28"/>
    <mergeCell ref="B7:F7"/>
    <mergeCell ref="B8:F8"/>
    <mergeCell ref="B9:F9"/>
    <mergeCell ref="B17:F17"/>
    <mergeCell ref="B18:F18"/>
    <mergeCell ref="A1:G1"/>
    <mergeCell ref="A2:G2"/>
    <mergeCell ref="A3:G3"/>
    <mergeCell ref="A4:G4"/>
    <mergeCell ref="B6:F6"/>
  </mergeCells>
  <conditionalFormatting sqref="D26">
    <cfRule type="cellIs" dxfId="3" priority="2" operator="greaterThanOrEqual">
      <formula>0</formula>
    </cfRule>
    <cfRule type="cellIs" dxfId="2" priority="3" operator="lessThan">
      <formula>0</formula>
    </cfRule>
  </conditionalFormatting>
  <conditionalFormatting sqref="D33:F34">
    <cfRule type="cellIs" dxfId="1" priority="4" operator="greaterThan">
      <formula>0</formula>
    </cfRule>
    <cfRule type="cellIs" dxfId="0" priority="5" operator="lessThanOrEqual">
      <formula>0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ACCUEIL</vt:lpstr>
      <vt:lpstr>HYPOTHÈSES</vt:lpstr>
      <vt:lpstr>INVESTISSEMENTS</vt:lpstr>
      <vt:lpstr>CA PRÉVISIONNEL</vt:lpstr>
      <vt:lpstr>COMPTE DE RÉSULTAT</vt:lpstr>
      <vt:lpstr>TRÉSORERIE</vt:lpstr>
      <vt:lpstr>SEUIL RENTABILITÉ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3</cp:revision>
  <dcterms:created xsi:type="dcterms:W3CDTF">2026-09-23T10:41:43Z</dcterms:created>
  <dcterms:modified xsi:type="dcterms:W3CDTF">2026-09-27T16:36:12Z</dcterms:modified>
  <dc:language>en-US</dc:language>
</cp:coreProperties>
</file>