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E057BD29-CB8B-4280-A16D-FE6124E166B1}" xr6:coauthVersionLast="47" xr6:coauthVersionMax="47" xr10:uidLastSave="{00000000-0000-0000-0000-000000000000}"/>
  <bookViews>
    <workbookView xWindow="690" yWindow="690" windowWidth="25500" windowHeight="13500" xr2:uid="{00000000-000D-0000-FFFF-FFFF00000000}"/>
  </bookViews>
  <sheets>
    <sheet name="Tableau de bord" sheetId="1" r:id="rId1"/>
    <sheet name="Registre" sheetId="2" r:id="rId2"/>
    <sheet name="Îlots" sheetId="3" r:id="rId3"/>
    <sheet name="Fertilisants" sheetId="4" r:id="rId4"/>
    <sheet name="Échanges &amp; stockage" sheetId="5" r:id="rId5"/>
    <sheet name="Fiche îlot" sheetId="6" r:id="rId6"/>
    <sheet name="Configuration" sheetId="7" r:id="rId7"/>
    <sheet name="Mode d'emploi" sheetId="8" r:id="rId8"/>
  </sheets>
  <definedNames>
    <definedName name="_xlnm._FilterDatabase" localSheetId="3" hidden="1">Fertilisants!$B$7:$S$47</definedName>
    <definedName name="_xlnm._FilterDatabase" localSheetId="2" hidden="1">Îlots!$B$7:$AC$57</definedName>
    <definedName name="_xlnm._FilterDatabase" localSheetId="1" hidden="1">Registre!$B$7:$X$507</definedName>
    <definedName name="AnneeRecolte">Configuration!$K$7</definedName>
    <definedName name="ApportCouvert">Configuration!$V$9</definedName>
    <definedName name="CalComplement">Configuration!$C$35:$L$41</definedName>
    <definedName name="CalOccupations">Configuration!$B$24:$B$30</definedName>
    <definedName name="CalPrincipal">Configuration!$C$24:$L$30</definedName>
    <definedName name="CalTypes">Configuration!$C$22:$L$22</definedName>
    <definedName name="CulturesCat">Configuration!$O$8:$O$47</definedName>
    <definedName name="CulturesNoms">Configuration!$N$8:$N$47</definedName>
    <definedName name="CulturesUnite">Configuration!$P$8:$P$47</definedName>
    <definedName name="DebutCampagne">Configuration!$K$8</definedName>
    <definedName name="DelaiSaisie">Configuration!$K$17</definedName>
    <definedName name="_xlnm.Print_Area" localSheetId="6">Configuration!$A$1:$M$50</definedName>
    <definedName name="_xlnm.Print_Area" localSheetId="4">'Échanges &amp; stockage'!$A$1:$N$77</definedName>
    <definedName name="_xlnm.Print_Area" localSheetId="3">Fertilisants!$A$1:$T$48</definedName>
    <definedName name="_xlnm.Print_Area" localSheetId="5">'Fiche îlot'!$A$1:$O$60</definedName>
    <definedName name="_xlnm.Print_Area" localSheetId="2">Îlots!$A$1:$AD$58</definedName>
    <definedName name="_xlnm.Print_Area" localSheetId="7">'Mode d''emploi'!$A$1:$E$60</definedName>
    <definedName name="_xlnm.Print_Area" localSheetId="1">Registre!$A$1:$Y$507</definedName>
    <definedName name="_xlnm.Print_Area" localSheetId="0">'Tableau de bord'!$A$1:$U$53</definedName>
    <definedName name="_xlnm.Print_Titles" localSheetId="3">Fertilisants!$6:$7</definedName>
    <definedName name="_xlnm.Print_Titles" localSheetId="2">Îlots!$6:$7</definedName>
    <definedName name="_xlnm.Print_Titles" localSheetId="1">Registre!$6:$7</definedName>
    <definedName name="FicheIlot">'Fiche îlot'!$D$7</definedName>
    <definedName name="FinCampagne">Configuration!$K$9</definedName>
    <definedName name="ListeApportSur">OFFSET(Configuration!$V$8,0,0,MAX(1,COUNTIF(Configuration!$V$8:$V$27,"?*")),1)</definedName>
    <definedName name="ListeCategories">OFFSET(Configuration!$T$8,0,0,MAX(1,COUNTIF(Configuration!$T$8:$T$27,"?*")),1)</definedName>
    <definedName name="ListeCouverts">OFFSET(Configuration!$Y$8,0,0,MAX(1,COUNTIF(Configuration!$Y$8:$Y$27,"?*")),1)</definedName>
    <definedName name="ListeCultures">OFFSET(Configuration!$N$8,0,0,MAX(1,COUNTIF(Configuration!$N$8:$N$47,"?*")),1)</definedName>
    <definedName name="ListeEtats">OFFSET(Configuration!$U$8,0,0,MAX(1,COUNTIF(Configuration!$U$8:$U$27,"?*")),1)</definedName>
    <definedName name="ListeFaireValoir">OFFSET(Configuration!$Z$8,0,0,MAX(1,COUNTIF(Configuration!$Z$8:$Z$27,"?*")),1)</definedName>
    <definedName name="ListeFertilisants">OFFSET(Fertilisants!$B$8,0,0,MAX(1,COUNTIF(Fertilisants!$B$8:$B$47,"?*")),1)</definedName>
    <definedName name="ListeIlots">OFFSET(Îlots!$D$8,0,0,MAX(1,COUNTIF(Îlots!$D$8:$D$57,"?*")),1)</definedName>
    <definedName name="ListeMateriel">OFFSET(Configuration!$W$8,0,0,MAX(1,COUNTIF(Configuration!$W$8:$W$27,"?*")),1)</definedName>
    <definedName name="ListeNature">OFFSET(Configuration!$AA$8,0,0,MAX(1,COUNTIF(Configuration!$AA$8:$AA$27,"?*")),1)</definedName>
    <definedName name="ListeOccupations">Configuration!$B$24:$B$30</definedName>
    <definedName name="ListeRealise">OFFSET(Configuration!$X$8,0,0,MAX(1,COUNTIF(Configuration!$X$8:$X$27,"?*")),1)</definedName>
    <definedName name="ListeRegime">OFFSET(Configuration!$AC$8,0,0,MAX(1,COUNTIF(Configuration!$AC$8:$AC$27,"?*")),1)</definedName>
    <definedName name="ListeSource">OFFSET(Configuration!$AB$8,0,0,MAX(1,COUNTIF(Configuration!$AB$8:$AB$27,"?*")),1)</definedName>
    <definedName name="ListeTypes">OFFSET(Configuration!$R$8,0,0,MAX(1,COUNTIF(Configuration!$R$8:$R$27,"?*")),1)</definedName>
    <definedName name="ListeUnites">OFFSET(Configuration!$S$8,0,0,MAX(1,COUNTIF(Configuration!$S$8:$S$27,"?*")),1)</definedName>
    <definedName name="OccCouvert">Configuration!$B$28</definedName>
    <definedName name="PlafondN">Configuration!$K$15</definedName>
    <definedName name="RaisonSociale">Configuration!$C$7</definedName>
    <definedName name="SAU">Configuration!$K$10</definedName>
    <definedName name="TolerancePPF">Configuration!$K$16</definedName>
    <definedName name="ZoneVulnerable">Configuration!$K$13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7" l="1"/>
  <c r="B49" i="7"/>
  <c r="B48" i="7"/>
  <c r="B47" i="7"/>
  <c r="B46" i="7"/>
  <c r="B45" i="7"/>
  <c r="B44" i="7"/>
  <c r="B41" i="7"/>
  <c r="B40" i="7"/>
  <c r="B39" i="7"/>
  <c r="B38" i="7"/>
  <c r="B37" i="7"/>
  <c r="B36" i="7"/>
  <c r="B35" i="7"/>
  <c r="K11" i="7"/>
  <c r="K12" i="7" s="1"/>
  <c r="K9" i="7"/>
  <c r="K8" i="7"/>
  <c r="L2" i="7"/>
  <c r="L1" i="7"/>
  <c r="I21" i="6"/>
  <c r="F21" i="6"/>
  <c r="B21" i="6"/>
  <c r="N2" i="6"/>
  <c r="N1" i="6"/>
  <c r="I74" i="5"/>
  <c r="H74" i="5"/>
  <c r="I73" i="5"/>
  <c r="H73" i="5"/>
  <c r="I72" i="5"/>
  <c r="H72" i="5"/>
  <c r="I71" i="5"/>
  <c r="H71" i="5"/>
  <c r="I70" i="5"/>
  <c r="H70" i="5"/>
  <c r="I69" i="5"/>
  <c r="H69" i="5"/>
  <c r="I68" i="5"/>
  <c r="H68" i="5"/>
  <c r="I67" i="5"/>
  <c r="H67" i="5"/>
  <c r="I66" i="5"/>
  <c r="H66" i="5"/>
  <c r="I65" i="5"/>
  <c r="H65" i="5"/>
  <c r="I64" i="5"/>
  <c r="H64" i="5"/>
  <c r="I63" i="5"/>
  <c r="H63" i="5"/>
  <c r="I62" i="5"/>
  <c r="H62" i="5"/>
  <c r="I61" i="5"/>
  <c r="H61" i="5"/>
  <c r="I60" i="5"/>
  <c r="H60" i="5"/>
  <c r="I59" i="5"/>
  <c r="H59" i="5"/>
  <c r="I58" i="5"/>
  <c r="H58" i="5"/>
  <c r="I57" i="5"/>
  <c r="H57" i="5"/>
  <c r="I56" i="5"/>
  <c r="H56" i="5"/>
  <c r="I55" i="5"/>
  <c r="H55" i="5"/>
  <c r="J51" i="5"/>
  <c r="I51" i="5"/>
  <c r="J50" i="5"/>
  <c r="I50" i="5"/>
  <c r="J49" i="5"/>
  <c r="I49" i="5"/>
  <c r="J48" i="5"/>
  <c r="I48" i="5"/>
  <c r="J47" i="5"/>
  <c r="I47" i="5"/>
  <c r="J46" i="5"/>
  <c r="I46" i="5"/>
  <c r="J45" i="5"/>
  <c r="I45" i="5"/>
  <c r="J44" i="5"/>
  <c r="I44" i="5"/>
  <c r="J43" i="5"/>
  <c r="I43" i="5"/>
  <c r="J42" i="5"/>
  <c r="I42" i="5"/>
  <c r="J41" i="5"/>
  <c r="I41" i="5"/>
  <c r="J40" i="5"/>
  <c r="I40" i="5"/>
  <c r="J39" i="5"/>
  <c r="I39" i="5"/>
  <c r="J38" i="5"/>
  <c r="I38" i="5"/>
  <c r="J37" i="5"/>
  <c r="I37" i="5"/>
  <c r="J36" i="5"/>
  <c r="I36" i="5"/>
  <c r="J35" i="5"/>
  <c r="I35" i="5"/>
  <c r="J34" i="5"/>
  <c r="I34" i="5"/>
  <c r="J33" i="5"/>
  <c r="I33" i="5"/>
  <c r="J32" i="5"/>
  <c r="I32" i="5"/>
  <c r="J31" i="5"/>
  <c r="I31" i="5"/>
  <c r="J30" i="5"/>
  <c r="I30" i="5"/>
  <c r="J29" i="5"/>
  <c r="I29" i="5"/>
  <c r="J28" i="5"/>
  <c r="I28" i="5"/>
  <c r="J27" i="5"/>
  <c r="I27" i="5"/>
  <c r="J26" i="5"/>
  <c r="I26" i="5"/>
  <c r="J25" i="5"/>
  <c r="I25" i="5"/>
  <c r="J24" i="5"/>
  <c r="I24" i="5"/>
  <c r="J23" i="5"/>
  <c r="I23" i="5"/>
  <c r="J22" i="5"/>
  <c r="I22" i="5"/>
  <c r="J21" i="5"/>
  <c r="I21" i="5"/>
  <c r="J20" i="5"/>
  <c r="I20" i="5"/>
  <c r="J19" i="5"/>
  <c r="I19" i="5"/>
  <c r="J18" i="5"/>
  <c r="I18" i="5"/>
  <c r="J17" i="5"/>
  <c r="I17" i="5"/>
  <c r="J16" i="5"/>
  <c r="I16" i="5"/>
  <c r="J15" i="5"/>
  <c r="B7" i="5" s="1"/>
  <c r="I15" i="5"/>
  <c r="J14" i="5"/>
  <c r="I14" i="5"/>
  <c r="J13" i="5"/>
  <c r="E7" i="5" s="1"/>
  <c r="I13" i="5"/>
  <c r="J12" i="5"/>
  <c r="D7" i="5" s="1"/>
  <c r="I12" i="5"/>
  <c r="K7" i="5"/>
  <c r="G7" i="5"/>
  <c r="M2" i="5"/>
  <c r="M1" i="5"/>
  <c r="R47" i="4"/>
  <c r="Q47" i="4"/>
  <c r="P47" i="4"/>
  <c r="O47" i="4"/>
  <c r="I47" i="4"/>
  <c r="R46" i="4"/>
  <c r="Q46" i="4"/>
  <c r="P46" i="4"/>
  <c r="O46" i="4"/>
  <c r="I46" i="4"/>
  <c r="R45" i="4"/>
  <c r="Q45" i="4"/>
  <c r="P45" i="4"/>
  <c r="O45" i="4"/>
  <c r="I45" i="4"/>
  <c r="R44" i="4"/>
  <c r="Q44" i="4"/>
  <c r="P44" i="4"/>
  <c r="O44" i="4"/>
  <c r="I44" i="4"/>
  <c r="R43" i="4"/>
  <c r="Q43" i="4"/>
  <c r="P43" i="4"/>
  <c r="O43" i="4"/>
  <c r="I43" i="4"/>
  <c r="R42" i="4"/>
  <c r="Q42" i="4"/>
  <c r="P42" i="4"/>
  <c r="O42" i="4"/>
  <c r="I42" i="4"/>
  <c r="R41" i="4"/>
  <c r="Q41" i="4"/>
  <c r="P41" i="4"/>
  <c r="O41" i="4"/>
  <c r="I41" i="4"/>
  <c r="R40" i="4"/>
  <c r="Q40" i="4"/>
  <c r="P40" i="4"/>
  <c r="O40" i="4"/>
  <c r="I40" i="4"/>
  <c r="R39" i="4"/>
  <c r="Q39" i="4"/>
  <c r="P39" i="4"/>
  <c r="O39" i="4"/>
  <c r="I39" i="4"/>
  <c r="R38" i="4"/>
  <c r="Q38" i="4"/>
  <c r="P38" i="4"/>
  <c r="O38" i="4"/>
  <c r="I38" i="4"/>
  <c r="R37" i="4"/>
  <c r="Q37" i="4"/>
  <c r="P37" i="4"/>
  <c r="O37" i="4"/>
  <c r="I37" i="4"/>
  <c r="R36" i="4"/>
  <c r="Q36" i="4"/>
  <c r="P36" i="4"/>
  <c r="O36" i="4"/>
  <c r="I36" i="4"/>
  <c r="R35" i="4"/>
  <c r="Q35" i="4"/>
  <c r="P35" i="4"/>
  <c r="O35" i="4"/>
  <c r="I35" i="4"/>
  <c r="R34" i="4"/>
  <c r="Q34" i="4"/>
  <c r="P34" i="4"/>
  <c r="O34" i="4"/>
  <c r="I34" i="4"/>
  <c r="R33" i="4"/>
  <c r="Q33" i="4"/>
  <c r="P33" i="4"/>
  <c r="O33" i="4"/>
  <c r="I33" i="4"/>
  <c r="R32" i="4"/>
  <c r="Q32" i="4"/>
  <c r="P32" i="4"/>
  <c r="O32" i="4"/>
  <c r="I32" i="4"/>
  <c r="R31" i="4"/>
  <c r="Q31" i="4"/>
  <c r="P31" i="4"/>
  <c r="O31" i="4"/>
  <c r="I31" i="4"/>
  <c r="R30" i="4"/>
  <c r="Q30" i="4"/>
  <c r="P30" i="4"/>
  <c r="O30" i="4"/>
  <c r="I30" i="4"/>
  <c r="R29" i="4"/>
  <c r="Q29" i="4"/>
  <c r="P29" i="4"/>
  <c r="O29" i="4"/>
  <c r="I29" i="4"/>
  <c r="R28" i="4"/>
  <c r="Q28" i="4"/>
  <c r="P28" i="4"/>
  <c r="O28" i="4"/>
  <c r="I28" i="4"/>
  <c r="R27" i="4"/>
  <c r="Q27" i="4"/>
  <c r="P27" i="4"/>
  <c r="O27" i="4"/>
  <c r="I27" i="4"/>
  <c r="R26" i="4"/>
  <c r="Q26" i="4"/>
  <c r="P26" i="4"/>
  <c r="O26" i="4"/>
  <c r="I26" i="4"/>
  <c r="R25" i="4"/>
  <c r="Q25" i="4"/>
  <c r="P25" i="4"/>
  <c r="O25" i="4"/>
  <c r="I25" i="4"/>
  <c r="R24" i="4"/>
  <c r="Q24" i="4"/>
  <c r="P24" i="4"/>
  <c r="O24" i="4"/>
  <c r="I24" i="4"/>
  <c r="R23" i="4"/>
  <c r="Q23" i="4"/>
  <c r="P23" i="4"/>
  <c r="O23" i="4"/>
  <c r="I23" i="4"/>
  <c r="R22" i="4"/>
  <c r="Q22" i="4"/>
  <c r="P22" i="4"/>
  <c r="O22" i="4"/>
  <c r="I22" i="4"/>
  <c r="R21" i="4"/>
  <c r="Q21" i="4"/>
  <c r="P21" i="4"/>
  <c r="O21" i="4"/>
  <c r="I21" i="4"/>
  <c r="R20" i="4"/>
  <c r="Q20" i="4"/>
  <c r="P20" i="4"/>
  <c r="O20" i="4"/>
  <c r="I20" i="4"/>
  <c r="R19" i="4"/>
  <c r="Q19" i="4"/>
  <c r="P19" i="4"/>
  <c r="O19" i="4"/>
  <c r="I19" i="4"/>
  <c r="R18" i="4"/>
  <c r="Q18" i="4"/>
  <c r="P18" i="4"/>
  <c r="O18" i="4"/>
  <c r="I18" i="4"/>
  <c r="O17" i="4"/>
  <c r="I17" i="4"/>
  <c r="O16" i="4"/>
  <c r="I16" i="4"/>
  <c r="O15" i="4"/>
  <c r="I15" i="4"/>
  <c r="O14" i="4"/>
  <c r="I14" i="4"/>
  <c r="O13" i="4"/>
  <c r="I13" i="4"/>
  <c r="O12" i="4"/>
  <c r="I12" i="4"/>
  <c r="O11" i="4"/>
  <c r="I11" i="4"/>
  <c r="O10" i="4"/>
  <c r="I10" i="4"/>
  <c r="O9" i="4"/>
  <c r="I9" i="4"/>
  <c r="O8" i="4"/>
  <c r="I8" i="4"/>
  <c r="S2" i="4"/>
  <c r="S1" i="4"/>
  <c r="S58" i="3"/>
  <c r="E58" i="3"/>
  <c r="AB57" i="3"/>
  <c r="Y57" i="3"/>
  <c r="W57" i="3"/>
  <c r="T57" i="3"/>
  <c r="R57" i="3"/>
  <c r="O57" i="3"/>
  <c r="M57" i="3"/>
  <c r="D57" i="3"/>
  <c r="X57" i="3" s="1"/>
  <c r="AB56" i="3"/>
  <c r="Y56" i="3"/>
  <c r="X56" i="3"/>
  <c r="W56" i="3"/>
  <c r="V56" i="3"/>
  <c r="U56" i="3"/>
  <c r="R56" i="3"/>
  <c r="O56" i="3"/>
  <c r="M56" i="3"/>
  <c r="D56" i="3"/>
  <c r="T56" i="3" s="1"/>
  <c r="AB55" i="3"/>
  <c r="X55" i="3"/>
  <c r="V55" i="3"/>
  <c r="U55" i="3"/>
  <c r="T55" i="3"/>
  <c r="R55" i="3"/>
  <c r="O55" i="3"/>
  <c r="M55" i="3"/>
  <c r="D55" i="3"/>
  <c r="AB54" i="3"/>
  <c r="Y54" i="3"/>
  <c r="X54" i="3"/>
  <c r="W54" i="3"/>
  <c r="V54" i="3"/>
  <c r="U54" i="3"/>
  <c r="R54" i="3"/>
  <c r="O54" i="3"/>
  <c r="M54" i="3"/>
  <c r="D54" i="3"/>
  <c r="T54" i="3" s="1"/>
  <c r="AB53" i="3"/>
  <c r="W53" i="3"/>
  <c r="T53" i="3"/>
  <c r="V53" i="3" s="1"/>
  <c r="R53" i="3"/>
  <c r="O53" i="3"/>
  <c r="M53" i="3"/>
  <c r="D53" i="3"/>
  <c r="AB52" i="3"/>
  <c r="Y52" i="3"/>
  <c r="X52" i="3"/>
  <c r="W52" i="3"/>
  <c r="U52" i="3"/>
  <c r="T52" i="3"/>
  <c r="V52" i="3" s="1"/>
  <c r="R52" i="3"/>
  <c r="O52" i="3"/>
  <c r="M52" i="3"/>
  <c r="D52" i="3"/>
  <c r="AB51" i="3"/>
  <c r="X51" i="3"/>
  <c r="W51" i="3"/>
  <c r="R51" i="3"/>
  <c r="O51" i="3"/>
  <c r="M51" i="3"/>
  <c r="D51" i="3"/>
  <c r="AB50" i="3"/>
  <c r="R50" i="3"/>
  <c r="O50" i="3"/>
  <c r="M50" i="3"/>
  <c r="D50" i="3"/>
  <c r="AB49" i="3"/>
  <c r="Y49" i="3"/>
  <c r="X49" i="3"/>
  <c r="W49" i="3"/>
  <c r="R49" i="3"/>
  <c r="O49" i="3"/>
  <c r="M49" i="3"/>
  <c r="D49" i="3"/>
  <c r="T49" i="3" s="1"/>
  <c r="AB48" i="3"/>
  <c r="Y48" i="3"/>
  <c r="X48" i="3"/>
  <c r="W48" i="3"/>
  <c r="V48" i="3"/>
  <c r="U48" i="3"/>
  <c r="R48" i="3"/>
  <c r="O48" i="3"/>
  <c r="M48" i="3"/>
  <c r="D48" i="3"/>
  <c r="T48" i="3" s="1"/>
  <c r="AB47" i="3"/>
  <c r="X47" i="3"/>
  <c r="W47" i="3"/>
  <c r="T47" i="3"/>
  <c r="R47" i="3"/>
  <c r="O47" i="3"/>
  <c r="M47" i="3"/>
  <c r="D47" i="3"/>
  <c r="Y47" i="3" s="1"/>
  <c r="AB46" i="3"/>
  <c r="Y46" i="3"/>
  <c r="X46" i="3"/>
  <c r="R46" i="3"/>
  <c r="O46" i="3"/>
  <c r="M46" i="3"/>
  <c r="D46" i="3"/>
  <c r="AB45" i="3"/>
  <c r="R45" i="3"/>
  <c r="O45" i="3"/>
  <c r="M45" i="3"/>
  <c r="D45" i="3"/>
  <c r="AB44" i="3"/>
  <c r="Y44" i="3"/>
  <c r="W44" i="3"/>
  <c r="T44" i="3"/>
  <c r="R44" i="3"/>
  <c r="O44" i="3"/>
  <c r="M44" i="3"/>
  <c r="D44" i="3"/>
  <c r="X44" i="3" s="1"/>
  <c r="AB43" i="3"/>
  <c r="R43" i="3"/>
  <c r="O43" i="3"/>
  <c r="M43" i="3"/>
  <c r="D43" i="3"/>
  <c r="AB42" i="3"/>
  <c r="Y42" i="3"/>
  <c r="X42" i="3"/>
  <c r="U42" i="3"/>
  <c r="T42" i="3"/>
  <c r="V42" i="3" s="1"/>
  <c r="R42" i="3"/>
  <c r="O42" i="3"/>
  <c r="M42" i="3"/>
  <c r="D42" i="3"/>
  <c r="W42" i="3" s="1"/>
  <c r="AB41" i="3"/>
  <c r="T41" i="3"/>
  <c r="V41" i="3" s="1"/>
  <c r="R41" i="3"/>
  <c r="O41" i="3"/>
  <c r="M41" i="3"/>
  <c r="D41" i="3"/>
  <c r="AB40" i="3"/>
  <c r="Y40" i="3"/>
  <c r="R40" i="3"/>
  <c r="O40" i="3"/>
  <c r="M40" i="3"/>
  <c r="D40" i="3"/>
  <c r="AB39" i="3"/>
  <c r="W39" i="3"/>
  <c r="T39" i="3"/>
  <c r="R39" i="3"/>
  <c r="O39" i="3"/>
  <c r="M39" i="3"/>
  <c r="D39" i="3"/>
  <c r="AB38" i="3"/>
  <c r="Y38" i="3"/>
  <c r="X38" i="3"/>
  <c r="W38" i="3"/>
  <c r="T38" i="3"/>
  <c r="R38" i="3"/>
  <c r="O38" i="3"/>
  <c r="M38" i="3"/>
  <c r="D38" i="3"/>
  <c r="AB37" i="3"/>
  <c r="Y37" i="3"/>
  <c r="X37" i="3"/>
  <c r="W37" i="3"/>
  <c r="T37" i="3"/>
  <c r="R37" i="3"/>
  <c r="O37" i="3"/>
  <c r="M37" i="3"/>
  <c r="D37" i="3"/>
  <c r="AB36" i="3"/>
  <c r="Y36" i="3"/>
  <c r="X36" i="3"/>
  <c r="W36" i="3"/>
  <c r="U36" i="3"/>
  <c r="T36" i="3"/>
  <c r="V36" i="3" s="1"/>
  <c r="R36" i="3"/>
  <c r="O36" i="3"/>
  <c r="M36" i="3"/>
  <c r="D36" i="3"/>
  <c r="AB35" i="3"/>
  <c r="Y35" i="3"/>
  <c r="X35" i="3"/>
  <c r="U35" i="3"/>
  <c r="T35" i="3"/>
  <c r="V35" i="3" s="1"/>
  <c r="R35" i="3"/>
  <c r="O35" i="3"/>
  <c r="M35" i="3"/>
  <c r="D35" i="3"/>
  <c r="W35" i="3" s="1"/>
  <c r="AB34" i="3"/>
  <c r="Y34" i="3"/>
  <c r="X34" i="3"/>
  <c r="V34" i="3"/>
  <c r="U34" i="3"/>
  <c r="R34" i="3"/>
  <c r="O34" i="3"/>
  <c r="M34" i="3"/>
  <c r="D34" i="3"/>
  <c r="T34" i="3" s="1"/>
  <c r="AB33" i="3"/>
  <c r="X33" i="3"/>
  <c r="W33" i="3"/>
  <c r="T33" i="3"/>
  <c r="R33" i="3"/>
  <c r="O33" i="3"/>
  <c r="M33" i="3"/>
  <c r="D33" i="3"/>
  <c r="Y33" i="3" s="1"/>
  <c r="AB32" i="3"/>
  <c r="Y32" i="3"/>
  <c r="X32" i="3"/>
  <c r="W32" i="3"/>
  <c r="U32" i="3"/>
  <c r="T32" i="3"/>
  <c r="V32" i="3" s="1"/>
  <c r="R32" i="3"/>
  <c r="O32" i="3"/>
  <c r="M32" i="3"/>
  <c r="D32" i="3"/>
  <c r="AB31" i="3"/>
  <c r="Y31" i="3"/>
  <c r="X31" i="3"/>
  <c r="W31" i="3"/>
  <c r="U31" i="3"/>
  <c r="T31" i="3"/>
  <c r="V31" i="3" s="1"/>
  <c r="R31" i="3"/>
  <c r="O31" i="3"/>
  <c r="M31" i="3"/>
  <c r="D31" i="3"/>
  <c r="AB30" i="3"/>
  <c r="R30" i="3"/>
  <c r="O30" i="3"/>
  <c r="M30" i="3"/>
  <c r="D30" i="3"/>
  <c r="AB29" i="3"/>
  <c r="Y29" i="3"/>
  <c r="X29" i="3"/>
  <c r="W29" i="3"/>
  <c r="T29" i="3"/>
  <c r="R29" i="3"/>
  <c r="O29" i="3"/>
  <c r="M29" i="3"/>
  <c r="D29" i="3"/>
  <c r="AB28" i="3"/>
  <c r="W28" i="3"/>
  <c r="R28" i="3"/>
  <c r="O28" i="3"/>
  <c r="M28" i="3"/>
  <c r="D28" i="3"/>
  <c r="AB27" i="3"/>
  <c r="Y27" i="3"/>
  <c r="X27" i="3"/>
  <c r="W27" i="3"/>
  <c r="T27" i="3"/>
  <c r="R27" i="3"/>
  <c r="O27" i="3"/>
  <c r="M27" i="3"/>
  <c r="D27" i="3"/>
  <c r="AB26" i="3"/>
  <c r="X26" i="3"/>
  <c r="W26" i="3"/>
  <c r="R26" i="3"/>
  <c r="O26" i="3"/>
  <c r="M26" i="3"/>
  <c r="D26" i="3"/>
  <c r="AB25" i="3"/>
  <c r="Y25" i="3"/>
  <c r="X25" i="3"/>
  <c r="W25" i="3"/>
  <c r="V25" i="3"/>
  <c r="U25" i="3"/>
  <c r="T25" i="3"/>
  <c r="R25" i="3"/>
  <c r="O25" i="3"/>
  <c r="M25" i="3"/>
  <c r="D25" i="3"/>
  <c r="AB24" i="3"/>
  <c r="R24" i="3"/>
  <c r="O24" i="3"/>
  <c r="M24" i="3"/>
  <c r="D24" i="3"/>
  <c r="AB23" i="3"/>
  <c r="Y23" i="3"/>
  <c r="X23" i="3"/>
  <c r="W23" i="3"/>
  <c r="V23" i="3"/>
  <c r="T23" i="3"/>
  <c r="U23" i="3" s="1"/>
  <c r="R23" i="3"/>
  <c r="O23" i="3"/>
  <c r="M23" i="3"/>
  <c r="D23" i="3"/>
  <c r="AB22" i="3"/>
  <c r="X22" i="3"/>
  <c r="T22" i="3"/>
  <c r="R22" i="3"/>
  <c r="O22" i="3"/>
  <c r="M22" i="3"/>
  <c r="D22" i="3"/>
  <c r="AB21" i="3"/>
  <c r="Y21" i="3"/>
  <c r="X21" i="3"/>
  <c r="R21" i="3"/>
  <c r="O21" i="3"/>
  <c r="M21" i="3"/>
  <c r="D21" i="3"/>
  <c r="AB20" i="3"/>
  <c r="R20" i="3"/>
  <c r="O20" i="3"/>
  <c r="M20" i="3"/>
  <c r="D20" i="3"/>
  <c r="AB19" i="3"/>
  <c r="X19" i="3"/>
  <c r="W19" i="3"/>
  <c r="T19" i="3"/>
  <c r="R19" i="3"/>
  <c r="O19" i="3"/>
  <c r="M19" i="3"/>
  <c r="D19" i="3"/>
  <c r="Y19" i="3" s="1"/>
  <c r="AB18" i="3"/>
  <c r="Y18" i="3"/>
  <c r="X18" i="3"/>
  <c r="W18" i="3"/>
  <c r="V18" i="3"/>
  <c r="T18" i="3"/>
  <c r="U18" i="3" s="1"/>
  <c r="R18" i="3"/>
  <c r="O18" i="3"/>
  <c r="M18" i="3"/>
  <c r="D18" i="3"/>
  <c r="AB17" i="3"/>
  <c r="Y17" i="3"/>
  <c r="W17" i="3"/>
  <c r="T17" i="3"/>
  <c r="R17" i="3"/>
  <c r="O17" i="3"/>
  <c r="M17" i="3"/>
  <c r="D17" i="3"/>
  <c r="X17" i="3" s="1"/>
  <c r="AB16" i="3"/>
  <c r="R16" i="3"/>
  <c r="O16" i="3"/>
  <c r="M16" i="3"/>
  <c r="D16" i="3"/>
  <c r="AB15" i="3"/>
  <c r="R15" i="3"/>
  <c r="O15" i="3"/>
  <c r="M15" i="3"/>
  <c r="D15" i="3"/>
  <c r="AB14" i="3"/>
  <c r="X14" i="3"/>
  <c r="R14" i="3"/>
  <c r="O14" i="3"/>
  <c r="M14" i="3"/>
  <c r="D14" i="3"/>
  <c r="AB13" i="3"/>
  <c r="R13" i="3"/>
  <c r="O13" i="3"/>
  <c r="M13" i="3"/>
  <c r="D13" i="3"/>
  <c r="AB12" i="3"/>
  <c r="X12" i="3"/>
  <c r="R12" i="3"/>
  <c r="O12" i="3"/>
  <c r="M12" i="3"/>
  <c r="D12" i="3"/>
  <c r="AB11" i="3"/>
  <c r="X11" i="3"/>
  <c r="R11" i="3"/>
  <c r="O11" i="3"/>
  <c r="M11" i="3"/>
  <c r="D11" i="3"/>
  <c r="AB10" i="3"/>
  <c r="R10" i="3"/>
  <c r="O10" i="3"/>
  <c r="M10" i="3"/>
  <c r="D10" i="3"/>
  <c r="AB9" i="3"/>
  <c r="X9" i="3"/>
  <c r="R9" i="3"/>
  <c r="O9" i="3"/>
  <c r="M9" i="3"/>
  <c r="D9" i="3"/>
  <c r="AB8" i="3"/>
  <c r="X8" i="3"/>
  <c r="R8" i="3"/>
  <c r="O8" i="3"/>
  <c r="M8" i="3"/>
  <c r="D8" i="3"/>
  <c r="AC2" i="3"/>
  <c r="AC1" i="3"/>
  <c r="AR507" i="2"/>
  <c r="AG507" i="2"/>
  <c r="AC507" i="2"/>
  <c r="AB507" i="2"/>
  <c r="AA507" i="2"/>
  <c r="Z507" i="2"/>
  <c r="W507" i="2"/>
  <c r="L507" i="2"/>
  <c r="B507" i="2"/>
  <c r="AR506" i="2"/>
  <c r="AQ506" i="2"/>
  <c r="AN506" i="2"/>
  <c r="AM506" i="2"/>
  <c r="AG506" i="2"/>
  <c r="AD506" i="2"/>
  <c r="AB506" i="2"/>
  <c r="AA506" i="2"/>
  <c r="Z506" i="2"/>
  <c r="W506" i="2"/>
  <c r="P506" i="2"/>
  <c r="O506" i="2"/>
  <c r="AP506" i="2" s="1"/>
  <c r="N506" i="2"/>
  <c r="AO506" i="2" s="1"/>
  <c r="M506" i="2"/>
  <c r="Q506" i="2" s="1"/>
  <c r="L506" i="2"/>
  <c r="K506" i="2"/>
  <c r="H506" i="2"/>
  <c r="AF506" i="2" s="1"/>
  <c r="B506" i="2"/>
  <c r="AR505" i="2"/>
  <c r="AG505" i="2"/>
  <c r="AD505" i="2"/>
  <c r="AC505" i="2"/>
  <c r="AA505" i="2"/>
  <c r="Z505" i="2"/>
  <c r="E505" i="2" s="1"/>
  <c r="W505" i="2"/>
  <c r="P505" i="2"/>
  <c r="AQ505" i="2" s="1"/>
  <c r="O505" i="2"/>
  <c r="AP505" i="2" s="1"/>
  <c r="L505" i="2"/>
  <c r="B505" i="2"/>
  <c r="AR504" i="2"/>
  <c r="AN504" i="2"/>
  <c r="AM504" i="2"/>
  <c r="AL504" i="2"/>
  <c r="AJ504" i="2"/>
  <c r="AI504" i="2"/>
  <c r="AG504" i="2"/>
  <c r="AE504" i="2"/>
  <c r="AD504" i="2"/>
  <c r="AA504" i="2"/>
  <c r="Z504" i="2"/>
  <c r="AC504" i="2" s="1"/>
  <c r="W504" i="2"/>
  <c r="Q504" i="2"/>
  <c r="P504" i="2"/>
  <c r="AQ504" i="2" s="1"/>
  <c r="O504" i="2"/>
  <c r="AP504" i="2" s="1"/>
  <c r="N504" i="2"/>
  <c r="AO504" i="2" s="1"/>
  <c r="M504" i="2"/>
  <c r="L504" i="2"/>
  <c r="K504" i="2"/>
  <c r="H504" i="2"/>
  <c r="AF504" i="2" s="1"/>
  <c r="E504" i="2"/>
  <c r="B504" i="2"/>
  <c r="AR503" i="2"/>
  <c r="AP503" i="2"/>
  <c r="AN503" i="2"/>
  <c r="AG503" i="2"/>
  <c r="AF503" i="2"/>
  <c r="AA503" i="2"/>
  <c r="H503" i="2" s="1"/>
  <c r="Z503" i="2"/>
  <c r="W503" i="2"/>
  <c r="P503" i="2"/>
  <c r="AQ503" i="2" s="1"/>
  <c r="O503" i="2"/>
  <c r="N503" i="2"/>
  <c r="AO503" i="2" s="1"/>
  <c r="M503" i="2"/>
  <c r="Q503" i="2" s="1"/>
  <c r="L503" i="2"/>
  <c r="K503" i="2"/>
  <c r="B503" i="2"/>
  <c r="AR502" i="2"/>
  <c r="AN502" i="2"/>
  <c r="AM502" i="2"/>
  <c r="AG502" i="2"/>
  <c r="AD502" i="2"/>
  <c r="AB502" i="2"/>
  <c r="AA502" i="2"/>
  <c r="Z502" i="2"/>
  <c r="W502" i="2"/>
  <c r="Q502" i="2"/>
  <c r="P502" i="2"/>
  <c r="AQ502" i="2" s="1"/>
  <c r="O502" i="2"/>
  <c r="AP502" i="2" s="1"/>
  <c r="N502" i="2"/>
  <c r="AO502" i="2" s="1"/>
  <c r="M502" i="2"/>
  <c r="L502" i="2"/>
  <c r="K502" i="2"/>
  <c r="H502" i="2"/>
  <c r="AF502" i="2" s="1"/>
  <c r="B502" i="2"/>
  <c r="AR501" i="2"/>
  <c r="AN501" i="2"/>
  <c r="AM501" i="2"/>
  <c r="AG501" i="2"/>
  <c r="AD501" i="2"/>
  <c r="AE501" i="2" s="1"/>
  <c r="AA501" i="2"/>
  <c r="Z501" i="2"/>
  <c r="AC501" i="2" s="1"/>
  <c r="W501" i="2"/>
  <c r="O501" i="2"/>
  <c r="AP501" i="2" s="1"/>
  <c r="N501" i="2"/>
  <c r="AO501" i="2" s="1"/>
  <c r="M501" i="2"/>
  <c r="Q501" i="2" s="1"/>
  <c r="L501" i="2"/>
  <c r="K501" i="2"/>
  <c r="E501" i="2"/>
  <c r="B501" i="2"/>
  <c r="AR500" i="2"/>
  <c r="AN500" i="2"/>
  <c r="AM500" i="2"/>
  <c r="AG500" i="2"/>
  <c r="AD500" i="2"/>
  <c r="AA500" i="2"/>
  <c r="Z500" i="2"/>
  <c r="W500" i="2"/>
  <c r="P500" i="2"/>
  <c r="AQ500" i="2" s="1"/>
  <c r="O500" i="2"/>
  <c r="AP500" i="2" s="1"/>
  <c r="N500" i="2"/>
  <c r="AO500" i="2" s="1"/>
  <c r="M500" i="2"/>
  <c r="Q500" i="2" s="1"/>
  <c r="L500" i="2"/>
  <c r="K500" i="2"/>
  <c r="H500" i="2"/>
  <c r="AF500" i="2" s="1"/>
  <c r="B500" i="2"/>
  <c r="AR499" i="2"/>
  <c r="AN499" i="2"/>
  <c r="AM499" i="2"/>
  <c r="AG499" i="2"/>
  <c r="AB499" i="2"/>
  <c r="AA499" i="2"/>
  <c r="Z499" i="2"/>
  <c r="W499" i="2"/>
  <c r="P499" i="2"/>
  <c r="AQ499" i="2" s="1"/>
  <c r="O499" i="2"/>
  <c r="AP499" i="2" s="1"/>
  <c r="L499" i="2"/>
  <c r="E499" i="2"/>
  <c r="B499" i="2"/>
  <c r="AR498" i="2"/>
  <c r="AQ498" i="2"/>
  <c r="AN498" i="2"/>
  <c r="AM498" i="2"/>
  <c r="AG498" i="2"/>
  <c r="AF498" i="2"/>
  <c r="AD498" i="2"/>
  <c r="AE498" i="2" s="1"/>
  <c r="AC498" i="2"/>
  <c r="AA498" i="2"/>
  <c r="Z498" i="2"/>
  <c r="AB498" i="2" s="1"/>
  <c r="W498" i="2"/>
  <c r="P498" i="2"/>
  <c r="O498" i="2"/>
  <c r="AP498" i="2" s="1"/>
  <c r="N498" i="2"/>
  <c r="AO498" i="2" s="1"/>
  <c r="M498" i="2"/>
  <c r="Q498" i="2" s="1"/>
  <c r="L498" i="2"/>
  <c r="K498" i="2"/>
  <c r="H498" i="2"/>
  <c r="E498" i="2"/>
  <c r="B498" i="2"/>
  <c r="AR497" i="2"/>
  <c r="AG497" i="2"/>
  <c r="AD497" i="2"/>
  <c r="AA497" i="2"/>
  <c r="Z497" i="2"/>
  <c r="W497" i="2"/>
  <c r="L497" i="2"/>
  <c r="B497" i="2"/>
  <c r="AR496" i="2"/>
  <c r="AQ496" i="2"/>
  <c r="AP496" i="2"/>
  <c r="AN496" i="2"/>
  <c r="AM496" i="2"/>
  <c r="AG496" i="2"/>
  <c r="AB496" i="2"/>
  <c r="AA496" i="2"/>
  <c r="Z496" i="2"/>
  <c r="W496" i="2"/>
  <c r="Q496" i="2"/>
  <c r="P496" i="2"/>
  <c r="O496" i="2"/>
  <c r="N496" i="2"/>
  <c r="AO496" i="2" s="1"/>
  <c r="M496" i="2"/>
  <c r="L496" i="2"/>
  <c r="K496" i="2"/>
  <c r="H496" i="2"/>
  <c r="AF496" i="2" s="1"/>
  <c r="B496" i="2"/>
  <c r="AR495" i="2"/>
  <c r="AG495" i="2"/>
  <c r="AC495" i="2"/>
  <c r="AB495" i="2"/>
  <c r="AA495" i="2"/>
  <c r="Z495" i="2"/>
  <c r="W495" i="2"/>
  <c r="N495" i="2"/>
  <c r="AO495" i="2" s="1"/>
  <c r="M495" i="2"/>
  <c r="Q495" i="2" s="1"/>
  <c r="L495" i="2"/>
  <c r="B495" i="2"/>
  <c r="AR494" i="2"/>
  <c r="AP494" i="2"/>
  <c r="AO494" i="2"/>
  <c r="AN494" i="2"/>
  <c r="AM494" i="2"/>
  <c r="AG494" i="2"/>
  <c r="AD494" i="2"/>
  <c r="AA494" i="2"/>
  <c r="Z494" i="2"/>
  <c r="AB494" i="2" s="1"/>
  <c r="W494" i="2"/>
  <c r="Q494" i="2"/>
  <c r="P494" i="2"/>
  <c r="AQ494" i="2" s="1"/>
  <c r="O494" i="2"/>
  <c r="N494" i="2"/>
  <c r="M494" i="2"/>
  <c r="L494" i="2"/>
  <c r="K494" i="2"/>
  <c r="H494" i="2"/>
  <c r="AF494" i="2" s="1"/>
  <c r="E494" i="2"/>
  <c r="B494" i="2"/>
  <c r="AR493" i="2"/>
  <c r="AN493" i="2"/>
  <c r="AG493" i="2"/>
  <c r="AA493" i="2"/>
  <c r="Z493" i="2"/>
  <c r="W493" i="2"/>
  <c r="P493" i="2"/>
  <c r="AQ493" i="2" s="1"/>
  <c r="O493" i="2"/>
  <c r="AP493" i="2" s="1"/>
  <c r="M493" i="2"/>
  <c r="Q493" i="2" s="1"/>
  <c r="L493" i="2"/>
  <c r="K493" i="2"/>
  <c r="B493" i="2"/>
  <c r="AR492" i="2"/>
  <c r="AP492" i="2"/>
  <c r="AN492" i="2"/>
  <c r="AM492" i="2"/>
  <c r="AJ492" i="2"/>
  <c r="AG492" i="2"/>
  <c r="AE492" i="2"/>
  <c r="AD492" i="2"/>
  <c r="AC492" i="2"/>
  <c r="AB492" i="2"/>
  <c r="AA492" i="2"/>
  <c r="Z492" i="2"/>
  <c r="W492" i="2"/>
  <c r="Q492" i="2"/>
  <c r="P492" i="2"/>
  <c r="AQ492" i="2" s="1"/>
  <c r="O492" i="2"/>
  <c r="N492" i="2"/>
  <c r="AO492" i="2" s="1"/>
  <c r="M492" i="2"/>
  <c r="L492" i="2"/>
  <c r="K492" i="2"/>
  <c r="H492" i="2"/>
  <c r="AF492" i="2" s="1"/>
  <c r="E492" i="2"/>
  <c r="B492" i="2"/>
  <c r="AR491" i="2"/>
  <c r="AM491" i="2"/>
  <c r="AG491" i="2"/>
  <c r="AA491" i="2"/>
  <c r="Z491" i="2"/>
  <c r="W491" i="2"/>
  <c r="P491" i="2"/>
  <c r="AQ491" i="2" s="1"/>
  <c r="O491" i="2"/>
  <c r="AP491" i="2" s="1"/>
  <c r="L491" i="2"/>
  <c r="K491" i="2"/>
  <c r="E491" i="2"/>
  <c r="B491" i="2"/>
  <c r="AR490" i="2"/>
  <c r="AO490" i="2"/>
  <c r="AN490" i="2"/>
  <c r="AM490" i="2"/>
  <c r="AG490" i="2"/>
  <c r="AC490" i="2"/>
  <c r="AA490" i="2"/>
  <c r="Z490" i="2"/>
  <c r="W490" i="2"/>
  <c r="P490" i="2"/>
  <c r="AQ490" i="2" s="1"/>
  <c r="O490" i="2"/>
  <c r="AP490" i="2" s="1"/>
  <c r="N490" i="2"/>
  <c r="M490" i="2"/>
  <c r="Q490" i="2" s="1"/>
  <c r="L490" i="2"/>
  <c r="K490" i="2"/>
  <c r="H490" i="2"/>
  <c r="AF490" i="2" s="1"/>
  <c r="B490" i="2"/>
  <c r="AR489" i="2"/>
  <c r="AG489" i="2"/>
  <c r="AC489" i="2"/>
  <c r="AA489" i="2"/>
  <c r="Z489" i="2"/>
  <c r="W489" i="2"/>
  <c r="L489" i="2"/>
  <c r="K489" i="2"/>
  <c r="B489" i="2"/>
  <c r="AR488" i="2"/>
  <c r="AO488" i="2"/>
  <c r="AN488" i="2"/>
  <c r="AM488" i="2"/>
  <c r="AG488" i="2"/>
  <c r="AF488" i="2"/>
  <c r="AD488" i="2"/>
  <c r="AE488" i="2" s="1"/>
  <c r="AC488" i="2"/>
  <c r="AB488" i="2"/>
  <c r="AA488" i="2"/>
  <c r="Z488" i="2"/>
  <c r="W488" i="2"/>
  <c r="P488" i="2"/>
  <c r="AQ488" i="2" s="1"/>
  <c r="O488" i="2"/>
  <c r="AP488" i="2" s="1"/>
  <c r="N488" i="2"/>
  <c r="M488" i="2"/>
  <c r="Q488" i="2" s="1"/>
  <c r="L488" i="2"/>
  <c r="K488" i="2"/>
  <c r="H488" i="2"/>
  <c r="E488" i="2"/>
  <c r="B488" i="2"/>
  <c r="AR487" i="2"/>
  <c r="AG487" i="2"/>
  <c r="AD487" i="2"/>
  <c r="AC487" i="2"/>
  <c r="AB487" i="2"/>
  <c r="AA487" i="2"/>
  <c r="Z487" i="2"/>
  <c r="W487" i="2"/>
  <c r="L487" i="2"/>
  <c r="E487" i="2"/>
  <c r="B487" i="2"/>
  <c r="AR486" i="2"/>
  <c r="AQ486" i="2"/>
  <c r="AO486" i="2"/>
  <c r="AN486" i="2"/>
  <c r="AM486" i="2"/>
  <c r="AG486" i="2"/>
  <c r="AF486" i="2"/>
  <c r="AC486" i="2"/>
  <c r="AA486" i="2"/>
  <c r="Z486" i="2"/>
  <c r="W486" i="2"/>
  <c r="Q486" i="2"/>
  <c r="P486" i="2"/>
  <c r="O486" i="2"/>
  <c r="AP486" i="2" s="1"/>
  <c r="N486" i="2"/>
  <c r="M486" i="2"/>
  <c r="L486" i="2"/>
  <c r="K486" i="2"/>
  <c r="H486" i="2"/>
  <c r="B486" i="2"/>
  <c r="AR485" i="2"/>
  <c r="AG485" i="2"/>
  <c r="AD485" i="2"/>
  <c r="AA485" i="2"/>
  <c r="Z485" i="2"/>
  <c r="W485" i="2"/>
  <c r="L485" i="2"/>
  <c r="B485" i="2"/>
  <c r="AR484" i="2"/>
  <c r="AN484" i="2"/>
  <c r="AM484" i="2"/>
  <c r="AG484" i="2"/>
  <c r="AF484" i="2"/>
  <c r="AA484" i="2"/>
  <c r="Z484" i="2"/>
  <c r="W484" i="2"/>
  <c r="P484" i="2"/>
  <c r="AQ484" i="2" s="1"/>
  <c r="O484" i="2"/>
  <c r="AP484" i="2" s="1"/>
  <c r="N484" i="2"/>
  <c r="AO484" i="2" s="1"/>
  <c r="M484" i="2"/>
  <c r="Q484" i="2" s="1"/>
  <c r="L484" i="2"/>
  <c r="K484" i="2"/>
  <c r="H484" i="2"/>
  <c r="B484" i="2"/>
  <c r="AR483" i="2"/>
  <c r="AO483" i="2"/>
  <c r="AN483" i="2"/>
  <c r="AM483" i="2"/>
  <c r="AG483" i="2"/>
  <c r="AF483" i="2"/>
  <c r="AA483" i="2"/>
  <c r="H483" i="2" s="1"/>
  <c r="Z483" i="2"/>
  <c r="E483" i="2" s="1"/>
  <c r="W483" i="2"/>
  <c r="P483" i="2"/>
  <c r="AQ483" i="2" s="1"/>
  <c r="N483" i="2"/>
  <c r="M483" i="2"/>
  <c r="Q483" i="2" s="1"/>
  <c r="L483" i="2"/>
  <c r="K483" i="2"/>
  <c r="B483" i="2"/>
  <c r="AR482" i="2"/>
  <c r="AQ482" i="2"/>
  <c r="AO482" i="2"/>
  <c r="AN482" i="2"/>
  <c r="AM482" i="2"/>
  <c r="AG482" i="2"/>
  <c r="AF482" i="2"/>
  <c r="AC482" i="2"/>
  <c r="AB482" i="2"/>
  <c r="AA482" i="2"/>
  <c r="Z482" i="2"/>
  <c r="W482" i="2"/>
  <c r="Q482" i="2"/>
  <c r="P482" i="2"/>
  <c r="O482" i="2"/>
  <c r="AP482" i="2" s="1"/>
  <c r="N482" i="2"/>
  <c r="M482" i="2"/>
  <c r="L482" i="2"/>
  <c r="K482" i="2"/>
  <c r="H482" i="2"/>
  <c r="B482" i="2"/>
  <c r="AR481" i="2"/>
  <c r="AP481" i="2"/>
  <c r="AN481" i="2"/>
  <c r="AM481" i="2"/>
  <c r="AG481" i="2"/>
  <c r="AA481" i="2"/>
  <c r="Z481" i="2"/>
  <c r="W481" i="2"/>
  <c r="P481" i="2"/>
  <c r="AQ481" i="2" s="1"/>
  <c r="O481" i="2"/>
  <c r="N481" i="2"/>
  <c r="AO481" i="2" s="1"/>
  <c r="L481" i="2"/>
  <c r="K481" i="2"/>
  <c r="B481" i="2"/>
  <c r="AR480" i="2"/>
  <c r="AQ480" i="2"/>
  <c r="AP480" i="2"/>
  <c r="AO480" i="2"/>
  <c r="AN480" i="2"/>
  <c r="AM480" i="2"/>
  <c r="AG480" i="2"/>
  <c r="AD480" i="2"/>
  <c r="AE480" i="2" s="1"/>
  <c r="AB480" i="2"/>
  <c r="AA480" i="2"/>
  <c r="Z480" i="2"/>
  <c r="AC480" i="2" s="1"/>
  <c r="W480" i="2"/>
  <c r="P480" i="2"/>
  <c r="O480" i="2"/>
  <c r="N480" i="2"/>
  <c r="M480" i="2"/>
  <c r="Q480" i="2" s="1"/>
  <c r="L480" i="2"/>
  <c r="K480" i="2"/>
  <c r="H480" i="2"/>
  <c r="AF480" i="2" s="1"/>
  <c r="E480" i="2"/>
  <c r="B480" i="2"/>
  <c r="AR479" i="2"/>
  <c r="AO479" i="2"/>
  <c r="AN479" i="2"/>
  <c r="AG479" i="2"/>
  <c r="AF479" i="2"/>
  <c r="AA479" i="2"/>
  <c r="H479" i="2" s="1"/>
  <c r="Z479" i="2"/>
  <c r="W479" i="2"/>
  <c r="Q479" i="2"/>
  <c r="O479" i="2"/>
  <c r="AP479" i="2" s="1"/>
  <c r="N479" i="2"/>
  <c r="M479" i="2"/>
  <c r="L479" i="2"/>
  <c r="E479" i="2"/>
  <c r="B479" i="2"/>
  <c r="AR478" i="2"/>
  <c r="AO478" i="2"/>
  <c r="AN478" i="2"/>
  <c r="AM478" i="2"/>
  <c r="AG478" i="2"/>
  <c r="AA478" i="2"/>
  <c r="Z478" i="2"/>
  <c r="W478" i="2"/>
  <c r="Q478" i="2"/>
  <c r="P478" i="2"/>
  <c r="AQ478" i="2" s="1"/>
  <c r="O478" i="2"/>
  <c r="AP478" i="2" s="1"/>
  <c r="N478" i="2"/>
  <c r="M478" i="2"/>
  <c r="L478" i="2"/>
  <c r="K478" i="2"/>
  <c r="H478" i="2"/>
  <c r="AF478" i="2" s="1"/>
  <c r="B478" i="2"/>
  <c r="AR477" i="2"/>
  <c r="AN477" i="2"/>
  <c r="AG477" i="2"/>
  <c r="AB477" i="2"/>
  <c r="AA477" i="2"/>
  <c r="K477" i="2" s="1"/>
  <c r="Z477" i="2"/>
  <c r="W477" i="2"/>
  <c r="L477" i="2"/>
  <c r="E477" i="2"/>
  <c r="B477" i="2"/>
  <c r="AR476" i="2"/>
  <c r="AN476" i="2"/>
  <c r="AM476" i="2"/>
  <c r="AG476" i="2"/>
  <c r="AL476" i="2" s="1"/>
  <c r="AF476" i="2"/>
  <c r="AC476" i="2"/>
  <c r="AE476" i="2" s="1"/>
  <c r="AB476" i="2"/>
  <c r="AA476" i="2"/>
  <c r="Z476" i="2"/>
  <c r="AD476" i="2" s="1"/>
  <c r="W476" i="2"/>
  <c r="Q476" i="2"/>
  <c r="P476" i="2"/>
  <c r="AQ476" i="2" s="1"/>
  <c r="O476" i="2"/>
  <c r="AP476" i="2" s="1"/>
  <c r="N476" i="2"/>
  <c r="AO476" i="2" s="1"/>
  <c r="M476" i="2"/>
  <c r="L476" i="2"/>
  <c r="K476" i="2"/>
  <c r="H476" i="2"/>
  <c r="E476" i="2"/>
  <c r="B476" i="2"/>
  <c r="AR475" i="2"/>
  <c r="AM475" i="2"/>
  <c r="AG475" i="2"/>
  <c r="AE475" i="2"/>
  <c r="AD475" i="2"/>
  <c r="AC475" i="2"/>
  <c r="AB475" i="2"/>
  <c r="AA475" i="2"/>
  <c r="Z475" i="2"/>
  <c r="W475" i="2"/>
  <c r="O475" i="2"/>
  <c r="AP475" i="2" s="1"/>
  <c r="N475" i="2"/>
  <c r="AO475" i="2" s="1"/>
  <c r="M475" i="2"/>
  <c r="Q475" i="2" s="1"/>
  <c r="L475" i="2"/>
  <c r="K475" i="2"/>
  <c r="E475" i="2"/>
  <c r="B475" i="2"/>
  <c r="AR474" i="2"/>
  <c r="AN474" i="2"/>
  <c r="AM474" i="2"/>
  <c r="AG474" i="2"/>
  <c r="AC474" i="2"/>
  <c r="AA474" i="2"/>
  <c r="Z474" i="2"/>
  <c r="W474" i="2"/>
  <c r="P474" i="2"/>
  <c r="AQ474" i="2" s="1"/>
  <c r="O474" i="2"/>
  <c r="AP474" i="2" s="1"/>
  <c r="N474" i="2"/>
  <c r="AO474" i="2" s="1"/>
  <c r="M474" i="2"/>
  <c r="Q474" i="2" s="1"/>
  <c r="L474" i="2"/>
  <c r="K474" i="2"/>
  <c r="H474" i="2"/>
  <c r="AF474" i="2" s="1"/>
  <c r="E474" i="2"/>
  <c r="B474" i="2"/>
  <c r="AR473" i="2"/>
  <c r="AG473" i="2"/>
  <c r="AA473" i="2"/>
  <c r="Z473" i="2"/>
  <c r="W473" i="2"/>
  <c r="O473" i="2"/>
  <c r="AP473" i="2" s="1"/>
  <c r="L473" i="2"/>
  <c r="K473" i="2"/>
  <c r="B473" i="2"/>
  <c r="AR472" i="2"/>
  <c r="AQ472" i="2"/>
  <c r="AN472" i="2"/>
  <c r="AM472" i="2"/>
  <c r="AI472" i="2"/>
  <c r="AG472" i="2"/>
  <c r="AD472" i="2"/>
  <c r="AC472" i="2"/>
  <c r="AE472" i="2" s="1"/>
  <c r="AB472" i="2"/>
  <c r="AA472" i="2"/>
  <c r="Z472" i="2"/>
  <c r="W472" i="2"/>
  <c r="Q472" i="2"/>
  <c r="P472" i="2"/>
  <c r="O472" i="2"/>
  <c r="AP472" i="2" s="1"/>
  <c r="N472" i="2"/>
  <c r="AO472" i="2" s="1"/>
  <c r="M472" i="2"/>
  <c r="L472" i="2"/>
  <c r="K472" i="2"/>
  <c r="H472" i="2"/>
  <c r="AF472" i="2" s="1"/>
  <c r="E472" i="2"/>
  <c r="B472" i="2"/>
  <c r="AR471" i="2"/>
  <c r="AG471" i="2"/>
  <c r="AC471" i="2"/>
  <c r="AA471" i="2"/>
  <c r="Z471" i="2"/>
  <c r="W471" i="2"/>
  <c r="L471" i="2"/>
  <c r="K471" i="2"/>
  <c r="B471" i="2"/>
  <c r="AR470" i="2"/>
  <c r="AP470" i="2"/>
  <c r="AO470" i="2"/>
  <c r="AN470" i="2"/>
  <c r="AM470" i="2"/>
  <c r="AG470" i="2"/>
  <c r="AF470" i="2"/>
  <c r="AI470" i="2" s="1"/>
  <c r="AE470" i="2"/>
  <c r="AD470" i="2"/>
  <c r="AC470" i="2"/>
  <c r="AB470" i="2"/>
  <c r="AA470" i="2"/>
  <c r="Z470" i="2"/>
  <c r="W470" i="2"/>
  <c r="P470" i="2"/>
  <c r="AQ470" i="2" s="1"/>
  <c r="O470" i="2"/>
  <c r="N470" i="2"/>
  <c r="M470" i="2"/>
  <c r="Q470" i="2" s="1"/>
  <c r="L470" i="2"/>
  <c r="K470" i="2"/>
  <c r="H470" i="2"/>
  <c r="E470" i="2"/>
  <c r="B470" i="2"/>
  <c r="AR469" i="2"/>
  <c r="AP469" i="2"/>
  <c r="AO469" i="2"/>
  <c r="AN469" i="2"/>
  <c r="AG469" i="2"/>
  <c r="AD469" i="2"/>
  <c r="AC469" i="2"/>
  <c r="AE469" i="2" s="1"/>
  <c r="AA469" i="2"/>
  <c r="Z469" i="2"/>
  <c r="AB469" i="2" s="1"/>
  <c r="W469" i="2"/>
  <c r="P469" i="2"/>
  <c r="AQ469" i="2" s="1"/>
  <c r="O469" i="2"/>
  <c r="N469" i="2"/>
  <c r="M469" i="2"/>
  <c r="Q469" i="2" s="1"/>
  <c r="L469" i="2"/>
  <c r="K469" i="2"/>
  <c r="E469" i="2"/>
  <c r="B469" i="2"/>
  <c r="AR468" i="2"/>
  <c r="AN468" i="2"/>
  <c r="AM468" i="2"/>
  <c r="AG468" i="2"/>
  <c r="AF468" i="2"/>
  <c r="AC468" i="2"/>
  <c r="AA468" i="2"/>
  <c r="Z468" i="2"/>
  <c r="W468" i="2"/>
  <c r="Q468" i="2"/>
  <c r="P468" i="2"/>
  <c r="AQ468" i="2" s="1"/>
  <c r="O468" i="2"/>
  <c r="AP468" i="2" s="1"/>
  <c r="N468" i="2"/>
  <c r="AO468" i="2" s="1"/>
  <c r="M468" i="2"/>
  <c r="L468" i="2"/>
  <c r="K468" i="2"/>
  <c r="H468" i="2"/>
  <c r="B468" i="2"/>
  <c r="AR467" i="2"/>
  <c r="AN467" i="2"/>
  <c r="AM467" i="2"/>
  <c r="AG467" i="2"/>
  <c r="AD467" i="2"/>
  <c r="AE467" i="2" s="1"/>
  <c r="AC467" i="2"/>
  <c r="AB467" i="2"/>
  <c r="AA467" i="2"/>
  <c r="Z467" i="2"/>
  <c r="W467" i="2"/>
  <c r="L467" i="2"/>
  <c r="E467" i="2"/>
  <c r="B467" i="2"/>
  <c r="AR466" i="2"/>
  <c r="AQ466" i="2"/>
  <c r="AO466" i="2"/>
  <c r="AN466" i="2"/>
  <c r="AM466" i="2"/>
  <c r="AG466" i="2"/>
  <c r="AA466" i="2"/>
  <c r="Z466" i="2"/>
  <c r="W466" i="2"/>
  <c r="Q466" i="2"/>
  <c r="P466" i="2"/>
  <c r="O466" i="2"/>
  <c r="AP466" i="2" s="1"/>
  <c r="N466" i="2"/>
  <c r="M466" i="2"/>
  <c r="L466" i="2"/>
  <c r="K466" i="2"/>
  <c r="H466" i="2"/>
  <c r="AF466" i="2" s="1"/>
  <c r="B466" i="2"/>
  <c r="AR465" i="2"/>
  <c r="AP465" i="2"/>
  <c r="AO465" i="2"/>
  <c r="AG465" i="2"/>
  <c r="AA465" i="2"/>
  <c r="Z465" i="2"/>
  <c r="E465" i="2" s="1"/>
  <c r="W465" i="2"/>
  <c r="O465" i="2"/>
  <c r="N465" i="2"/>
  <c r="M465" i="2"/>
  <c r="Q465" i="2" s="1"/>
  <c r="L465" i="2"/>
  <c r="K465" i="2"/>
  <c r="B465" i="2"/>
  <c r="AR464" i="2"/>
  <c r="AP464" i="2"/>
  <c r="AO464" i="2"/>
  <c r="AN464" i="2"/>
  <c r="AM464" i="2"/>
  <c r="AG464" i="2"/>
  <c r="AB464" i="2"/>
  <c r="AA464" i="2"/>
  <c r="Z464" i="2"/>
  <c r="W464" i="2"/>
  <c r="P464" i="2"/>
  <c r="AQ464" i="2" s="1"/>
  <c r="O464" i="2"/>
  <c r="N464" i="2"/>
  <c r="M464" i="2"/>
  <c r="Q464" i="2" s="1"/>
  <c r="L464" i="2"/>
  <c r="K464" i="2"/>
  <c r="H464" i="2"/>
  <c r="AF464" i="2" s="1"/>
  <c r="B464" i="2"/>
  <c r="AR463" i="2"/>
  <c r="AN463" i="2"/>
  <c r="AM463" i="2"/>
  <c r="AG463" i="2"/>
  <c r="AF463" i="2"/>
  <c r="AE463" i="2"/>
  <c r="AC463" i="2"/>
  <c r="AB463" i="2"/>
  <c r="AA463" i="2"/>
  <c r="H463" i="2" s="1"/>
  <c r="Z463" i="2"/>
  <c r="AD463" i="2" s="1"/>
  <c r="W463" i="2"/>
  <c r="P463" i="2"/>
  <c r="AQ463" i="2" s="1"/>
  <c r="N463" i="2"/>
  <c r="AO463" i="2" s="1"/>
  <c r="M463" i="2"/>
  <c r="Q463" i="2" s="1"/>
  <c r="L463" i="2"/>
  <c r="K463" i="2"/>
  <c r="E463" i="2"/>
  <c r="B463" i="2"/>
  <c r="AR462" i="2"/>
  <c r="AM462" i="2"/>
  <c r="AG462" i="2"/>
  <c r="AD462" i="2"/>
  <c r="AE462" i="2" s="1"/>
  <c r="AC462" i="2"/>
  <c r="AB462" i="2"/>
  <c r="AA462" i="2"/>
  <c r="Z462" i="2"/>
  <c r="W462" i="2"/>
  <c r="P462" i="2"/>
  <c r="AQ462" i="2" s="1"/>
  <c r="O462" i="2"/>
  <c r="AP462" i="2" s="1"/>
  <c r="N462" i="2"/>
  <c r="AO462" i="2" s="1"/>
  <c r="M462" i="2"/>
  <c r="Q462" i="2" s="1"/>
  <c r="L462" i="2"/>
  <c r="E462" i="2"/>
  <c r="B462" i="2"/>
  <c r="AR461" i="2"/>
  <c r="AG461" i="2"/>
  <c r="AD461" i="2"/>
  <c r="AC461" i="2"/>
  <c r="AA461" i="2"/>
  <c r="Z461" i="2"/>
  <c r="AB461" i="2" s="1"/>
  <c r="W461" i="2"/>
  <c r="L461" i="2"/>
  <c r="K461" i="2"/>
  <c r="H461" i="2"/>
  <c r="AF461" i="2" s="1"/>
  <c r="E461" i="2"/>
  <c r="B461" i="2"/>
  <c r="AR460" i="2"/>
  <c r="AO460" i="2"/>
  <c r="AN460" i="2"/>
  <c r="AL460" i="2"/>
  <c r="AG460" i="2"/>
  <c r="AF460" i="2"/>
  <c r="AD460" i="2"/>
  <c r="AE460" i="2" s="1"/>
  <c r="AC460" i="2"/>
  <c r="AA460" i="2"/>
  <c r="H460" i="2" s="1"/>
  <c r="Z460" i="2"/>
  <c r="E460" i="2" s="1"/>
  <c r="W460" i="2"/>
  <c r="Q460" i="2"/>
  <c r="N460" i="2"/>
  <c r="M460" i="2"/>
  <c r="L460" i="2"/>
  <c r="K460" i="2"/>
  <c r="B460" i="2"/>
  <c r="AR459" i="2"/>
  <c r="AN459" i="2"/>
  <c r="AM459" i="2"/>
  <c r="AG459" i="2"/>
  <c r="AD459" i="2"/>
  <c r="AE459" i="2" s="1"/>
  <c r="AA459" i="2"/>
  <c r="Z459" i="2"/>
  <c r="AC459" i="2" s="1"/>
  <c r="W459" i="2"/>
  <c r="L459" i="2"/>
  <c r="K459" i="2"/>
  <c r="H459" i="2"/>
  <c r="AF459" i="2" s="1"/>
  <c r="E459" i="2"/>
  <c r="B459" i="2"/>
  <c r="AR458" i="2"/>
  <c r="AQ458" i="2"/>
  <c r="AP458" i="2"/>
  <c r="AN458" i="2"/>
  <c r="AM458" i="2"/>
  <c r="AG458" i="2"/>
  <c r="AD458" i="2"/>
  <c r="AC458" i="2"/>
  <c r="AB458" i="2"/>
  <c r="AA458" i="2"/>
  <c r="M458" i="2" s="1"/>
  <c r="Z458" i="2"/>
  <c r="W458" i="2"/>
  <c r="Q458" i="2"/>
  <c r="P458" i="2"/>
  <c r="O458" i="2"/>
  <c r="N458" i="2"/>
  <c r="AO458" i="2" s="1"/>
  <c r="L458" i="2"/>
  <c r="K458" i="2"/>
  <c r="H458" i="2"/>
  <c r="AF458" i="2" s="1"/>
  <c r="E458" i="2"/>
  <c r="B458" i="2"/>
  <c r="AR457" i="2"/>
  <c r="AG457" i="2"/>
  <c r="AD457" i="2"/>
  <c r="AB457" i="2"/>
  <c r="AA457" i="2"/>
  <c r="Z457" i="2"/>
  <c r="W457" i="2"/>
  <c r="P457" i="2"/>
  <c r="AQ457" i="2" s="1"/>
  <c r="M457" i="2"/>
  <c r="Q457" i="2" s="1"/>
  <c r="L457" i="2"/>
  <c r="K457" i="2"/>
  <c r="B457" i="2"/>
  <c r="AR456" i="2"/>
  <c r="AQ456" i="2"/>
  <c r="AP456" i="2"/>
  <c r="AM456" i="2"/>
  <c r="AG456" i="2"/>
  <c r="AC456" i="2"/>
  <c r="AB456" i="2"/>
  <c r="AA456" i="2"/>
  <c r="Z456" i="2"/>
  <c r="W456" i="2"/>
  <c r="P456" i="2"/>
  <c r="O456" i="2"/>
  <c r="L456" i="2"/>
  <c r="K456" i="2"/>
  <c r="B456" i="2"/>
  <c r="AR455" i="2"/>
  <c r="AN455" i="2"/>
  <c r="AI455" i="2"/>
  <c r="AH455" i="2"/>
  <c r="AG455" i="2"/>
  <c r="AF455" i="2"/>
  <c r="AD455" i="2"/>
  <c r="AE455" i="2" s="1"/>
  <c r="AC455" i="2"/>
  <c r="AB455" i="2"/>
  <c r="AA455" i="2"/>
  <c r="Z455" i="2"/>
  <c r="W455" i="2"/>
  <c r="O455" i="2"/>
  <c r="AP455" i="2" s="1"/>
  <c r="M455" i="2"/>
  <c r="Q455" i="2" s="1"/>
  <c r="L455" i="2"/>
  <c r="H455" i="2"/>
  <c r="E455" i="2"/>
  <c r="B455" i="2"/>
  <c r="AR454" i="2"/>
  <c r="AQ454" i="2"/>
  <c r="AO454" i="2"/>
  <c r="AN454" i="2"/>
  <c r="AM454" i="2"/>
  <c r="AG454" i="2"/>
  <c r="AF454" i="2"/>
  <c r="AA454" i="2"/>
  <c r="Z454" i="2"/>
  <c r="W454" i="2"/>
  <c r="P454" i="2"/>
  <c r="O454" i="2"/>
  <c r="AP454" i="2" s="1"/>
  <c r="N454" i="2"/>
  <c r="M454" i="2"/>
  <c r="Q454" i="2" s="1"/>
  <c r="L454" i="2"/>
  <c r="K454" i="2"/>
  <c r="H454" i="2"/>
  <c r="E454" i="2"/>
  <c r="B454" i="2"/>
  <c r="AR453" i="2"/>
  <c r="AG453" i="2"/>
  <c r="AC453" i="2"/>
  <c r="AA453" i="2"/>
  <c r="Z453" i="2"/>
  <c r="W453" i="2"/>
  <c r="L453" i="2"/>
  <c r="B453" i="2"/>
  <c r="AR452" i="2"/>
  <c r="AO452" i="2"/>
  <c r="AN452" i="2"/>
  <c r="AM452" i="2"/>
  <c r="AG452" i="2"/>
  <c r="AA452" i="2"/>
  <c r="Z452" i="2"/>
  <c r="W452" i="2"/>
  <c r="O452" i="2"/>
  <c r="AP452" i="2" s="1"/>
  <c r="N452" i="2"/>
  <c r="L452" i="2"/>
  <c r="H452" i="2"/>
  <c r="AF452" i="2" s="1"/>
  <c r="E452" i="2"/>
  <c r="B452" i="2"/>
  <c r="AR451" i="2"/>
  <c r="AG451" i="2"/>
  <c r="AD451" i="2"/>
  <c r="AC451" i="2"/>
  <c r="AB451" i="2"/>
  <c r="AA451" i="2"/>
  <c r="M451" i="2" s="1"/>
  <c r="Q451" i="2" s="1"/>
  <c r="Z451" i="2"/>
  <c r="W451" i="2"/>
  <c r="P451" i="2"/>
  <c r="AQ451" i="2" s="1"/>
  <c r="O451" i="2"/>
  <c r="AP451" i="2" s="1"/>
  <c r="L451" i="2"/>
  <c r="E451" i="2"/>
  <c r="B451" i="2"/>
  <c r="AR450" i="2"/>
  <c r="AG450" i="2"/>
  <c r="AA450" i="2"/>
  <c r="Z450" i="2"/>
  <c r="W450" i="2"/>
  <c r="L450" i="2"/>
  <c r="B450" i="2"/>
  <c r="AR449" i="2"/>
  <c r="AG449" i="2"/>
  <c r="AC449" i="2"/>
  <c r="AB449" i="2"/>
  <c r="AA449" i="2"/>
  <c r="Z449" i="2"/>
  <c r="W449" i="2"/>
  <c r="L449" i="2"/>
  <c r="B449" i="2"/>
  <c r="AR448" i="2"/>
  <c r="AG448" i="2"/>
  <c r="AD448" i="2"/>
  <c r="AC448" i="2"/>
  <c r="AE448" i="2" s="1"/>
  <c r="AB448" i="2"/>
  <c r="AA448" i="2"/>
  <c r="Z448" i="2"/>
  <c r="W448" i="2"/>
  <c r="P448" i="2"/>
  <c r="AQ448" i="2" s="1"/>
  <c r="M448" i="2"/>
  <c r="Q448" i="2" s="1"/>
  <c r="L448" i="2"/>
  <c r="E448" i="2"/>
  <c r="B448" i="2"/>
  <c r="AR447" i="2"/>
  <c r="AG447" i="2"/>
  <c r="AA447" i="2"/>
  <c r="Z447" i="2"/>
  <c r="W447" i="2"/>
  <c r="M447" i="2"/>
  <c r="Q447" i="2" s="1"/>
  <c r="L447" i="2"/>
  <c r="H447" i="2"/>
  <c r="AF447" i="2" s="1"/>
  <c r="B447" i="2"/>
  <c r="AR446" i="2"/>
  <c r="AN446" i="2"/>
  <c r="AL446" i="2"/>
  <c r="AK446" i="2"/>
  <c r="AG446" i="2"/>
  <c r="AD446" i="2"/>
  <c r="AE446" i="2" s="1"/>
  <c r="AC446" i="2"/>
  <c r="AB446" i="2"/>
  <c r="AA446" i="2"/>
  <c r="Z446" i="2"/>
  <c r="W446" i="2"/>
  <c r="P446" i="2"/>
  <c r="AQ446" i="2" s="1"/>
  <c r="N446" i="2"/>
  <c r="AO446" i="2" s="1"/>
  <c r="M446" i="2"/>
  <c r="Q446" i="2" s="1"/>
  <c r="L446" i="2"/>
  <c r="K446" i="2"/>
  <c r="H446" i="2"/>
  <c r="AF446" i="2" s="1"/>
  <c r="E446" i="2"/>
  <c r="B446" i="2"/>
  <c r="AR445" i="2"/>
  <c r="AG445" i="2"/>
  <c r="AF445" i="2"/>
  <c r="AD445" i="2"/>
  <c r="AA445" i="2"/>
  <c r="Z445" i="2"/>
  <c r="W445" i="2"/>
  <c r="Q445" i="2"/>
  <c r="P445" i="2"/>
  <c r="AQ445" i="2" s="1"/>
  <c r="O445" i="2"/>
  <c r="AP445" i="2" s="1"/>
  <c r="M445" i="2"/>
  <c r="L445" i="2"/>
  <c r="K445" i="2"/>
  <c r="H445" i="2"/>
  <c r="B445" i="2"/>
  <c r="AR444" i="2"/>
  <c r="AG444" i="2"/>
  <c r="AF444" i="2"/>
  <c r="AE444" i="2"/>
  <c r="AD444" i="2"/>
  <c r="AC444" i="2"/>
  <c r="AB444" i="2"/>
  <c r="AA444" i="2"/>
  <c r="Z444" i="2"/>
  <c r="W444" i="2"/>
  <c r="L444" i="2"/>
  <c r="K444" i="2"/>
  <c r="H444" i="2"/>
  <c r="E444" i="2"/>
  <c r="B444" i="2"/>
  <c r="AR443" i="2"/>
  <c r="AN443" i="2"/>
  <c r="AG443" i="2"/>
  <c r="AD443" i="2"/>
  <c r="AA443" i="2"/>
  <c r="N443" i="2" s="1"/>
  <c r="AO443" i="2" s="1"/>
  <c r="Z443" i="2"/>
  <c r="W443" i="2"/>
  <c r="P443" i="2"/>
  <c r="AQ443" i="2" s="1"/>
  <c r="O443" i="2"/>
  <c r="AP443" i="2" s="1"/>
  <c r="M443" i="2"/>
  <c r="Q443" i="2" s="1"/>
  <c r="L443" i="2"/>
  <c r="K443" i="2"/>
  <c r="B443" i="2"/>
  <c r="AR442" i="2"/>
  <c r="AN442" i="2"/>
  <c r="AG442" i="2"/>
  <c r="AD442" i="2"/>
  <c r="AC442" i="2"/>
  <c r="AB442" i="2"/>
  <c r="AA442" i="2"/>
  <c r="Z442" i="2"/>
  <c r="W442" i="2"/>
  <c r="Q442" i="2"/>
  <c r="P442" i="2"/>
  <c r="AQ442" i="2" s="1"/>
  <c r="O442" i="2"/>
  <c r="AP442" i="2" s="1"/>
  <c r="N442" i="2"/>
  <c r="AO442" i="2" s="1"/>
  <c r="M442" i="2"/>
  <c r="L442" i="2"/>
  <c r="H442" i="2"/>
  <c r="AF442" i="2" s="1"/>
  <c r="E442" i="2"/>
  <c r="B442" i="2"/>
  <c r="AR441" i="2"/>
  <c r="AN441" i="2"/>
  <c r="AG441" i="2"/>
  <c r="AD441" i="2"/>
  <c r="AB441" i="2"/>
  <c r="AA441" i="2"/>
  <c r="Z441" i="2"/>
  <c r="W441" i="2"/>
  <c r="O441" i="2"/>
  <c r="AP441" i="2" s="1"/>
  <c r="L441" i="2"/>
  <c r="B441" i="2"/>
  <c r="AR440" i="2"/>
  <c r="AG440" i="2"/>
  <c r="AE440" i="2"/>
  <c r="AD440" i="2"/>
  <c r="AC440" i="2"/>
  <c r="AB440" i="2"/>
  <c r="AA440" i="2"/>
  <c r="Z440" i="2"/>
  <c r="W440" i="2"/>
  <c r="L440" i="2"/>
  <c r="E440" i="2"/>
  <c r="B440" i="2"/>
  <c r="AR439" i="2"/>
  <c r="AN439" i="2"/>
  <c r="AG439" i="2"/>
  <c r="AA439" i="2"/>
  <c r="Z439" i="2"/>
  <c r="W439" i="2"/>
  <c r="M439" i="2"/>
  <c r="Q439" i="2" s="1"/>
  <c r="L439" i="2"/>
  <c r="B439" i="2"/>
  <c r="AR438" i="2"/>
  <c r="AO438" i="2"/>
  <c r="AG438" i="2"/>
  <c r="AD438" i="2"/>
  <c r="AC438" i="2"/>
  <c r="AE438" i="2" s="1"/>
  <c r="AB438" i="2"/>
  <c r="AA438" i="2"/>
  <c r="Z438" i="2"/>
  <c r="W438" i="2"/>
  <c r="P438" i="2"/>
  <c r="AQ438" i="2" s="1"/>
  <c r="N438" i="2"/>
  <c r="L438" i="2"/>
  <c r="E438" i="2"/>
  <c r="B438" i="2"/>
  <c r="AR437" i="2"/>
  <c r="AO437" i="2"/>
  <c r="AG437" i="2"/>
  <c r="AF437" i="2"/>
  <c r="AA437" i="2"/>
  <c r="Z437" i="2"/>
  <c r="W437" i="2"/>
  <c r="N437" i="2"/>
  <c r="M437" i="2"/>
  <c r="Q437" i="2" s="1"/>
  <c r="L437" i="2"/>
  <c r="H437" i="2"/>
  <c r="B437" i="2"/>
  <c r="AR436" i="2"/>
  <c r="AN436" i="2"/>
  <c r="AL436" i="2"/>
  <c r="AK436" i="2"/>
  <c r="AJ436" i="2"/>
  <c r="AI436" i="2"/>
  <c r="AH436" i="2"/>
  <c r="AG436" i="2"/>
  <c r="AD436" i="2"/>
  <c r="AE436" i="2" s="1"/>
  <c r="AC436" i="2"/>
  <c r="AB436" i="2"/>
  <c r="AA436" i="2"/>
  <c r="M436" i="2" s="1"/>
  <c r="Q436" i="2" s="1"/>
  <c r="Z436" i="2"/>
  <c r="W436" i="2"/>
  <c r="P436" i="2"/>
  <c r="AQ436" i="2" s="1"/>
  <c r="N436" i="2"/>
  <c r="AO436" i="2" s="1"/>
  <c r="L436" i="2"/>
  <c r="K436" i="2"/>
  <c r="H436" i="2"/>
  <c r="AF436" i="2" s="1"/>
  <c r="E436" i="2"/>
  <c r="B436" i="2"/>
  <c r="AR435" i="2"/>
  <c r="AG435" i="2"/>
  <c r="AD435" i="2"/>
  <c r="AA435" i="2"/>
  <c r="Z435" i="2"/>
  <c r="W435" i="2"/>
  <c r="P435" i="2"/>
  <c r="AQ435" i="2" s="1"/>
  <c r="O435" i="2"/>
  <c r="AP435" i="2" s="1"/>
  <c r="L435" i="2"/>
  <c r="K435" i="2"/>
  <c r="H435" i="2"/>
  <c r="AF435" i="2" s="1"/>
  <c r="B435" i="2"/>
  <c r="AR434" i="2"/>
  <c r="AG434" i="2"/>
  <c r="AD434" i="2"/>
  <c r="AE434" i="2" s="1"/>
  <c r="AC434" i="2"/>
  <c r="AB434" i="2"/>
  <c r="AA434" i="2"/>
  <c r="Z434" i="2"/>
  <c r="W434" i="2"/>
  <c r="L434" i="2"/>
  <c r="E434" i="2"/>
  <c r="B434" i="2"/>
  <c r="AR433" i="2"/>
  <c r="AN433" i="2"/>
  <c r="AG433" i="2"/>
  <c r="AA433" i="2"/>
  <c r="O433" i="2" s="1"/>
  <c r="AP433" i="2" s="1"/>
  <c r="Z433" i="2"/>
  <c r="W433" i="2"/>
  <c r="P433" i="2"/>
  <c r="AQ433" i="2" s="1"/>
  <c r="N433" i="2"/>
  <c r="AO433" i="2" s="1"/>
  <c r="L433" i="2"/>
  <c r="K433" i="2"/>
  <c r="B433" i="2"/>
  <c r="AR432" i="2"/>
  <c r="AO432" i="2"/>
  <c r="AN432" i="2"/>
  <c r="AG432" i="2"/>
  <c r="AF432" i="2"/>
  <c r="AD432" i="2"/>
  <c r="AE432" i="2" s="1"/>
  <c r="AC432" i="2"/>
  <c r="AB432" i="2"/>
  <c r="AA432" i="2"/>
  <c r="AM432" i="2" s="1"/>
  <c r="Z432" i="2"/>
  <c r="W432" i="2"/>
  <c r="Q432" i="2"/>
  <c r="P432" i="2"/>
  <c r="AQ432" i="2" s="1"/>
  <c r="O432" i="2"/>
  <c r="AP432" i="2" s="1"/>
  <c r="N432" i="2"/>
  <c r="M432" i="2"/>
  <c r="L432" i="2"/>
  <c r="K432" i="2"/>
  <c r="H432" i="2"/>
  <c r="E432" i="2"/>
  <c r="B432" i="2"/>
  <c r="AR431" i="2"/>
  <c r="AG431" i="2"/>
  <c r="AA431" i="2"/>
  <c r="Z431" i="2"/>
  <c r="W431" i="2"/>
  <c r="M431" i="2"/>
  <c r="Q431" i="2" s="1"/>
  <c r="L431" i="2"/>
  <c r="K431" i="2"/>
  <c r="B431" i="2"/>
  <c r="AR430" i="2"/>
  <c r="AN430" i="2"/>
  <c r="AG430" i="2"/>
  <c r="AB430" i="2"/>
  <c r="AA430" i="2"/>
  <c r="Z430" i="2"/>
  <c r="W430" i="2"/>
  <c r="M430" i="2"/>
  <c r="Q430" i="2" s="1"/>
  <c r="L430" i="2"/>
  <c r="B430" i="2"/>
  <c r="AR429" i="2"/>
  <c r="AQ429" i="2"/>
  <c r="AG429" i="2"/>
  <c r="AB429" i="2"/>
  <c r="AA429" i="2"/>
  <c r="Z429" i="2"/>
  <c r="W429" i="2"/>
  <c r="P429" i="2"/>
  <c r="L429" i="2"/>
  <c r="B429" i="2"/>
  <c r="AR428" i="2"/>
  <c r="AP428" i="2"/>
  <c r="AM428" i="2"/>
  <c r="AG428" i="2"/>
  <c r="AF428" i="2"/>
  <c r="AE428" i="2"/>
  <c r="AD428" i="2"/>
  <c r="AC428" i="2"/>
  <c r="AB428" i="2"/>
  <c r="AA428" i="2"/>
  <c r="N428" i="2" s="1"/>
  <c r="AO428" i="2" s="1"/>
  <c r="Z428" i="2"/>
  <c r="W428" i="2"/>
  <c r="P428" i="2"/>
  <c r="AQ428" i="2" s="1"/>
  <c r="O428" i="2"/>
  <c r="M428" i="2"/>
  <c r="Q428" i="2" s="1"/>
  <c r="L428" i="2"/>
  <c r="K428" i="2"/>
  <c r="H428" i="2"/>
  <c r="E428" i="2"/>
  <c r="B428" i="2"/>
  <c r="AR427" i="2"/>
  <c r="AN427" i="2"/>
  <c r="AM427" i="2"/>
  <c r="AG427" i="2"/>
  <c r="AD427" i="2"/>
  <c r="AC427" i="2"/>
  <c r="AA427" i="2"/>
  <c r="Z427" i="2"/>
  <c r="AB427" i="2" s="1"/>
  <c r="W427" i="2"/>
  <c r="P427" i="2"/>
  <c r="AQ427" i="2" s="1"/>
  <c r="O427" i="2"/>
  <c r="AP427" i="2" s="1"/>
  <c r="L427" i="2"/>
  <c r="K427" i="2"/>
  <c r="H427" i="2"/>
  <c r="AF427" i="2" s="1"/>
  <c r="E427" i="2"/>
  <c r="B427" i="2"/>
  <c r="AR426" i="2"/>
  <c r="AN426" i="2"/>
  <c r="AM426" i="2"/>
  <c r="AG426" i="2"/>
  <c r="AB426" i="2"/>
  <c r="AA426" i="2"/>
  <c r="Z426" i="2"/>
  <c r="E426" i="2" s="1"/>
  <c r="W426" i="2"/>
  <c r="M426" i="2"/>
  <c r="Q426" i="2" s="1"/>
  <c r="L426" i="2"/>
  <c r="K426" i="2"/>
  <c r="H426" i="2"/>
  <c r="AF426" i="2" s="1"/>
  <c r="B426" i="2"/>
  <c r="AR425" i="2"/>
  <c r="AP425" i="2"/>
  <c r="AG425" i="2"/>
  <c r="AB425" i="2"/>
  <c r="AA425" i="2"/>
  <c r="Z425" i="2"/>
  <c r="W425" i="2"/>
  <c r="Q425" i="2"/>
  <c r="O425" i="2"/>
  <c r="N425" i="2"/>
  <c r="AO425" i="2" s="1"/>
  <c r="M425" i="2"/>
  <c r="L425" i="2"/>
  <c r="K425" i="2"/>
  <c r="B425" i="2"/>
  <c r="AR424" i="2"/>
  <c r="AG424" i="2"/>
  <c r="AE424" i="2"/>
  <c r="AD424" i="2"/>
  <c r="AC424" i="2"/>
  <c r="AB424" i="2"/>
  <c r="AA424" i="2"/>
  <c r="Z424" i="2"/>
  <c r="W424" i="2"/>
  <c r="P424" i="2"/>
  <c r="AQ424" i="2" s="1"/>
  <c r="O424" i="2"/>
  <c r="AP424" i="2" s="1"/>
  <c r="L424" i="2"/>
  <c r="E424" i="2"/>
  <c r="B424" i="2"/>
  <c r="AR423" i="2"/>
  <c r="AP423" i="2"/>
  <c r="AN423" i="2"/>
  <c r="AM423" i="2"/>
  <c r="AG423" i="2"/>
  <c r="AF423" i="2"/>
  <c r="AD423" i="2"/>
  <c r="AA423" i="2"/>
  <c r="O423" i="2" s="1"/>
  <c r="Z423" i="2"/>
  <c r="W423" i="2"/>
  <c r="P423" i="2"/>
  <c r="AQ423" i="2" s="1"/>
  <c r="N423" i="2"/>
  <c r="AO423" i="2" s="1"/>
  <c r="L423" i="2"/>
  <c r="K423" i="2"/>
  <c r="H423" i="2"/>
  <c r="E423" i="2"/>
  <c r="B423" i="2"/>
  <c r="AR422" i="2"/>
  <c r="AQ422" i="2"/>
  <c r="AN422" i="2"/>
  <c r="AM422" i="2"/>
  <c r="AG422" i="2"/>
  <c r="AA422" i="2"/>
  <c r="Z422" i="2"/>
  <c r="W422" i="2"/>
  <c r="P422" i="2"/>
  <c r="O422" i="2"/>
  <c r="AP422" i="2" s="1"/>
  <c r="L422" i="2"/>
  <c r="K422" i="2"/>
  <c r="B422" i="2"/>
  <c r="AR421" i="2"/>
  <c r="AM421" i="2"/>
  <c r="AG421" i="2"/>
  <c r="AD421" i="2"/>
  <c r="AE421" i="2" s="1"/>
  <c r="AC421" i="2"/>
  <c r="AB421" i="2"/>
  <c r="AA421" i="2"/>
  <c r="Z421" i="2"/>
  <c r="W421" i="2"/>
  <c r="M421" i="2"/>
  <c r="Q421" i="2" s="1"/>
  <c r="L421" i="2"/>
  <c r="E421" i="2"/>
  <c r="B421" i="2"/>
  <c r="AR420" i="2"/>
  <c r="AP420" i="2"/>
  <c r="AN420" i="2"/>
  <c r="AM420" i="2"/>
  <c r="AK420" i="2"/>
  <c r="AG420" i="2"/>
  <c r="AE420" i="2"/>
  <c r="AD420" i="2"/>
  <c r="AC420" i="2"/>
  <c r="AA420" i="2"/>
  <c r="P420" i="2" s="1"/>
  <c r="AQ420" i="2" s="1"/>
  <c r="Z420" i="2"/>
  <c r="AB420" i="2" s="1"/>
  <c r="W420" i="2"/>
  <c r="O420" i="2"/>
  <c r="N420" i="2"/>
  <c r="AO420" i="2" s="1"/>
  <c r="M420" i="2"/>
  <c r="Q420" i="2" s="1"/>
  <c r="L420" i="2"/>
  <c r="K420" i="2"/>
  <c r="H420" i="2"/>
  <c r="AF420" i="2" s="1"/>
  <c r="AL420" i="2" s="1"/>
  <c r="E420" i="2"/>
  <c r="B420" i="2"/>
  <c r="AR419" i="2"/>
  <c r="AM419" i="2"/>
  <c r="AG419" i="2"/>
  <c r="AB419" i="2"/>
  <c r="AA419" i="2"/>
  <c r="Z419" i="2"/>
  <c r="W419" i="2"/>
  <c r="O419" i="2"/>
  <c r="AP419" i="2" s="1"/>
  <c r="M419" i="2"/>
  <c r="Q419" i="2" s="1"/>
  <c r="L419" i="2"/>
  <c r="B419" i="2"/>
  <c r="AR418" i="2"/>
  <c r="AO418" i="2"/>
  <c r="AN418" i="2"/>
  <c r="AM418" i="2"/>
  <c r="AG418" i="2"/>
  <c r="AD418" i="2"/>
  <c r="AE418" i="2" s="1"/>
  <c r="AC418" i="2"/>
  <c r="AA418" i="2"/>
  <c r="Z418" i="2"/>
  <c r="AB418" i="2" s="1"/>
  <c r="W418" i="2"/>
  <c r="Q418" i="2"/>
  <c r="N418" i="2"/>
  <c r="M418" i="2"/>
  <c r="L418" i="2"/>
  <c r="K418" i="2"/>
  <c r="H418" i="2"/>
  <c r="AF418" i="2" s="1"/>
  <c r="E418" i="2"/>
  <c r="B418" i="2"/>
  <c r="AR417" i="2"/>
  <c r="AM417" i="2"/>
  <c r="AG417" i="2"/>
  <c r="AF417" i="2"/>
  <c r="AB417" i="2"/>
  <c r="AA417" i="2"/>
  <c r="Z417" i="2"/>
  <c r="E417" i="2" s="1"/>
  <c r="W417" i="2"/>
  <c r="O417" i="2"/>
  <c r="AP417" i="2" s="1"/>
  <c r="N417" i="2"/>
  <c r="AO417" i="2" s="1"/>
  <c r="M417" i="2"/>
  <c r="Q417" i="2" s="1"/>
  <c r="L417" i="2"/>
  <c r="H417" i="2"/>
  <c r="B417" i="2"/>
  <c r="AR416" i="2"/>
  <c r="AG416" i="2"/>
  <c r="AD416" i="2"/>
  <c r="AC416" i="2"/>
  <c r="AE416" i="2" s="1"/>
  <c r="AA416" i="2"/>
  <c r="Z416" i="2"/>
  <c r="AB416" i="2" s="1"/>
  <c r="W416" i="2"/>
  <c r="P416" i="2"/>
  <c r="AQ416" i="2" s="1"/>
  <c r="O416" i="2"/>
  <c r="AP416" i="2" s="1"/>
  <c r="M416" i="2"/>
  <c r="Q416" i="2" s="1"/>
  <c r="L416" i="2"/>
  <c r="E416" i="2"/>
  <c r="B416" i="2"/>
  <c r="AR415" i="2"/>
  <c r="AN415" i="2"/>
  <c r="AG415" i="2"/>
  <c r="AD415" i="2"/>
  <c r="AE415" i="2" s="1"/>
  <c r="AC415" i="2"/>
  <c r="AB415" i="2"/>
  <c r="AA415" i="2"/>
  <c r="Z415" i="2"/>
  <c r="E415" i="2" s="1"/>
  <c r="W415" i="2"/>
  <c r="O415" i="2"/>
  <c r="AP415" i="2" s="1"/>
  <c r="N415" i="2"/>
  <c r="AO415" i="2" s="1"/>
  <c r="L415" i="2"/>
  <c r="B415" i="2"/>
  <c r="AR414" i="2"/>
  <c r="AM414" i="2"/>
  <c r="AG414" i="2"/>
  <c r="AE414" i="2"/>
  <c r="AD414" i="2"/>
  <c r="AC414" i="2"/>
  <c r="AA414" i="2"/>
  <c r="Z414" i="2"/>
  <c r="AB414" i="2" s="1"/>
  <c r="W414" i="2"/>
  <c r="L414" i="2"/>
  <c r="H414" i="2"/>
  <c r="AF414" i="2" s="1"/>
  <c r="AL414" i="2" s="1"/>
  <c r="E414" i="2"/>
  <c r="B414" i="2"/>
  <c r="AR413" i="2"/>
  <c r="AN413" i="2"/>
  <c r="AM413" i="2"/>
  <c r="AG413" i="2"/>
  <c r="AB413" i="2"/>
  <c r="AA413" i="2"/>
  <c r="Z413" i="2"/>
  <c r="E413" i="2" s="1"/>
  <c r="W413" i="2"/>
  <c r="N413" i="2"/>
  <c r="AO413" i="2" s="1"/>
  <c r="L413" i="2"/>
  <c r="B413" i="2"/>
  <c r="AR412" i="2"/>
  <c r="AG412" i="2"/>
  <c r="AD412" i="2"/>
  <c r="AC412" i="2"/>
  <c r="AA412" i="2"/>
  <c r="Z412" i="2"/>
  <c r="AB412" i="2" s="1"/>
  <c r="W412" i="2"/>
  <c r="L412" i="2"/>
  <c r="K412" i="2"/>
  <c r="E412" i="2"/>
  <c r="B412" i="2"/>
  <c r="AR411" i="2"/>
  <c r="AP411" i="2"/>
  <c r="AM411" i="2"/>
  <c r="AG411" i="2"/>
  <c r="AB411" i="2"/>
  <c r="AA411" i="2"/>
  <c r="Z411" i="2"/>
  <c r="E411" i="2" s="1"/>
  <c r="W411" i="2"/>
  <c r="O411" i="2"/>
  <c r="L411" i="2"/>
  <c r="B411" i="2"/>
  <c r="AR410" i="2"/>
  <c r="AQ410" i="2"/>
  <c r="AO410" i="2"/>
  <c r="AM410" i="2"/>
  <c r="AG410" i="2"/>
  <c r="AD410" i="2"/>
  <c r="AE410" i="2" s="1"/>
  <c r="AC410" i="2"/>
  <c r="AA410" i="2"/>
  <c r="Z410" i="2"/>
  <c r="AB410" i="2" s="1"/>
  <c r="W410" i="2"/>
  <c r="P410" i="2"/>
  <c r="N410" i="2"/>
  <c r="M410" i="2"/>
  <c r="Q410" i="2" s="1"/>
  <c r="L410" i="2"/>
  <c r="K410" i="2"/>
  <c r="E410" i="2"/>
  <c r="B410" i="2"/>
  <c r="AR409" i="2"/>
  <c r="AG409" i="2"/>
  <c r="AA409" i="2"/>
  <c r="Z409" i="2"/>
  <c r="W409" i="2"/>
  <c r="L409" i="2"/>
  <c r="B409" i="2"/>
  <c r="AR408" i="2"/>
  <c r="AG408" i="2"/>
  <c r="AD408" i="2"/>
  <c r="AC408" i="2"/>
  <c r="AE408" i="2" s="1"/>
  <c r="AA408" i="2"/>
  <c r="Z408" i="2"/>
  <c r="AB408" i="2" s="1"/>
  <c r="W408" i="2"/>
  <c r="L408" i="2"/>
  <c r="E408" i="2"/>
  <c r="B408" i="2"/>
  <c r="AR407" i="2"/>
  <c r="AP407" i="2"/>
  <c r="AG407" i="2"/>
  <c r="AE407" i="2"/>
  <c r="AD407" i="2"/>
  <c r="AC407" i="2"/>
  <c r="AB407" i="2"/>
  <c r="AA407" i="2"/>
  <c r="Z407" i="2"/>
  <c r="E407" i="2" s="1"/>
  <c r="W407" i="2"/>
  <c r="P407" i="2"/>
  <c r="AQ407" i="2" s="1"/>
  <c r="O407" i="2"/>
  <c r="M407" i="2"/>
  <c r="Q407" i="2" s="1"/>
  <c r="L407" i="2"/>
  <c r="B407" i="2"/>
  <c r="AR406" i="2"/>
  <c r="AN406" i="2"/>
  <c r="AM406" i="2"/>
  <c r="AG406" i="2"/>
  <c r="AF406" i="2"/>
  <c r="AD406" i="2"/>
  <c r="AC406" i="2"/>
  <c r="AE406" i="2" s="1"/>
  <c r="AA406" i="2"/>
  <c r="Z406" i="2"/>
  <c r="AB406" i="2" s="1"/>
  <c r="W406" i="2"/>
  <c r="Q406" i="2"/>
  <c r="M406" i="2"/>
  <c r="L406" i="2"/>
  <c r="H406" i="2"/>
  <c r="E406" i="2"/>
  <c r="B406" i="2"/>
  <c r="AR405" i="2"/>
  <c r="AQ405" i="2"/>
  <c r="AP405" i="2"/>
  <c r="AO405" i="2"/>
  <c r="AG405" i="2"/>
  <c r="AF405" i="2"/>
  <c r="AD405" i="2"/>
  <c r="AB405" i="2"/>
  <c r="AA405" i="2"/>
  <c r="Z405" i="2"/>
  <c r="W405" i="2"/>
  <c r="P405" i="2"/>
  <c r="O405" i="2"/>
  <c r="N405" i="2"/>
  <c r="M405" i="2"/>
  <c r="Q405" i="2" s="1"/>
  <c r="L405" i="2"/>
  <c r="H405" i="2"/>
  <c r="B405" i="2"/>
  <c r="AR404" i="2"/>
  <c r="AM404" i="2"/>
  <c r="AG404" i="2"/>
  <c r="AD404" i="2"/>
  <c r="AC404" i="2"/>
  <c r="AA404" i="2"/>
  <c r="Z404" i="2"/>
  <c r="AB404" i="2" s="1"/>
  <c r="W404" i="2"/>
  <c r="L404" i="2"/>
  <c r="E404" i="2"/>
  <c r="B404" i="2"/>
  <c r="AR403" i="2"/>
  <c r="AN403" i="2"/>
  <c r="AM403" i="2"/>
  <c r="AG403" i="2"/>
  <c r="AB403" i="2"/>
  <c r="AA403" i="2"/>
  <c r="Z403" i="2"/>
  <c r="W403" i="2"/>
  <c r="P403" i="2"/>
  <c r="AQ403" i="2" s="1"/>
  <c r="N403" i="2"/>
  <c r="AO403" i="2" s="1"/>
  <c r="L403" i="2"/>
  <c r="B403" i="2"/>
  <c r="AR402" i="2"/>
  <c r="AP402" i="2"/>
  <c r="AO402" i="2"/>
  <c r="AN402" i="2"/>
  <c r="AG402" i="2"/>
  <c r="AF402" i="2"/>
  <c r="AD402" i="2"/>
  <c r="AE402" i="2" s="1"/>
  <c r="AC402" i="2"/>
  <c r="AA402" i="2"/>
  <c r="AM402" i="2" s="1"/>
  <c r="Z402" i="2"/>
  <c r="AB402" i="2" s="1"/>
  <c r="W402" i="2"/>
  <c r="P402" i="2"/>
  <c r="AQ402" i="2" s="1"/>
  <c r="O402" i="2"/>
  <c r="N402" i="2"/>
  <c r="M402" i="2"/>
  <c r="Q402" i="2" s="1"/>
  <c r="L402" i="2"/>
  <c r="K402" i="2"/>
  <c r="H402" i="2"/>
  <c r="E402" i="2"/>
  <c r="B402" i="2"/>
  <c r="AR401" i="2"/>
  <c r="AN401" i="2"/>
  <c r="AG401" i="2"/>
  <c r="AD401" i="2"/>
  <c r="AE401" i="2" s="1"/>
  <c r="AC401" i="2"/>
  <c r="AB401" i="2"/>
  <c r="AA401" i="2"/>
  <c r="Z401" i="2"/>
  <c r="E401" i="2" s="1"/>
  <c r="W401" i="2"/>
  <c r="P401" i="2"/>
  <c r="AQ401" i="2" s="1"/>
  <c r="L401" i="2"/>
  <c r="B401" i="2"/>
  <c r="AR400" i="2"/>
  <c r="AQ400" i="2"/>
  <c r="AN400" i="2"/>
  <c r="AM400" i="2"/>
  <c r="AG400" i="2"/>
  <c r="AD400" i="2"/>
  <c r="AE400" i="2" s="1"/>
  <c r="AC400" i="2"/>
  <c r="AA400" i="2"/>
  <c r="Z400" i="2"/>
  <c r="AB400" i="2" s="1"/>
  <c r="W400" i="2"/>
  <c r="P400" i="2"/>
  <c r="O400" i="2"/>
  <c r="AP400" i="2" s="1"/>
  <c r="N400" i="2"/>
  <c r="AO400" i="2" s="1"/>
  <c r="M400" i="2"/>
  <c r="Q400" i="2" s="1"/>
  <c r="L400" i="2"/>
  <c r="K400" i="2"/>
  <c r="H400" i="2"/>
  <c r="AF400" i="2" s="1"/>
  <c r="E400" i="2"/>
  <c r="B400" i="2"/>
  <c r="AR399" i="2"/>
  <c r="AP399" i="2"/>
  <c r="AN399" i="2"/>
  <c r="AM399" i="2"/>
  <c r="AG399" i="2"/>
  <c r="AF399" i="2"/>
  <c r="AB399" i="2"/>
  <c r="AA399" i="2"/>
  <c r="K399" i="2" s="1"/>
  <c r="Z399" i="2"/>
  <c r="E399" i="2" s="1"/>
  <c r="W399" i="2"/>
  <c r="P399" i="2"/>
  <c r="AQ399" i="2" s="1"/>
  <c r="O399" i="2"/>
  <c r="N399" i="2"/>
  <c r="AO399" i="2" s="1"/>
  <c r="M399" i="2"/>
  <c r="Q399" i="2" s="1"/>
  <c r="L399" i="2"/>
  <c r="H399" i="2"/>
  <c r="B399" i="2"/>
  <c r="AR398" i="2"/>
  <c r="AM398" i="2"/>
  <c r="AG398" i="2"/>
  <c r="AD398" i="2"/>
  <c r="AC398" i="2"/>
  <c r="AA398" i="2"/>
  <c r="Z398" i="2"/>
  <c r="AB398" i="2" s="1"/>
  <c r="W398" i="2"/>
  <c r="P398" i="2"/>
  <c r="AQ398" i="2" s="1"/>
  <c r="L398" i="2"/>
  <c r="K398" i="2"/>
  <c r="E398" i="2"/>
  <c r="B398" i="2"/>
  <c r="AR397" i="2"/>
  <c r="AM397" i="2"/>
  <c r="AG397" i="2"/>
  <c r="AB397" i="2"/>
  <c r="AA397" i="2"/>
  <c r="Z397" i="2"/>
  <c r="W397" i="2"/>
  <c r="L397" i="2"/>
  <c r="B397" i="2"/>
  <c r="AR396" i="2"/>
  <c r="AO396" i="2"/>
  <c r="AN396" i="2"/>
  <c r="AM396" i="2"/>
  <c r="AG396" i="2"/>
  <c r="AF396" i="2"/>
  <c r="AD396" i="2"/>
  <c r="AE396" i="2" s="1"/>
  <c r="AC396" i="2"/>
  <c r="AA396" i="2"/>
  <c r="Z396" i="2"/>
  <c r="AB396" i="2" s="1"/>
  <c r="W396" i="2"/>
  <c r="Q396" i="2"/>
  <c r="P396" i="2"/>
  <c r="AQ396" i="2" s="1"/>
  <c r="O396" i="2"/>
  <c r="AP396" i="2" s="1"/>
  <c r="N396" i="2"/>
  <c r="M396" i="2"/>
  <c r="L396" i="2"/>
  <c r="K396" i="2"/>
  <c r="H396" i="2"/>
  <c r="E396" i="2"/>
  <c r="B396" i="2"/>
  <c r="AR395" i="2"/>
  <c r="AP395" i="2"/>
  <c r="AO395" i="2"/>
  <c r="AN395" i="2"/>
  <c r="AM395" i="2"/>
  <c r="AG395" i="2"/>
  <c r="AD395" i="2"/>
  <c r="AC395" i="2"/>
  <c r="AB395" i="2"/>
  <c r="AA395" i="2"/>
  <c r="Z395" i="2"/>
  <c r="E395" i="2" s="1"/>
  <c r="W395" i="2"/>
  <c r="O395" i="2"/>
  <c r="N395" i="2"/>
  <c r="M395" i="2"/>
  <c r="Q395" i="2" s="1"/>
  <c r="L395" i="2"/>
  <c r="H395" i="2"/>
  <c r="AF395" i="2" s="1"/>
  <c r="B395" i="2"/>
  <c r="AR394" i="2"/>
  <c r="AP394" i="2"/>
  <c r="AN394" i="2"/>
  <c r="AM394" i="2"/>
  <c r="AL394" i="2"/>
  <c r="AG394" i="2"/>
  <c r="AD394" i="2"/>
  <c r="AC394" i="2"/>
  <c r="AE394" i="2" s="1"/>
  <c r="AA394" i="2"/>
  <c r="Z394" i="2"/>
  <c r="AB394" i="2" s="1"/>
  <c r="W394" i="2"/>
  <c r="O394" i="2"/>
  <c r="M394" i="2"/>
  <c r="Q394" i="2" s="1"/>
  <c r="L394" i="2"/>
  <c r="K394" i="2"/>
  <c r="H394" i="2"/>
  <c r="AF394" i="2" s="1"/>
  <c r="E394" i="2"/>
  <c r="B394" i="2"/>
  <c r="AR393" i="2"/>
  <c r="AG393" i="2"/>
  <c r="AA393" i="2"/>
  <c r="Z393" i="2"/>
  <c r="W393" i="2"/>
  <c r="N393" i="2"/>
  <c r="AO393" i="2" s="1"/>
  <c r="M393" i="2"/>
  <c r="Q393" i="2" s="1"/>
  <c r="L393" i="2"/>
  <c r="B393" i="2"/>
  <c r="AR392" i="2"/>
  <c r="AG392" i="2"/>
  <c r="AD392" i="2"/>
  <c r="AC392" i="2"/>
  <c r="AE392" i="2" s="1"/>
  <c r="AA392" i="2"/>
  <c r="Z392" i="2"/>
  <c r="AB392" i="2" s="1"/>
  <c r="W392" i="2"/>
  <c r="N392" i="2"/>
  <c r="AO392" i="2" s="1"/>
  <c r="L392" i="2"/>
  <c r="E392" i="2"/>
  <c r="B392" i="2"/>
  <c r="AR391" i="2"/>
  <c r="AP391" i="2"/>
  <c r="AG391" i="2"/>
  <c r="AA391" i="2"/>
  <c r="Z391" i="2"/>
  <c r="W391" i="2"/>
  <c r="O391" i="2"/>
  <c r="N391" i="2"/>
  <c r="AO391" i="2" s="1"/>
  <c r="L391" i="2"/>
  <c r="H391" i="2"/>
  <c r="AF391" i="2" s="1"/>
  <c r="B391" i="2"/>
  <c r="AR390" i="2"/>
  <c r="AG390" i="2"/>
  <c r="AE390" i="2"/>
  <c r="AD390" i="2"/>
  <c r="AC390" i="2"/>
  <c r="AA390" i="2"/>
  <c r="Z390" i="2"/>
  <c r="AB390" i="2" s="1"/>
  <c r="W390" i="2"/>
  <c r="L390" i="2"/>
  <c r="E390" i="2"/>
  <c r="B390" i="2"/>
  <c r="AR389" i="2"/>
  <c r="AG389" i="2"/>
  <c r="AE389" i="2"/>
  <c r="AD389" i="2"/>
  <c r="AC389" i="2"/>
  <c r="AB389" i="2"/>
  <c r="AA389" i="2"/>
  <c r="Z389" i="2"/>
  <c r="E389" i="2" s="1"/>
  <c r="W389" i="2"/>
  <c r="L389" i="2"/>
  <c r="B389" i="2"/>
  <c r="AR388" i="2"/>
  <c r="AG388" i="2"/>
  <c r="AD388" i="2"/>
  <c r="AC388" i="2"/>
  <c r="AA388" i="2"/>
  <c r="Z388" i="2"/>
  <c r="AB388" i="2" s="1"/>
  <c r="W388" i="2"/>
  <c r="L388" i="2"/>
  <c r="E388" i="2"/>
  <c r="B388" i="2"/>
  <c r="AR387" i="2"/>
  <c r="AM387" i="2"/>
  <c r="AG387" i="2"/>
  <c r="AA387" i="2"/>
  <c r="Z387" i="2"/>
  <c r="W387" i="2"/>
  <c r="N387" i="2"/>
  <c r="AO387" i="2" s="1"/>
  <c r="L387" i="2"/>
  <c r="B387" i="2"/>
  <c r="AR386" i="2"/>
  <c r="AQ386" i="2"/>
  <c r="AP386" i="2"/>
  <c r="AO386" i="2"/>
  <c r="AM386" i="2"/>
  <c r="AG386" i="2"/>
  <c r="AF386" i="2"/>
  <c r="AD386" i="2"/>
  <c r="AA386" i="2"/>
  <c r="AN386" i="2" s="1"/>
  <c r="Z386" i="2"/>
  <c r="W386" i="2"/>
  <c r="Q386" i="2"/>
  <c r="P386" i="2"/>
  <c r="O386" i="2"/>
  <c r="N386" i="2"/>
  <c r="M386" i="2"/>
  <c r="L386" i="2"/>
  <c r="K386" i="2"/>
  <c r="H386" i="2"/>
  <c r="E386" i="2"/>
  <c r="B386" i="2"/>
  <c r="AR385" i="2"/>
  <c r="AQ385" i="2"/>
  <c r="AP385" i="2"/>
  <c r="AN385" i="2"/>
  <c r="AM385" i="2"/>
  <c r="AG385" i="2"/>
  <c r="AF385" i="2"/>
  <c r="AA385" i="2"/>
  <c r="K385" i="2" s="1"/>
  <c r="Z385" i="2"/>
  <c r="W385" i="2"/>
  <c r="P385" i="2"/>
  <c r="O385" i="2"/>
  <c r="N385" i="2"/>
  <c r="AO385" i="2" s="1"/>
  <c r="M385" i="2"/>
  <c r="Q385" i="2" s="1"/>
  <c r="L385" i="2"/>
  <c r="H385" i="2"/>
  <c r="B385" i="2"/>
  <c r="AR384" i="2"/>
  <c r="AP384" i="2"/>
  <c r="AO384" i="2"/>
  <c r="AN384" i="2"/>
  <c r="AG384" i="2"/>
  <c r="AC384" i="2"/>
  <c r="AA384" i="2"/>
  <c r="AM384" i="2" s="1"/>
  <c r="Z384" i="2"/>
  <c r="W384" i="2"/>
  <c r="P384" i="2"/>
  <c r="AQ384" i="2" s="1"/>
  <c r="O384" i="2"/>
  <c r="N384" i="2"/>
  <c r="M384" i="2"/>
  <c r="Q384" i="2" s="1"/>
  <c r="L384" i="2"/>
  <c r="K384" i="2"/>
  <c r="H384" i="2"/>
  <c r="AF384" i="2" s="1"/>
  <c r="B384" i="2"/>
  <c r="AR383" i="2"/>
  <c r="AG383" i="2"/>
  <c r="AA383" i="2"/>
  <c r="Z383" i="2"/>
  <c r="W383" i="2"/>
  <c r="L383" i="2"/>
  <c r="B383" i="2"/>
  <c r="AR382" i="2"/>
  <c r="AG382" i="2"/>
  <c r="AE382" i="2"/>
  <c r="AD382" i="2"/>
  <c r="AC382" i="2"/>
  <c r="AA382" i="2"/>
  <c r="Z382" i="2"/>
  <c r="AB382" i="2" s="1"/>
  <c r="W382" i="2"/>
  <c r="L382" i="2"/>
  <c r="E382" i="2"/>
  <c r="B382" i="2"/>
  <c r="AR381" i="2"/>
  <c r="AM381" i="2"/>
  <c r="AG381" i="2"/>
  <c r="AB381" i="2"/>
  <c r="AA381" i="2"/>
  <c r="Z381" i="2"/>
  <c r="AD381" i="2" s="1"/>
  <c r="W381" i="2"/>
  <c r="N381" i="2"/>
  <c r="AO381" i="2" s="1"/>
  <c r="L381" i="2"/>
  <c r="E381" i="2"/>
  <c r="B381" i="2"/>
  <c r="AR380" i="2"/>
  <c r="AG380" i="2"/>
  <c r="AD380" i="2"/>
  <c r="AE380" i="2" s="1"/>
  <c r="AC380" i="2"/>
  <c r="AA380" i="2"/>
  <c r="Z380" i="2"/>
  <c r="W380" i="2"/>
  <c r="P380" i="2"/>
  <c r="AQ380" i="2" s="1"/>
  <c r="O380" i="2"/>
  <c r="AP380" i="2" s="1"/>
  <c r="L380" i="2"/>
  <c r="B380" i="2"/>
  <c r="AR379" i="2"/>
  <c r="AM379" i="2"/>
  <c r="AG379" i="2"/>
  <c r="AF379" i="2"/>
  <c r="AC379" i="2"/>
  <c r="AA379" i="2"/>
  <c r="K379" i="2" s="1"/>
  <c r="Z379" i="2"/>
  <c r="W379" i="2"/>
  <c r="Q379" i="2"/>
  <c r="P379" i="2"/>
  <c r="AQ379" i="2" s="1"/>
  <c r="O379" i="2"/>
  <c r="AP379" i="2" s="1"/>
  <c r="N379" i="2"/>
  <c r="AO379" i="2" s="1"/>
  <c r="M379" i="2"/>
  <c r="L379" i="2"/>
  <c r="H379" i="2"/>
  <c r="B379" i="2"/>
  <c r="AR378" i="2"/>
  <c r="AQ378" i="2"/>
  <c r="AP378" i="2"/>
  <c r="AN378" i="2"/>
  <c r="AM378" i="2"/>
  <c r="AG378" i="2"/>
  <c r="AF378" i="2"/>
  <c r="AD378" i="2"/>
  <c r="AC378" i="2"/>
  <c r="AA378" i="2"/>
  <c r="Z378" i="2"/>
  <c r="W378" i="2"/>
  <c r="P378" i="2"/>
  <c r="O378" i="2"/>
  <c r="N378" i="2"/>
  <c r="AO378" i="2" s="1"/>
  <c r="M378" i="2"/>
  <c r="Q378" i="2" s="1"/>
  <c r="L378" i="2"/>
  <c r="K378" i="2"/>
  <c r="H378" i="2"/>
  <c r="B378" i="2"/>
  <c r="AR377" i="2"/>
  <c r="AN377" i="2"/>
  <c r="AG377" i="2"/>
  <c r="AD377" i="2"/>
  <c r="AA377" i="2"/>
  <c r="Z377" i="2"/>
  <c r="W377" i="2"/>
  <c r="O377" i="2"/>
  <c r="AP377" i="2" s="1"/>
  <c r="N377" i="2"/>
  <c r="AO377" i="2" s="1"/>
  <c r="L377" i="2"/>
  <c r="H377" i="2"/>
  <c r="AF377" i="2" s="1"/>
  <c r="E377" i="2"/>
  <c r="B377" i="2"/>
  <c r="AR376" i="2"/>
  <c r="AG376" i="2"/>
  <c r="AD376" i="2"/>
  <c r="AE376" i="2" s="1"/>
  <c r="AC376" i="2"/>
  <c r="AA376" i="2"/>
  <c r="Z376" i="2"/>
  <c r="W376" i="2"/>
  <c r="M376" i="2"/>
  <c r="Q376" i="2" s="1"/>
  <c r="L376" i="2"/>
  <c r="B376" i="2"/>
  <c r="AR375" i="2"/>
  <c r="AQ375" i="2"/>
  <c r="AN375" i="2"/>
  <c r="AM375" i="2"/>
  <c r="AK375" i="2"/>
  <c r="AJ375" i="2"/>
  <c r="AI375" i="2"/>
  <c r="AG375" i="2"/>
  <c r="AF375" i="2"/>
  <c r="AE375" i="2"/>
  <c r="AD375" i="2"/>
  <c r="AC375" i="2"/>
  <c r="AB375" i="2"/>
  <c r="AA375" i="2"/>
  <c r="Z375" i="2"/>
  <c r="W375" i="2"/>
  <c r="P375" i="2"/>
  <c r="O375" i="2"/>
  <c r="AP375" i="2" s="1"/>
  <c r="M375" i="2"/>
  <c r="Q375" i="2" s="1"/>
  <c r="L375" i="2"/>
  <c r="H375" i="2"/>
  <c r="E375" i="2"/>
  <c r="B375" i="2"/>
  <c r="AR374" i="2"/>
  <c r="AQ374" i="2"/>
  <c r="AN374" i="2"/>
  <c r="AM374" i="2"/>
  <c r="AG374" i="2"/>
  <c r="AA374" i="2"/>
  <c r="Z374" i="2"/>
  <c r="W374" i="2"/>
  <c r="Q374" i="2"/>
  <c r="P374" i="2"/>
  <c r="M374" i="2"/>
  <c r="L374" i="2"/>
  <c r="K374" i="2"/>
  <c r="H374" i="2"/>
  <c r="AF374" i="2" s="1"/>
  <c r="E374" i="2"/>
  <c r="B374" i="2"/>
  <c r="AR373" i="2"/>
  <c r="AQ373" i="2"/>
  <c r="AN373" i="2"/>
  <c r="AM373" i="2"/>
  <c r="AG373" i="2"/>
  <c r="AE373" i="2"/>
  <c r="AC373" i="2"/>
  <c r="AB373" i="2"/>
  <c r="AA373" i="2"/>
  <c r="N373" i="2" s="1"/>
  <c r="AO373" i="2" s="1"/>
  <c r="Z373" i="2"/>
  <c r="AD373" i="2" s="1"/>
  <c r="W373" i="2"/>
  <c r="P373" i="2"/>
  <c r="O373" i="2"/>
  <c r="AP373" i="2" s="1"/>
  <c r="L373" i="2"/>
  <c r="E373" i="2"/>
  <c r="B373" i="2"/>
  <c r="AR372" i="2"/>
  <c r="AQ372" i="2"/>
  <c r="AP372" i="2"/>
  <c r="AN372" i="2"/>
  <c r="AK372" i="2"/>
  <c r="AI372" i="2"/>
  <c r="AG372" i="2"/>
  <c r="AF372" i="2"/>
  <c r="AE372" i="2"/>
  <c r="AD372" i="2"/>
  <c r="AC372" i="2"/>
  <c r="AA372" i="2"/>
  <c r="Z372" i="2"/>
  <c r="AB372" i="2" s="1"/>
  <c r="W372" i="2"/>
  <c r="Q372" i="2"/>
  <c r="P372" i="2"/>
  <c r="O372" i="2"/>
  <c r="N372" i="2"/>
  <c r="AO372" i="2" s="1"/>
  <c r="M372" i="2"/>
  <c r="L372" i="2"/>
  <c r="H372" i="2"/>
  <c r="E372" i="2"/>
  <c r="B372" i="2"/>
  <c r="AR371" i="2"/>
  <c r="AQ371" i="2"/>
  <c r="AN371" i="2"/>
  <c r="AM371" i="2"/>
  <c r="AG371" i="2"/>
  <c r="AD371" i="2"/>
  <c r="AC371" i="2"/>
  <c r="AB371" i="2"/>
  <c r="AA371" i="2"/>
  <c r="K371" i="2" s="1"/>
  <c r="Z371" i="2"/>
  <c r="E371" i="2" s="1"/>
  <c r="W371" i="2"/>
  <c r="P371" i="2"/>
  <c r="O371" i="2"/>
  <c r="AP371" i="2" s="1"/>
  <c r="N371" i="2"/>
  <c r="AO371" i="2" s="1"/>
  <c r="M371" i="2"/>
  <c r="Q371" i="2" s="1"/>
  <c r="L371" i="2"/>
  <c r="H371" i="2"/>
  <c r="AF371" i="2" s="1"/>
  <c r="B371" i="2"/>
  <c r="AR370" i="2"/>
  <c r="AM370" i="2"/>
  <c r="AG370" i="2"/>
  <c r="AA370" i="2"/>
  <c r="Z370" i="2"/>
  <c r="W370" i="2"/>
  <c r="P370" i="2"/>
  <c r="AQ370" i="2" s="1"/>
  <c r="L370" i="2"/>
  <c r="E370" i="2"/>
  <c r="B370" i="2"/>
  <c r="AR369" i="2"/>
  <c r="AQ369" i="2"/>
  <c r="AP369" i="2"/>
  <c r="AN369" i="2"/>
  <c r="AM369" i="2"/>
  <c r="AG369" i="2"/>
  <c r="AF369" i="2"/>
  <c r="AC369" i="2"/>
  <c r="AB369" i="2"/>
  <c r="AA369" i="2"/>
  <c r="K369" i="2" s="1"/>
  <c r="Z369" i="2"/>
  <c r="AD369" i="2" s="1"/>
  <c r="W369" i="2"/>
  <c r="P369" i="2"/>
  <c r="O369" i="2"/>
  <c r="N369" i="2"/>
  <c r="AO369" i="2" s="1"/>
  <c r="M369" i="2"/>
  <c r="Q369" i="2" s="1"/>
  <c r="L369" i="2"/>
  <c r="H369" i="2"/>
  <c r="E369" i="2"/>
  <c r="B369" i="2"/>
  <c r="AR368" i="2"/>
  <c r="AG368" i="2"/>
  <c r="AD368" i="2"/>
  <c r="AE368" i="2" s="1"/>
  <c r="AC368" i="2"/>
  <c r="AA368" i="2"/>
  <c r="Z368" i="2"/>
  <c r="W368" i="2"/>
  <c r="L368" i="2"/>
  <c r="B368" i="2"/>
  <c r="AR367" i="2"/>
  <c r="AQ367" i="2"/>
  <c r="AO367" i="2"/>
  <c r="AN367" i="2"/>
  <c r="AM367" i="2"/>
  <c r="AG367" i="2"/>
  <c r="AF367" i="2"/>
  <c r="AA367" i="2"/>
  <c r="K367" i="2" s="1"/>
  <c r="Z367" i="2"/>
  <c r="W367" i="2"/>
  <c r="P367" i="2"/>
  <c r="O367" i="2"/>
  <c r="AP367" i="2" s="1"/>
  <c r="N367" i="2"/>
  <c r="M367" i="2"/>
  <c r="Q367" i="2" s="1"/>
  <c r="L367" i="2"/>
  <c r="H367" i="2"/>
  <c r="B367" i="2"/>
  <c r="AR366" i="2"/>
  <c r="AQ366" i="2"/>
  <c r="AO366" i="2"/>
  <c r="AN366" i="2"/>
  <c r="AM366" i="2"/>
  <c r="AG366" i="2"/>
  <c r="AF366" i="2"/>
  <c r="AC366" i="2"/>
  <c r="AA366" i="2"/>
  <c r="P366" i="2" s="1"/>
  <c r="Z366" i="2"/>
  <c r="W366" i="2"/>
  <c r="O366" i="2"/>
  <c r="AP366" i="2" s="1"/>
  <c r="N366" i="2"/>
  <c r="M366" i="2"/>
  <c r="Q366" i="2" s="1"/>
  <c r="L366" i="2"/>
  <c r="K366" i="2"/>
  <c r="H366" i="2"/>
  <c r="B366" i="2"/>
  <c r="AR365" i="2"/>
  <c r="AG365" i="2"/>
  <c r="AC365" i="2"/>
  <c r="AB365" i="2"/>
  <c r="AA365" i="2"/>
  <c r="Z365" i="2"/>
  <c r="AD365" i="2" s="1"/>
  <c r="W365" i="2"/>
  <c r="O365" i="2"/>
  <c r="AP365" i="2" s="1"/>
  <c r="M365" i="2"/>
  <c r="Q365" i="2" s="1"/>
  <c r="L365" i="2"/>
  <c r="H365" i="2"/>
  <c r="AF365" i="2" s="1"/>
  <c r="E365" i="2"/>
  <c r="B365" i="2"/>
  <c r="AR364" i="2"/>
  <c r="AG364" i="2"/>
  <c r="AC364" i="2"/>
  <c r="AA364" i="2"/>
  <c r="Z364" i="2"/>
  <c r="W364" i="2"/>
  <c r="L364" i="2"/>
  <c r="K364" i="2"/>
  <c r="E364" i="2"/>
  <c r="B364" i="2"/>
  <c r="AR363" i="2"/>
  <c r="AN363" i="2"/>
  <c r="AG363" i="2"/>
  <c r="AD363" i="2"/>
  <c r="AE363" i="2" s="1"/>
  <c r="AC363" i="2"/>
  <c r="AB363" i="2"/>
  <c r="AA363" i="2"/>
  <c r="Z363" i="2"/>
  <c r="W363" i="2"/>
  <c r="P363" i="2"/>
  <c r="AQ363" i="2" s="1"/>
  <c r="M363" i="2"/>
  <c r="Q363" i="2" s="1"/>
  <c r="L363" i="2"/>
  <c r="E363" i="2"/>
  <c r="B363" i="2"/>
  <c r="AR362" i="2"/>
  <c r="AG362" i="2"/>
  <c r="AC362" i="2"/>
  <c r="AA362" i="2"/>
  <c r="Z362" i="2"/>
  <c r="AB362" i="2" s="1"/>
  <c r="W362" i="2"/>
  <c r="L362" i="2"/>
  <c r="E362" i="2"/>
  <c r="B362" i="2"/>
  <c r="AR361" i="2"/>
  <c r="AG361" i="2"/>
  <c r="AC361" i="2"/>
  <c r="AB361" i="2"/>
  <c r="AA361" i="2"/>
  <c r="Z361" i="2"/>
  <c r="W361" i="2"/>
  <c r="N361" i="2"/>
  <c r="AO361" i="2" s="1"/>
  <c r="L361" i="2"/>
  <c r="B361" i="2"/>
  <c r="AR360" i="2"/>
  <c r="AN360" i="2"/>
  <c r="AM360" i="2"/>
  <c r="AG360" i="2"/>
  <c r="AF360" i="2"/>
  <c r="AB360" i="2"/>
  <c r="AA360" i="2"/>
  <c r="Z360" i="2"/>
  <c r="AD360" i="2" s="1"/>
  <c r="W360" i="2"/>
  <c r="N360" i="2"/>
  <c r="AO360" i="2" s="1"/>
  <c r="M360" i="2"/>
  <c r="Q360" i="2" s="1"/>
  <c r="L360" i="2"/>
  <c r="K360" i="2"/>
  <c r="H360" i="2"/>
  <c r="E360" i="2"/>
  <c r="B360" i="2"/>
  <c r="AR359" i="2"/>
  <c r="AP359" i="2"/>
  <c r="AG359" i="2"/>
  <c r="AB359" i="2"/>
  <c r="AA359" i="2"/>
  <c r="Z359" i="2"/>
  <c r="E359" i="2" s="1"/>
  <c r="W359" i="2"/>
  <c r="O359" i="2"/>
  <c r="N359" i="2"/>
  <c r="AO359" i="2" s="1"/>
  <c r="L359" i="2"/>
  <c r="K359" i="2"/>
  <c r="H359" i="2"/>
  <c r="AF359" i="2" s="1"/>
  <c r="B359" i="2"/>
  <c r="AR358" i="2"/>
  <c r="AP358" i="2"/>
  <c r="AN358" i="2"/>
  <c r="AM358" i="2"/>
  <c r="AG358" i="2"/>
  <c r="AB358" i="2"/>
  <c r="AA358" i="2"/>
  <c r="Z358" i="2"/>
  <c r="AD358" i="2" s="1"/>
  <c r="W358" i="2"/>
  <c r="Q358" i="2"/>
  <c r="P358" i="2"/>
  <c r="AQ358" i="2" s="1"/>
  <c r="O358" i="2"/>
  <c r="N358" i="2"/>
  <c r="AO358" i="2" s="1"/>
  <c r="M358" i="2"/>
  <c r="L358" i="2"/>
  <c r="K358" i="2"/>
  <c r="H358" i="2"/>
  <c r="AF358" i="2" s="1"/>
  <c r="E358" i="2"/>
  <c r="B358" i="2"/>
  <c r="AR357" i="2"/>
  <c r="AG357" i="2"/>
  <c r="AD357" i="2"/>
  <c r="AB357" i="2"/>
  <c r="AA357" i="2"/>
  <c r="Z357" i="2"/>
  <c r="W357" i="2"/>
  <c r="N357" i="2"/>
  <c r="AO357" i="2" s="1"/>
  <c r="L357" i="2"/>
  <c r="H357" i="2"/>
  <c r="AF357" i="2" s="1"/>
  <c r="B357" i="2"/>
  <c r="AR356" i="2"/>
  <c r="AQ356" i="2"/>
  <c r="AG356" i="2"/>
  <c r="AB356" i="2"/>
  <c r="AA356" i="2"/>
  <c r="Z356" i="2"/>
  <c r="AD356" i="2" s="1"/>
  <c r="W356" i="2"/>
  <c r="Q356" i="2"/>
  <c r="P356" i="2"/>
  <c r="N356" i="2"/>
  <c r="AO356" i="2" s="1"/>
  <c r="M356" i="2"/>
  <c r="L356" i="2"/>
  <c r="K356" i="2"/>
  <c r="E356" i="2"/>
  <c r="B356" i="2"/>
  <c r="AR355" i="2"/>
  <c r="AG355" i="2"/>
  <c r="AD355" i="2"/>
  <c r="AB355" i="2"/>
  <c r="AA355" i="2"/>
  <c r="Z355" i="2"/>
  <c r="W355" i="2"/>
  <c r="P355" i="2"/>
  <c r="AQ355" i="2" s="1"/>
  <c r="O355" i="2"/>
  <c r="AP355" i="2" s="1"/>
  <c r="N355" i="2"/>
  <c r="AO355" i="2" s="1"/>
  <c r="L355" i="2"/>
  <c r="H355" i="2"/>
  <c r="AF355" i="2" s="1"/>
  <c r="B355" i="2"/>
  <c r="AR354" i="2"/>
  <c r="AG354" i="2"/>
  <c r="AB354" i="2"/>
  <c r="AA354" i="2"/>
  <c r="Z354" i="2"/>
  <c r="AD354" i="2" s="1"/>
  <c r="W354" i="2"/>
  <c r="L354" i="2"/>
  <c r="E354" i="2"/>
  <c r="B354" i="2"/>
  <c r="AR353" i="2"/>
  <c r="AG353" i="2"/>
  <c r="AF353" i="2"/>
  <c r="AA353" i="2"/>
  <c r="Z353" i="2"/>
  <c r="W353" i="2"/>
  <c r="P353" i="2"/>
  <c r="AQ353" i="2" s="1"/>
  <c r="N353" i="2"/>
  <c r="AO353" i="2" s="1"/>
  <c r="L353" i="2"/>
  <c r="K353" i="2"/>
  <c r="H353" i="2"/>
  <c r="B353" i="2"/>
  <c r="AR352" i="2"/>
  <c r="AN352" i="2"/>
  <c r="AM352" i="2"/>
  <c r="AG352" i="2"/>
  <c r="AF352" i="2"/>
  <c r="AB352" i="2"/>
  <c r="AA352" i="2"/>
  <c r="Z352" i="2"/>
  <c r="AD352" i="2" s="1"/>
  <c r="W352" i="2"/>
  <c r="P352" i="2"/>
  <c r="AQ352" i="2" s="1"/>
  <c r="O352" i="2"/>
  <c r="AP352" i="2" s="1"/>
  <c r="N352" i="2"/>
  <c r="AO352" i="2" s="1"/>
  <c r="M352" i="2"/>
  <c r="Q352" i="2" s="1"/>
  <c r="L352" i="2"/>
  <c r="K352" i="2"/>
  <c r="H352" i="2"/>
  <c r="E352" i="2"/>
  <c r="B352" i="2"/>
  <c r="AR351" i="2"/>
  <c r="AG351" i="2"/>
  <c r="AD351" i="2"/>
  <c r="AA351" i="2"/>
  <c r="Z351" i="2"/>
  <c r="W351" i="2"/>
  <c r="L351" i="2"/>
  <c r="K351" i="2"/>
  <c r="B351" i="2"/>
  <c r="AR350" i="2"/>
  <c r="AP350" i="2"/>
  <c r="AO350" i="2"/>
  <c r="AN350" i="2"/>
  <c r="AM350" i="2"/>
  <c r="AG350" i="2"/>
  <c r="AB350" i="2"/>
  <c r="AA350" i="2"/>
  <c r="Z350" i="2"/>
  <c r="AD350" i="2" s="1"/>
  <c r="W350" i="2"/>
  <c r="P350" i="2"/>
  <c r="AQ350" i="2" s="1"/>
  <c r="O350" i="2"/>
  <c r="N350" i="2"/>
  <c r="M350" i="2"/>
  <c r="Q350" i="2" s="1"/>
  <c r="L350" i="2"/>
  <c r="K350" i="2"/>
  <c r="H350" i="2"/>
  <c r="AF350" i="2" s="1"/>
  <c r="E350" i="2"/>
  <c r="B350" i="2"/>
  <c r="AR349" i="2"/>
  <c r="AG349" i="2"/>
  <c r="AD349" i="2"/>
  <c r="AA349" i="2"/>
  <c r="Z349" i="2"/>
  <c r="W349" i="2"/>
  <c r="L349" i="2"/>
  <c r="B349" i="2"/>
  <c r="AR348" i="2"/>
  <c r="AG348" i="2"/>
  <c r="AB348" i="2"/>
  <c r="AA348" i="2"/>
  <c r="Z348" i="2"/>
  <c r="W348" i="2"/>
  <c r="O348" i="2"/>
  <c r="AP348" i="2" s="1"/>
  <c r="L348" i="2"/>
  <c r="B348" i="2"/>
  <c r="AR347" i="2"/>
  <c r="AQ347" i="2"/>
  <c r="AG347" i="2"/>
  <c r="AF347" i="2"/>
  <c r="AD347" i="2"/>
  <c r="AA347" i="2"/>
  <c r="Z347" i="2"/>
  <c r="W347" i="2"/>
  <c r="P347" i="2"/>
  <c r="L347" i="2"/>
  <c r="K347" i="2"/>
  <c r="H347" i="2"/>
  <c r="B347" i="2"/>
  <c r="AR346" i="2"/>
  <c r="AG346" i="2"/>
  <c r="AF346" i="2"/>
  <c r="AB346" i="2"/>
  <c r="AA346" i="2"/>
  <c r="Z346" i="2"/>
  <c r="W346" i="2"/>
  <c r="O346" i="2"/>
  <c r="AP346" i="2" s="1"/>
  <c r="N346" i="2"/>
  <c r="AO346" i="2" s="1"/>
  <c r="L346" i="2"/>
  <c r="K346" i="2"/>
  <c r="H346" i="2"/>
  <c r="B346" i="2"/>
  <c r="AR345" i="2"/>
  <c r="AG345" i="2"/>
  <c r="AA345" i="2"/>
  <c r="Z345" i="2"/>
  <c r="W345" i="2"/>
  <c r="O345" i="2"/>
  <c r="AP345" i="2" s="1"/>
  <c r="N345" i="2"/>
  <c r="AO345" i="2" s="1"/>
  <c r="L345" i="2"/>
  <c r="K345" i="2"/>
  <c r="B345" i="2"/>
  <c r="AR344" i="2"/>
  <c r="AQ344" i="2"/>
  <c r="AP344" i="2"/>
  <c r="AO344" i="2"/>
  <c r="AN344" i="2"/>
  <c r="AM344" i="2"/>
  <c r="AG344" i="2"/>
  <c r="AA344" i="2"/>
  <c r="Z344" i="2"/>
  <c r="W344" i="2"/>
  <c r="P344" i="2"/>
  <c r="O344" i="2"/>
  <c r="N344" i="2"/>
  <c r="M344" i="2"/>
  <c r="Q344" i="2" s="1"/>
  <c r="L344" i="2"/>
  <c r="K344" i="2"/>
  <c r="H344" i="2"/>
  <c r="AF344" i="2" s="1"/>
  <c r="E344" i="2"/>
  <c r="B344" i="2"/>
  <c r="AR343" i="2"/>
  <c r="AG343" i="2"/>
  <c r="AD343" i="2"/>
  <c r="AC343" i="2"/>
  <c r="AB343" i="2"/>
  <c r="AA343" i="2"/>
  <c r="Z343" i="2"/>
  <c r="W343" i="2"/>
  <c r="P343" i="2"/>
  <c r="AQ343" i="2" s="1"/>
  <c r="O343" i="2"/>
  <c r="AP343" i="2" s="1"/>
  <c r="L343" i="2"/>
  <c r="E343" i="2"/>
  <c r="B343" i="2"/>
  <c r="AR342" i="2"/>
  <c r="AM342" i="2"/>
  <c r="AG342" i="2"/>
  <c r="AB342" i="2"/>
  <c r="AA342" i="2"/>
  <c r="Z342" i="2"/>
  <c r="W342" i="2"/>
  <c r="N342" i="2"/>
  <c r="AO342" i="2" s="1"/>
  <c r="L342" i="2"/>
  <c r="E342" i="2"/>
  <c r="B342" i="2"/>
  <c r="AR341" i="2"/>
  <c r="AQ341" i="2"/>
  <c r="AP341" i="2"/>
  <c r="AO341" i="2"/>
  <c r="AG341" i="2"/>
  <c r="AE341" i="2"/>
  <c r="AC341" i="2"/>
  <c r="AB341" i="2"/>
  <c r="AA341" i="2"/>
  <c r="Z341" i="2"/>
  <c r="AD341" i="2" s="1"/>
  <c r="W341" i="2"/>
  <c r="P341" i="2"/>
  <c r="O341" i="2"/>
  <c r="N341" i="2"/>
  <c r="L341" i="2"/>
  <c r="K341" i="2"/>
  <c r="H341" i="2"/>
  <c r="AF341" i="2" s="1"/>
  <c r="E341" i="2"/>
  <c r="B341" i="2"/>
  <c r="AR340" i="2"/>
  <c r="AN340" i="2"/>
  <c r="AG340" i="2"/>
  <c r="AB340" i="2"/>
  <c r="AA340" i="2"/>
  <c r="Z340" i="2"/>
  <c r="W340" i="2"/>
  <c r="P340" i="2"/>
  <c r="AQ340" i="2" s="1"/>
  <c r="O340" i="2"/>
  <c r="AP340" i="2" s="1"/>
  <c r="L340" i="2"/>
  <c r="K340" i="2"/>
  <c r="E340" i="2"/>
  <c r="B340" i="2"/>
  <c r="AR339" i="2"/>
  <c r="AG339" i="2"/>
  <c r="AD339" i="2"/>
  <c r="AA339" i="2"/>
  <c r="Z339" i="2"/>
  <c r="W339" i="2"/>
  <c r="P339" i="2"/>
  <c r="AQ339" i="2" s="1"/>
  <c r="N339" i="2"/>
  <c r="AO339" i="2" s="1"/>
  <c r="L339" i="2"/>
  <c r="K339" i="2"/>
  <c r="E339" i="2"/>
  <c r="B339" i="2"/>
  <c r="AR338" i="2"/>
  <c r="AG338" i="2"/>
  <c r="AA338" i="2"/>
  <c r="Z338" i="2"/>
  <c r="W338" i="2"/>
  <c r="L338" i="2"/>
  <c r="H338" i="2"/>
  <c r="AF338" i="2" s="1"/>
  <c r="B338" i="2"/>
  <c r="AR337" i="2"/>
  <c r="AG337" i="2"/>
  <c r="AC337" i="2"/>
  <c r="AA337" i="2"/>
  <c r="Z337" i="2"/>
  <c r="W337" i="2"/>
  <c r="L337" i="2"/>
  <c r="B337" i="2"/>
  <c r="AR336" i="2"/>
  <c r="AN336" i="2"/>
  <c r="AM336" i="2"/>
  <c r="AG336" i="2"/>
  <c r="AA336" i="2"/>
  <c r="Z336" i="2"/>
  <c r="W336" i="2"/>
  <c r="P336" i="2"/>
  <c r="AQ336" i="2" s="1"/>
  <c r="O336" i="2"/>
  <c r="AP336" i="2" s="1"/>
  <c r="N336" i="2"/>
  <c r="AO336" i="2" s="1"/>
  <c r="M336" i="2"/>
  <c r="Q336" i="2" s="1"/>
  <c r="L336" i="2"/>
  <c r="K336" i="2"/>
  <c r="H336" i="2"/>
  <c r="AF336" i="2" s="1"/>
  <c r="B336" i="2"/>
  <c r="AR335" i="2"/>
  <c r="AG335" i="2"/>
  <c r="AA335" i="2"/>
  <c r="Z335" i="2"/>
  <c r="W335" i="2"/>
  <c r="N335" i="2"/>
  <c r="AO335" i="2" s="1"/>
  <c r="L335" i="2"/>
  <c r="B335" i="2"/>
  <c r="AR334" i="2"/>
  <c r="AQ334" i="2"/>
  <c r="AP334" i="2"/>
  <c r="AN334" i="2"/>
  <c r="AM334" i="2"/>
  <c r="AG334" i="2"/>
  <c r="AF334" i="2"/>
  <c r="AB334" i="2"/>
  <c r="AA334" i="2"/>
  <c r="O334" i="2" s="1"/>
  <c r="Z334" i="2"/>
  <c r="W334" i="2"/>
  <c r="Q334" i="2"/>
  <c r="P334" i="2"/>
  <c r="N334" i="2"/>
  <c r="AO334" i="2" s="1"/>
  <c r="M334" i="2"/>
  <c r="L334" i="2"/>
  <c r="K334" i="2"/>
  <c r="H334" i="2"/>
  <c r="E334" i="2"/>
  <c r="B334" i="2"/>
  <c r="AR333" i="2"/>
  <c r="AQ333" i="2"/>
  <c r="AP333" i="2"/>
  <c r="AG333" i="2"/>
  <c r="AC333" i="2"/>
  <c r="AA333" i="2"/>
  <c r="Z333" i="2"/>
  <c r="W333" i="2"/>
  <c r="P333" i="2"/>
  <c r="O333" i="2"/>
  <c r="N333" i="2"/>
  <c r="AO333" i="2" s="1"/>
  <c r="L333" i="2"/>
  <c r="K333" i="2"/>
  <c r="H333" i="2"/>
  <c r="AF333" i="2" s="1"/>
  <c r="B333" i="2"/>
  <c r="AR332" i="2"/>
  <c r="AG332" i="2"/>
  <c r="AB332" i="2"/>
  <c r="AA332" i="2"/>
  <c r="Z332" i="2"/>
  <c r="W332" i="2"/>
  <c r="O332" i="2"/>
  <c r="AP332" i="2" s="1"/>
  <c r="L332" i="2"/>
  <c r="E332" i="2"/>
  <c r="B332" i="2"/>
  <c r="AR331" i="2"/>
  <c r="AG331" i="2"/>
  <c r="AD331" i="2"/>
  <c r="AA331" i="2"/>
  <c r="Z331" i="2"/>
  <c r="W331" i="2"/>
  <c r="L331" i="2"/>
  <c r="K331" i="2"/>
  <c r="H331" i="2"/>
  <c r="AF331" i="2" s="1"/>
  <c r="B331" i="2"/>
  <c r="AR330" i="2"/>
  <c r="AN330" i="2"/>
  <c r="AM330" i="2"/>
  <c r="AG330" i="2"/>
  <c r="AA330" i="2"/>
  <c r="H330" i="2" s="1"/>
  <c r="AF330" i="2" s="1"/>
  <c r="Z330" i="2"/>
  <c r="W330" i="2"/>
  <c r="L330" i="2"/>
  <c r="K330" i="2"/>
  <c r="B330" i="2"/>
  <c r="AR329" i="2"/>
  <c r="AG329" i="2"/>
  <c r="AD329" i="2"/>
  <c r="AE329" i="2" s="1"/>
  <c r="AC329" i="2"/>
  <c r="AB329" i="2"/>
  <c r="AA329" i="2"/>
  <c r="Z329" i="2"/>
  <c r="E329" i="2" s="1"/>
  <c r="W329" i="2"/>
  <c r="L329" i="2"/>
  <c r="H329" i="2"/>
  <c r="AF329" i="2" s="1"/>
  <c r="B329" i="2"/>
  <c r="AR328" i="2"/>
  <c r="AQ328" i="2"/>
  <c r="AN328" i="2"/>
  <c r="AM328" i="2"/>
  <c r="AG328" i="2"/>
  <c r="AA328" i="2"/>
  <c r="Z328" i="2"/>
  <c r="W328" i="2"/>
  <c r="P328" i="2"/>
  <c r="O328" i="2"/>
  <c r="AP328" i="2" s="1"/>
  <c r="N328" i="2"/>
  <c r="AO328" i="2" s="1"/>
  <c r="M328" i="2"/>
  <c r="Q328" i="2" s="1"/>
  <c r="L328" i="2"/>
  <c r="K328" i="2"/>
  <c r="H328" i="2"/>
  <c r="AF328" i="2" s="1"/>
  <c r="E328" i="2"/>
  <c r="B328" i="2"/>
  <c r="AR327" i="2"/>
  <c r="AM327" i="2"/>
  <c r="AG327" i="2"/>
  <c r="AD327" i="2"/>
  <c r="AB327" i="2"/>
  <c r="AA327" i="2"/>
  <c r="Z327" i="2"/>
  <c r="W327" i="2"/>
  <c r="P327" i="2"/>
  <c r="AQ327" i="2" s="1"/>
  <c r="O327" i="2"/>
  <c r="AP327" i="2" s="1"/>
  <c r="L327" i="2"/>
  <c r="K327" i="2"/>
  <c r="H327" i="2"/>
  <c r="AF327" i="2" s="1"/>
  <c r="B327" i="2"/>
  <c r="AR326" i="2"/>
  <c r="AP326" i="2"/>
  <c r="AN326" i="2"/>
  <c r="AG326" i="2"/>
  <c r="AF326" i="2"/>
  <c r="AA326" i="2"/>
  <c r="O326" i="2" s="1"/>
  <c r="Z326" i="2"/>
  <c r="W326" i="2"/>
  <c r="P326" i="2"/>
  <c r="AQ326" i="2" s="1"/>
  <c r="N326" i="2"/>
  <c r="AO326" i="2" s="1"/>
  <c r="M326" i="2"/>
  <c r="Q326" i="2" s="1"/>
  <c r="L326" i="2"/>
  <c r="K326" i="2"/>
  <c r="H326" i="2"/>
  <c r="E326" i="2"/>
  <c r="B326" i="2"/>
  <c r="AR325" i="2"/>
  <c r="AP325" i="2"/>
  <c r="AM325" i="2"/>
  <c r="AG325" i="2"/>
  <c r="AD325" i="2"/>
  <c r="AE325" i="2" s="1"/>
  <c r="AC325" i="2"/>
  <c r="AA325" i="2"/>
  <c r="Z325" i="2"/>
  <c r="E325" i="2" s="1"/>
  <c r="W325" i="2"/>
  <c r="P325" i="2"/>
  <c r="AQ325" i="2" s="1"/>
  <c r="O325" i="2"/>
  <c r="N325" i="2"/>
  <c r="AO325" i="2" s="1"/>
  <c r="L325" i="2"/>
  <c r="B325" i="2"/>
  <c r="AR324" i="2"/>
  <c r="AM324" i="2"/>
  <c r="AG324" i="2"/>
  <c r="AE324" i="2"/>
  <c r="AC324" i="2"/>
  <c r="AB324" i="2"/>
  <c r="AA324" i="2"/>
  <c r="K324" i="2" s="1"/>
  <c r="Z324" i="2"/>
  <c r="AD324" i="2" s="1"/>
  <c r="W324" i="2"/>
  <c r="P324" i="2"/>
  <c r="AQ324" i="2" s="1"/>
  <c r="M324" i="2"/>
  <c r="Q324" i="2" s="1"/>
  <c r="L324" i="2"/>
  <c r="H324" i="2"/>
  <c r="AF324" i="2" s="1"/>
  <c r="E324" i="2"/>
  <c r="B324" i="2"/>
  <c r="AR323" i="2"/>
  <c r="AQ323" i="2"/>
  <c r="AP323" i="2"/>
  <c r="AM323" i="2"/>
  <c r="AG323" i="2"/>
  <c r="AD323" i="2"/>
  <c r="AE323" i="2" s="1"/>
  <c r="AC323" i="2"/>
  <c r="AA323" i="2"/>
  <c r="O323" i="2" s="1"/>
  <c r="Z323" i="2"/>
  <c r="AB323" i="2" s="1"/>
  <c r="W323" i="2"/>
  <c r="P323" i="2"/>
  <c r="N323" i="2"/>
  <c r="AO323" i="2" s="1"/>
  <c r="L323" i="2"/>
  <c r="K323" i="2"/>
  <c r="H323" i="2"/>
  <c r="AF323" i="2" s="1"/>
  <c r="B323" i="2"/>
  <c r="AR322" i="2"/>
  <c r="AG322" i="2"/>
  <c r="AC322" i="2"/>
  <c r="AA322" i="2"/>
  <c r="Z322" i="2"/>
  <c r="W322" i="2"/>
  <c r="M322" i="2"/>
  <c r="Q322" i="2" s="1"/>
  <c r="L322" i="2"/>
  <c r="B322" i="2"/>
  <c r="AR321" i="2"/>
  <c r="AG321" i="2"/>
  <c r="AA321" i="2"/>
  <c r="Z321" i="2"/>
  <c r="W321" i="2"/>
  <c r="P321" i="2"/>
  <c r="AQ321" i="2" s="1"/>
  <c r="O321" i="2"/>
  <c r="AP321" i="2" s="1"/>
  <c r="L321" i="2"/>
  <c r="K321" i="2"/>
  <c r="H321" i="2"/>
  <c r="AF321" i="2" s="1"/>
  <c r="B321" i="2"/>
  <c r="AR320" i="2"/>
  <c r="AG320" i="2"/>
  <c r="AF320" i="2"/>
  <c r="AE320" i="2"/>
  <c r="AC320" i="2"/>
  <c r="AB320" i="2"/>
  <c r="AA320" i="2"/>
  <c r="Z320" i="2"/>
  <c r="AD320" i="2" s="1"/>
  <c r="W320" i="2"/>
  <c r="P320" i="2"/>
  <c r="AQ320" i="2" s="1"/>
  <c r="N320" i="2"/>
  <c r="AO320" i="2" s="1"/>
  <c r="L320" i="2"/>
  <c r="K320" i="2"/>
  <c r="H320" i="2"/>
  <c r="E320" i="2"/>
  <c r="B320" i="2"/>
  <c r="AR319" i="2"/>
  <c r="AM319" i="2"/>
  <c r="AG319" i="2"/>
  <c r="AD319" i="2"/>
  <c r="AA319" i="2"/>
  <c r="N319" i="2" s="1"/>
  <c r="AO319" i="2" s="1"/>
  <c r="Z319" i="2"/>
  <c r="W319" i="2"/>
  <c r="P319" i="2"/>
  <c r="AQ319" i="2" s="1"/>
  <c r="L319" i="2"/>
  <c r="K319" i="2"/>
  <c r="H319" i="2"/>
  <c r="AF319" i="2" s="1"/>
  <c r="B319" i="2"/>
  <c r="AR318" i="2"/>
  <c r="AG318" i="2"/>
  <c r="AC318" i="2"/>
  <c r="AB318" i="2"/>
  <c r="AA318" i="2"/>
  <c r="Z318" i="2"/>
  <c r="W318" i="2"/>
  <c r="L318" i="2"/>
  <c r="B318" i="2"/>
  <c r="AR317" i="2"/>
  <c r="AG317" i="2"/>
  <c r="AE317" i="2"/>
  <c r="AD317" i="2"/>
  <c r="AC317" i="2"/>
  <c r="AB317" i="2"/>
  <c r="AA317" i="2"/>
  <c r="Z317" i="2"/>
  <c r="W317" i="2"/>
  <c r="P317" i="2"/>
  <c r="AQ317" i="2" s="1"/>
  <c r="L317" i="2"/>
  <c r="E317" i="2"/>
  <c r="B317" i="2"/>
  <c r="AR316" i="2"/>
  <c r="AP316" i="2"/>
  <c r="AO316" i="2"/>
  <c r="AN316" i="2"/>
  <c r="AM316" i="2"/>
  <c r="AL316" i="2"/>
  <c r="AG316" i="2"/>
  <c r="AF316" i="2"/>
  <c r="AE316" i="2"/>
  <c r="AC316" i="2"/>
  <c r="AB316" i="2"/>
  <c r="AA316" i="2"/>
  <c r="Z316" i="2"/>
  <c r="AD316" i="2" s="1"/>
  <c r="W316" i="2"/>
  <c r="P316" i="2"/>
  <c r="AQ316" i="2" s="1"/>
  <c r="O316" i="2"/>
  <c r="N316" i="2"/>
  <c r="M316" i="2"/>
  <c r="Q316" i="2" s="1"/>
  <c r="L316" i="2"/>
  <c r="K316" i="2"/>
  <c r="H316" i="2"/>
  <c r="E316" i="2"/>
  <c r="B316" i="2"/>
  <c r="AR315" i="2"/>
  <c r="AG315" i="2"/>
  <c r="AA315" i="2"/>
  <c r="Z315" i="2"/>
  <c r="W315" i="2"/>
  <c r="L315" i="2"/>
  <c r="B315" i="2"/>
  <c r="AR314" i="2"/>
  <c r="AG314" i="2"/>
  <c r="AA314" i="2"/>
  <c r="Z314" i="2"/>
  <c r="W314" i="2"/>
  <c r="P314" i="2"/>
  <c r="AQ314" i="2" s="1"/>
  <c r="N314" i="2"/>
  <c r="AO314" i="2" s="1"/>
  <c r="L314" i="2"/>
  <c r="K314" i="2"/>
  <c r="H314" i="2"/>
  <c r="AF314" i="2" s="1"/>
  <c r="B314" i="2"/>
  <c r="AR313" i="2"/>
  <c r="AG313" i="2"/>
  <c r="AD313" i="2"/>
  <c r="AC313" i="2"/>
  <c r="AB313" i="2"/>
  <c r="AA313" i="2"/>
  <c r="Z313" i="2"/>
  <c r="W313" i="2"/>
  <c r="N313" i="2"/>
  <c r="AO313" i="2" s="1"/>
  <c r="L313" i="2"/>
  <c r="E313" i="2"/>
  <c r="B313" i="2"/>
  <c r="AR312" i="2"/>
  <c r="AQ312" i="2"/>
  <c r="AO312" i="2"/>
  <c r="AN312" i="2"/>
  <c r="AM312" i="2"/>
  <c r="AG312" i="2"/>
  <c r="AA312" i="2"/>
  <c r="Z312" i="2"/>
  <c r="W312" i="2"/>
  <c r="P312" i="2"/>
  <c r="O312" i="2"/>
  <c r="AP312" i="2" s="1"/>
  <c r="N312" i="2"/>
  <c r="M312" i="2"/>
  <c r="Q312" i="2" s="1"/>
  <c r="L312" i="2"/>
  <c r="K312" i="2"/>
  <c r="H312" i="2"/>
  <c r="AF312" i="2" s="1"/>
  <c r="E312" i="2"/>
  <c r="B312" i="2"/>
  <c r="AR311" i="2"/>
  <c r="AM311" i="2"/>
  <c r="AG311" i="2"/>
  <c r="AA311" i="2"/>
  <c r="Z311" i="2"/>
  <c r="W311" i="2"/>
  <c r="P311" i="2"/>
  <c r="AQ311" i="2" s="1"/>
  <c r="O311" i="2"/>
  <c r="AP311" i="2" s="1"/>
  <c r="N311" i="2"/>
  <c r="AO311" i="2" s="1"/>
  <c r="L311" i="2"/>
  <c r="K311" i="2"/>
  <c r="H311" i="2"/>
  <c r="AF311" i="2" s="1"/>
  <c r="B311" i="2"/>
  <c r="AR310" i="2"/>
  <c r="AN310" i="2"/>
  <c r="AG310" i="2"/>
  <c r="AB310" i="2"/>
  <c r="AA310" i="2"/>
  <c r="Z310" i="2"/>
  <c r="W310" i="2"/>
  <c r="P310" i="2"/>
  <c r="AQ310" i="2" s="1"/>
  <c r="N310" i="2"/>
  <c r="AO310" i="2" s="1"/>
  <c r="M310" i="2"/>
  <c r="Q310" i="2" s="1"/>
  <c r="L310" i="2"/>
  <c r="E310" i="2"/>
  <c r="B310" i="2"/>
  <c r="AR309" i="2"/>
  <c r="AP309" i="2"/>
  <c r="AO309" i="2"/>
  <c r="AM309" i="2"/>
  <c r="AG309" i="2"/>
  <c r="AF309" i="2"/>
  <c r="AD309" i="2"/>
  <c r="AE309" i="2" s="1"/>
  <c r="AC309" i="2"/>
  <c r="AB309" i="2"/>
  <c r="AA309" i="2"/>
  <c r="Z309" i="2"/>
  <c r="W309" i="2"/>
  <c r="P309" i="2"/>
  <c r="AQ309" i="2" s="1"/>
  <c r="O309" i="2"/>
  <c r="N309" i="2"/>
  <c r="L309" i="2"/>
  <c r="K309" i="2"/>
  <c r="H309" i="2"/>
  <c r="E309" i="2"/>
  <c r="B309" i="2"/>
  <c r="AR308" i="2"/>
  <c r="AN308" i="2"/>
  <c r="AM308" i="2"/>
  <c r="AG308" i="2"/>
  <c r="AB308" i="2"/>
  <c r="AA308" i="2"/>
  <c r="M308" i="2" s="1"/>
  <c r="Q308" i="2" s="1"/>
  <c r="Z308" i="2"/>
  <c r="W308" i="2"/>
  <c r="P308" i="2"/>
  <c r="AQ308" i="2" s="1"/>
  <c r="L308" i="2"/>
  <c r="K308" i="2"/>
  <c r="H308" i="2"/>
  <c r="AF308" i="2" s="1"/>
  <c r="E308" i="2"/>
  <c r="B308" i="2"/>
  <c r="AR307" i="2"/>
  <c r="AM307" i="2"/>
  <c r="AG307" i="2"/>
  <c r="AF307" i="2"/>
  <c r="AC307" i="2"/>
  <c r="AB307" i="2"/>
  <c r="AA307" i="2"/>
  <c r="Z307" i="2"/>
  <c r="AD307" i="2" s="1"/>
  <c r="W307" i="2"/>
  <c r="P307" i="2"/>
  <c r="AQ307" i="2" s="1"/>
  <c r="O307" i="2"/>
  <c r="AP307" i="2" s="1"/>
  <c r="N307" i="2"/>
  <c r="AO307" i="2" s="1"/>
  <c r="L307" i="2"/>
  <c r="K307" i="2"/>
  <c r="H307" i="2"/>
  <c r="E307" i="2"/>
  <c r="B307" i="2"/>
  <c r="AR306" i="2"/>
  <c r="AG306" i="2"/>
  <c r="AA306" i="2"/>
  <c r="Z306" i="2"/>
  <c r="W306" i="2"/>
  <c r="P306" i="2"/>
  <c r="AQ306" i="2" s="1"/>
  <c r="L306" i="2"/>
  <c r="B306" i="2"/>
  <c r="AR305" i="2"/>
  <c r="AQ305" i="2"/>
  <c r="AO305" i="2"/>
  <c r="AM305" i="2"/>
  <c r="AK305" i="2"/>
  <c r="AG305" i="2"/>
  <c r="AF305" i="2"/>
  <c r="AD305" i="2"/>
  <c r="AE305" i="2" s="1"/>
  <c r="AC305" i="2"/>
  <c r="AA305" i="2"/>
  <c r="Z305" i="2"/>
  <c r="AB305" i="2" s="1"/>
  <c r="W305" i="2"/>
  <c r="P305" i="2"/>
  <c r="O305" i="2"/>
  <c r="AP305" i="2" s="1"/>
  <c r="N305" i="2"/>
  <c r="L305" i="2"/>
  <c r="K305" i="2"/>
  <c r="H305" i="2"/>
  <c r="E305" i="2"/>
  <c r="B305" i="2"/>
  <c r="AR304" i="2"/>
  <c r="AM304" i="2"/>
  <c r="AG304" i="2"/>
  <c r="AF304" i="2"/>
  <c r="AA304" i="2"/>
  <c r="AN304" i="2" s="1"/>
  <c r="Z304" i="2"/>
  <c r="W304" i="2"/>
  <c r="P304" i="2"/>
  <c r="AQ304" i="2" s="1"/>
  <c r="O304" i="2"/>
  <c r="AP304" i="2" s="1"/>
  <c r="N304" i="2"/>
  <c r="AO304" i="2" s="1"/>
  <c r="M304" i="2"/>
  <c r="Q304" i="2" s="1"/>
  <c r="L304" i="2"/>
  <c r="K304" i="2"/>
  <c r="H304" i="2"/>
  <c r="B304" i="2"/>
  <c r="AR303" i="2"/>
  <c r="AM303" i="2"/>
  <c r="AG303" i="2"/>
  <c r="AA303" i="2"/>
  <c r="Z303" i="2"/>
  <c r="W303" i="2"/>
  <c r="P303" i="2"/>
  <c r="AQ303" i="2" s="1"/>
  <c r="O303" i="2"/>
  <c r="AP303" i="2" s="1"/>
  <c r="N303" i="2"/>
  <c r="AO303" i="2" s="1"/>
  <c r="L303" i="2"/>
  <c r="B303" i="2"/>
  <c r="AR302" i="2"/>
  <c r="AQ302" i="2"/>
  <c r="AP302" i="2"/>
  <c r="AO302" i="2"/>
  <c r="AN302" i="2"/>
  <c r="AM302" i="2"/>
  <c r="AG302" i="2"/>
  <c r="AF302" i="2"/>
  <c r="AE302" i="2"/>
  <c r="AC302" i="2"/>
  <c r="AB302" i="2"/>
  <c r="AA302" i="2"/>
  <c r="Z302" i="2"/>
  <c r="AD302" i="2" s="1"/>
  <c r="W302" i="2"/>
  <c r="P302" i="2"/>
  <c r="O302" i="2"/>
  <c r="N302" i="2"/>
  <c r="M302" i="2"/>
  <c r="Q302" i="2" s="1"/>
  <c r="L302" i="2"/>
  <c r="K302" i="2"/>
  <c r="H302" i="2"/>
  <c r="E302" i="2"/>
  <c r="B302" i="2"/>
  <c r="AR301" i="2"/>
  <c r="AM301" i="2"/>
  <c r="AG301" i="2"/>
  <c r="AA301" i="2"/>
  <c r="Z301" i="2"/>
  <c r="W301" i="2"/>
  <c r="P301" i="2"/>
  <c r="AQ301" i="2" s="1"/>
  <c r="L301" i="2"/>
  <c r="E301" i="2"/>
  <c r="B301" i="2"/>
  <c r="AR300" i="2"/>
  <c r="AM300" i="2"/>
  <c r="AG300" i="2"/>
  <c r="AA300" i="2"/>
  <c r="Z300" i="2"/>
  <c r="W300" i="2"/>
  <c r="L300" i="2"/>
  <c r="E300" i="2"/>
  <c r="B300" i="2"/>
  <c r="AR299" i="2"/>
  <c r="AG299" i="2"/>
  <c r="AD299" i="2"/>
  <c r="AC299" i="2"/>
  <c r="AB299" i="2"/>
  <c r="AA299" i="2"/>
  <c r="Z299" i="2"/>
  <c r="W299" i="2"/>
  <c r="L299" i="2"/>
  <c r="E299" i="2"/>
  <c r="B299" i="2"/>
  <c r="AR298" i="2"/>
  <c r="AP298" i="2"/>
  <c r="AN298" i="2"/>
  <c r="AM298" i="2"/>
  <c r="AG298" i="2"/>
  <c r="AC298" i="2"/>
  <c r="AE298" i="2" s="1"/>
  <c r="AB298" i="2"/>
  <c r="AA298" i="2"/>
  <c r="Z298" i="2"/>
  <c r="AD298" i="2" s="1"/>
  <c r="W298" i="2"/>
  <c r="P298" i="2"/>
  <c r="AQ298" i="2" s="1"/>
  <c r="O298" i="2"/>
  <c r="N298" i="2"/>
  <c r="AO298" i="2" s="1"/>
  <c r="M298" i="2"/>
  <c r="Q298" i="2" s="1"/>
  <c r="L298" i="2"/>
  <c r="K298" i="2"/>
  <c r="H298" i="2"/>
  <c r="AF298" i="2" s="1"/>
  <c r="E298" i="2"/>
  <c r="B298" i="2"/>
  <c r="AR297" i="2"/>
  <c r="AG297" i="2"/>
  <c r="AD297" i="2"/>
  <c r="AA297" i="2"/>
  <c r="Z297" i="2"/>
  <c r="W297" i="2"/>
  <c r="M297" i="2"/>
  <c r="Q297" i="2" s="1"/>
  <c r="L297" i="2"/>
  <c r="B297" i="2"/>
  <c r="AR296" i="2"/>
  <c r="AO296" i="2"/>
  <c r="AN296" i="2"/>
  <c r="AM296" i="2"/>
  <c r="AK296" i="2"/>
  <c r="AG296" i="2"/>
  <c r="AF296" i="2"/>
  <c r="AD296" i="2"/>
  <c r="AE296" i="2" s="1"/>
  <c r="AC296" i="2"/>
  <c r="AB296" i="2"/>
  <c r="AA296" i="2"/>
  <c r="Z296" i="2"/>
  <c r="W296" i="2"/>
  <c r="P296" i="2"/>
  <c r="AQ296" i="2" s="1"/>
  <c r="O296" i="2"/>
  <c r="AP296" i="2" s="1"/>
  <c r="N296" i="2"/>
  <c r="M296" i="2"/>
  <c r="Q296" i="2" s="1"/>
  <c r="L296" i="2"/>
  <c r="K296" i="2"/>
  <c r="H296" i="2"/>
  <c r="E296" i="2"/>
  <c r="B296" i="2"/>
  <c r="AR295" i="2"/>
  <c r="AP295" i="2"/>
  <c r="AO295" i="2"/>
  <c r="AN295" i="2"/>
  <c r="AM295" i="2"/>
  <c r="AG295" i="2"/>
  <c r="AF295" i="2"/>
  <c r="AD295" i="2"/>
  <c r="AC295" i="2"/>
  <c r="AB295" i="2"/>
  <c r="AA295" i="2"/>
  <c r="K295" i="2" s="1"/>
  <c r="Z295" i="2"/>
  <c r="E295" i="2" s="1"/>
  <c r="W295" i="2"/>
  <c r="Q295" i="2"/>
  <c r="P295" i="2"/>
  <c r="AQ295" i="2" s="1"/>
  <c r="O295" i="2"/>
  <c r="N295" i="2"/>
  <c r="M295" i="2"/>
  <c r="L295" i="2"/>
  <c r="H295" i="2"/>
  <c r="B295" i="2"/>
  <c r="AR294" i="2"/>
  <c r="AM294" i="2"/>
  <c r="AG294" i="2"/>
  <c r="AD294" i="2"/>
  <c r="AE294" i="2" s="1"/>
  <c r="AC294" i="2"/>
  <c r="AB294" i="2"/>
  <c r="AA294" i="2"/>
  <c r="Z294" i="2"/>
  <c r="W294" i="2"/>
  <c r="N294" i="2"/>
  <c r="AO294" i="2" s="1"/>
  <c r="L294" i="2"/>
  <c r="K294" i="2"/>
  <c r="H294" i="2"/>
  <c r="AF294" i="2" s="1"/>
  <c r="E294" i="2"/>
  <c r="B294" i="2"/>
  <c r="AR293" i="2"/>
  <c r="AG293" i="2"/>
  <c r="AD293" i="2"/>
  <c r="AE293" i="2" s="1"/>
  <c r="AC293" i="2"/>
  <c r="AA293" i="2"/>
  <c r="Z293" i="2"/>
  <c r="W293" i="2"/>
  <c r="O293" i="2"/>
  <c r="AP293" i="2" s="1"/>
  <c r="L293" i="2"/>
  <c r="B293" i="2"/>
  <c r="AR292" i="2"/>
  <c r="AG292" i="2"/>
  <c r="AE292" i="2"/>
  <c r="AD292" i="2"/>
  <c r="AC292" i="2"/>
  <c r="AB292" i="2"/>
  <c r="AA292" i="2"/>
  <c r="Z292" i="2"/>
  <c r="W292" i="2"/>
  <c r="O292" i="2"/>
  <c r="AP292" i="2" s="1"/>
  <c r="L292" i="2"/>
  <c r="K292" i="2"/>
  <c r="E292" i="2"/>
  <c r="B292" i="2"/>
  <c r="AR291" i="2"/>
  <c r="AG291" i="2"/>
  <c r="AD291" i="2"/>
  <c r="AA291" i="2"/>
  <c r="Z291" i="2"/>
  <c r="W291" i="2"/>
  <c r="P291" i="2"/>
  <c r="AQ291" i="2" s="1"/>
  <c r="O291" i="2"/>
  <c r="AP291" i="2" s="1"/>
  <c r="L291" i="2"/>
  <c r="K291" i="2"/>
  <c r="H291" i="2"/>
  <c r="AF291" i="2" s="1"/>
  <c r="B291" i="2"/>
  <c r="AR290" i="2"/>
  <c r="AG290" i="2"/>
  <c r="AE290" i="2"/>
  <c r="AD290" i="2"/>
  <c r="AC290" i="2"/>
  <c r="AB290" i="2"/>
  <c r="AA290" i="2"/>
  <c r="Z290" i="2"/>
  <c r="W290" i="2"/>
  <c r="L290" i="2"/>
  <c r="E290" i="2"/>
  <c r="B290" i="2"/>
  <c r="AR289" i="2"/>
  <c r="AN289" i="2"/>
  <c r="AG289" i="2"/>
  <c r="AD289" i="2"/>
  <c r="AC289" i="2"/>
  <c r="AE289" i="2" s="1"/>
  <c r="AB289" i="2"/>
  <c r="AA289" i="2"/>
  <c r="Z289" i="2"/>
  <c r="E289" i="2" s="1"/>
  <c r="W289" i="2"/>
  <c r="P289" i="2"/>
  <c r="AQ289" i="2" s="1"/>
  <c r="M289" i="2"/>
  <c r="Q289" i="2" s="1"/>
  <c r="L289" i="2"/>
  <c r="B289" i="2"/>
  <c r="AR288" i="2"/>
  <c r="AN288" i="2"/>
  <c r="AG288" i="2"/>
  <c r="AD288" i="2"/>
  <c r="AC288" i="2"/>
  <c r="AB288" i="2"/>
  <c r="AA288" i="2"/>
  <c r="Z288" i="2"/>
  <c r="W288" i="2"/>
  <c r="P288" i="2"/>
  <c r="AQ288" i="2" s="1"/>
  <c r="O288" i="2"/>
  <c r="AP288" i="2" s="1"/>
  <c r="L288" i="2"/>
  <c r="K288" i="2"/>
  <c r="E288" i="2"/>
  <c r="B288" i="2"/>
  <c r="AR287" i="2"/>
  <c r="AN287" i="2"/>
  <c r="AM287" i="2"/>
  <c r="AG287" i="2"/>
  <c r="AE287" i="2"/>
  <c r="AD287" i="2"/>
  <c r="AC287" i="2"/>
  <c r="AB287" i="2"/>
  <c r="AA287" i="2"/>
  <c r="Z287" i="2"/>
  <c r="E287" i="2" s="1"/>
  <c r="W287" i="2"/>
  <c r="M287" i="2"/>
  <c r="Q287" i="2" s="1"/>
  <c r="L287" i="2"/>
  <c r="H287" i="2"/>
  <c r="AF287" i="2" s="1"/>
  <c r="B287" i="2"/>
  <c r="AR286" i="2"/>
  <c r="AG286" i="2"/>
  <c r="AD286" i="2"/>
  <c r="AE286" i="2" s="1"/>
  <c r="AC286" i="2"/>
  <c r="AB286" i="2"/>
  <c r="AA286" i="2"/>
  <c r="Z286" i="2"/>
  <c r="W286" i="2"/>
  <c r="L286" i="2"/>
  <c r="K286" i="2"/>
  <c r="E286" i="2"/>
  <c r="B286" i="2"/>
  <c r="AR285" i="2"/>
  <c r="AQ285" i="2"/>
  <c r="AN285" i="2"/>
  <c r="AM285" i="2"/>
  <c r="AG285" i="2"/>
  <c r="AF285" i="2"/>
  <c r="AD285" i="2"/>
  <c r="AC285" i="2"/>
  <c r="AA285" i="2"/>
  <c r="M285" i="2" s="1"/>
  <c r="Z285" i="2"/>
  <c r="W285" i="2"/>
  <c r="Q285" i="2"/>
  <c r="P285" i="2"/>
  <c r="O285" i="2"/>
  <c r="AP285" i="2" s="1"/>
  <c r="N285" i="2"/>
  <c r="AO285" i="2" s="1"/>
  <c r="L285" i="2"/>
  <c r="K285" i="2"/>
  <c r="H285" i="2"/>
  <c r="B285" i="2"/>
  <c r="AR284" i="2"/>
  <c r="AO284" i="2"/>
  <c r="AM284" i="2"/>
  <c r="AK284" i="2"/>
  <c r="AJ284" i="2"/>
  <c r="AG284" i="2"/>
  <c r="AF284" i="2"/>
  <c r="AD284" i="2"/>
  <c r="AE284" i="2" s="1"/>
  <c r="AC284" i="2"/>
  <c r="AB284" i="2"/>
  <c r="AA284" i="2"/>
  <c r="Z284" i="2"/>
  <c r="W284" i="2"/>
  <c r="P284" i="2"/>
  <c r="AQ284" i="2" s="1"/>
  <c r="N284" i="2"/>
  <c r="L284" i="2"/>
  <c r="K284" i="2"/>
  <c r="H284" i="2"/>
  <c r="E284" i="2"/>
  <c r="B284" i="2"/>
  <c r="AR283" i="2"/>
  <c r="AN283" i="2"/>
  <c r="AG283" i="2"/>
  <c r="AD283" i="2"/>
  <c r="AC283" i="2"/>
  <c r="AA283" i="2"/>
  <c r="Z283" i="2"/>
  <c r="W283" i="2"/>
  <c r="L283" i="2"/>
  <c r="B283" i="2"/>
  <c r="AR282" i="2"/>
  <c r="AQ282" i="2"/>
  <c r="AO282" i="2"/>
  <c r="AN282" i="2"/>
  <c r="AG282" i="2"/>
  <c r="AD282" i="2"/>
  <c r="AE282" i="2" s="1"/>
  <c r="AC282" i="2"/>
  <c r="AB282" i="2"/>
  <c r="AA282" i="2"/>
  <c r="Z282" i="2"/>
  <c r="W282" i="2"/>
  <c r="P282" i="2"/>
  <c r="N282" i="2"/>
  <c r="M282" i="2"/>
  <c r="Q282" i="2" s="1"/>
  <c r="L282" i="2"/>
  <c r="K282" i="2"/>
  <c r="E282" i="2"/>
  <c r="B282" i="2"/>
  <c r="AR281" i="2"/>
  <c r="AG281" i="2"/>
  <c r="AA281" i="2"/>
  <c r="Z281" i="2"/>
  <c r="W281" i="2"/>
  <c r="P281" i="2"/>
  <c r="AQ281" i="2" s="1"/>
  <c r="L281" i="2"/>
  <c r="B281" i="2"/>
  <c r="AR280" i="2"/>
  <c r="AN280" i="2"/>
  <c r="AG280" i="2"/>
  <c r="AF280" i="2"/>
  <c r="AD280" i="2"/>
  <c r="AC280" i="2"/>
  <c r="AE280" i="2" s="1"/>
  <c r="AB280" i="2"/>
  <c r="AA280" i="2"/>
  <c r="Z280" i="2"/>
  <c r="W280" i="2"/>
  <c r="Q280" i="2"/>
  <c r="N280" i="2"/>
  <c r="AO280" i="2" s="1"/>
  <c r="M280" i="2"/>
  <c r="L280" i="2"/>
  <c r="K280" i="2"/>
  <c r="H280" i="2"/>
  <c r="E280" i="2"/>
  <c r="B280" i="2"/>
  <c r="AR279" i="2"/>
  <c r="AN279" i="2"/>
  <c r="AM279" i="2"/>
  <c r="AG279" i="2"/>
  <c r="AF279" i="2"/>
  <c r="AA279" i="2"/>
  <c r="O279" i="2" s="1"/>
  <c r="AP279" i="2" s="1"/>
  <c r="Z279" i="2"/>
  <c r="W279" i="2"/>
  <c r="Q279" i="2"/>
  <c r="P279" i="2"/>
  <c r="AQ279" i="2" s="1"/>
  <c r="N279" i="2"/>
  <c r="AO279" i="2" s="1"/>
  <c r="M279" i="2"/>
  <c r="L279" i="2"/>
  <c r="K279" i="2"/>
  <c r="H279" i="2"/>
  <c r="B279" i="2"/>
  <c r="AR278" i="2"/>
  <c r="AG278" i="2"/>
  <c r="AD278" i="2"/>
  <c r="AE278" i="2" s="1"/>
  <c r="AC278" i="2"/>
  <c r="AB278" i="2"/>
  <c r="AA278" i="2"/>
  <c r="Z278" i="2"/>
  <c r="W278" i="2"/>
  <c r="L278" i="2"/>
  <c r="E278" i="2"/>
  <c r="B278" i="2"/>
  <c r="AR277" i="2"/>
  <c r="AQ277" i="2"/>
  <c r="AN277" i="2"/>
  <c r="AM277" i="2"/>
  <c r="AH277" i="2"/>
  <c r="AG277" i="2"/>
  <c r="AF277" i="2"/>
  <c r="AD277" i="2"/>
  <c r="AE277" i="2" s="1"/>
  <c r="AC277" i="2"/>
  <c r="AA277" i="2"/>
  <c r="Z277" i="2"/>
  <c r="W277" i="2"/>
  <c r="P277" i="2"/>
  <c r="O277" i="2"/>
  <c r="AP277" i="2" s="1"/>
  <c r="N277" i="2"/>
  <c r="AO277" i="2" s="1"/>
  <c r="M277" i="2"/>
  <c r="Q277" i="2" s="1"/>
  <c r="L277" i="2"/>
  <c r="K277" i="2"/>
  <c r="H277" i="2"/>
  <c r="B277" i="2"/>
  <c r="AR276" i="2"/>
  <c r="AP276" i="2"/>
  <c r="AN276" i="2"/>
  <c r="AM276" i="2"/>
  <c r="AL276" i="2"/>
  <c r="AG276" i="2"/>
  <c r="AE276" i="2"/>
  <c r="AD276" i="2"/>
  <c r="AC276" i="2"/>
  <c r="AB276" i="2"/>
  <c r="AA276" i="2"/>
  <c r="H276" i="2" s="1"/>
  <c r="AF276" i="2" s="1"/>
  <c r="Z276" i="2"/>
  <c r="W276" i="2"/>
  <c r="P276" i="2"/>
  <c r="AQ276" i="2" s="1"/>
  <c r="O276" i="2"/>
  <c r="M276" i="2"/>
  <c r="Q276" i="2" s="1"/>
  <c r="L276" i="2"/>
  <c r="K276" i="2"/>
  <c r="E276" i="2"/>
  <c r="B276" i="2"/>
  <c r="AR275" i="2"/>
  <c r="AM275" i="2"/>
  <c r="AG275" i="2"/>
  <c r="AF275" i="2"/>
  <c r="AA275" i="2"/>
  <c r="M275" i="2" s="1"/>
  <c r="Q275" i="2" s="1"/>
  <c r="Z275" i="2"/>
  <c r="W275" i="2"/>
  <c r="P275" i="2"/>
  <c r="AQ275" i="2" s="1"/>
  <c r="O275" i="2"/>
  <c r="AP275" i="2" s="1"/>
  <c r="L275" i="2"/>
  <c r="H275" i="2"/>
  <c r="B275" i="2"/>
  <c r="AR274" i="2"/>
  <c r="AO274" i="2"/>
  <c r="AM274" i="2"/>
  <c r="AG274" i="2"/>
  <c r="AD274" i="2"/>
  <c r="AC274" i="2"/>
  <c r="AE274" i="2" s="1"/>
  <c r="AB274" i="2"/>
  <c r="AA274" i="2"/>
  <c r="Z274" i="2"/>
  <c r="W274" i="2"/>
  <c r="N274" i="2"/>
  <c r="M274" i="2"/>
  <c r="Q274" i="2" s="1"/>
  <c r="L274" i="2"/>
  <c r="E274" i="2"/>
  <c r="B274" i="2"/>
  <c r="AR273" i="2"/>
  <c r="AM273" i="2"/>
  <c r="AG273" i="2"/>
  <c r="AA273" i="2"/>
  <c r="Z273" i="2"/>
  <c r="W273" i="2"/>
  <c r="Q273" i="2"/>
  <c r="M273" i="2"/>
  <c r="L273" i="2"/>
  <c r="H273" i="2"/>
  <c r="AF273" i="2" s="1"/>
  <c r="B273" i="2"/>
  <c r="AR272" i="2"/>
  <c r="AN272" i="2"/>
  <c r="AM272" i="2"/>
  <c r="AG272" i="2"/>
  <c r="AF272" i="2"/>
  <c r="AD272" i="2"/>
  <c r="AC272" i="2"/>
  <c r="AE272" i="2" s="1"/>
  <c r="AB272" i="2"/>
  <c r="AA272" i="2"/>
  <c r="O272" i="2" s="1"/>
  <c r="AP272" i="2" s="1"/>
  <c r="Z272" i="2"/>
  <c r="W272" i="2"/>
  <c r="P272" i="2"/>
  <c r="AQ272" i="2" s="1"/>
  <c r="N272" i="2"/>
  <c r="AO272" i="2" s="1"/>
  <c r="M272" i="2"/>
  <c r="Q272" i="2" s="1"/>
  <c r="L272" i="2"/>
  <c r="K272" i="2"/>
  <c r="H272" i="2"/>
  <c r="E272" i="2"/>
  <c r="B272" i="2"/>
  <c r="AR271" i="2"/>
  <c r="AM271" i="2"/>
  <c r="AG271" i="2"/>
  <c r="AC271" i="2"/>
  <c r="AA271" i="2"/>
  <c r="Z271" i="2"/>
  <c r="W271" i="2"/>
  <c r="Q271" i="2"/>
  <c r="P271" i="2"/>
  <c r="AQ271" i="2" s="1"/>
  <c r="O271" i="2"/>
  <c r="AP271" i="2" s="1"/>
  <c r="N271" i="2"/>
  <c r="AO271" i="2" s="1"/>
  <c r="M271" i="2"/>
  <c r="L271" i="2"/>
  <c r="H271" i="2"/>
  <c r="AF271" i="2" s="1"/>
  <c r="B271" i="2"/>
  <c r="AR270" i="2"/>
  <c r="AQ270" i="2"/>
  <c r="AN270" i="2"/>
  <c r="AM270" i="2"/>
  <c r="AG270" i="2"/>
  <c r="AF270" i="2"/>
  <c r="AD270" i="2"/>
  <c r="AE270" i="2" s="1"/>
  <c r="AC270" i="2"/>
  <c r="AB270" i="2"/>
  <c r="AA270" i="2"/>
  <c r="Z270" i="2"/>
  <c r="W270" i="2"/>
  <c r="P270" i="2"/>
  <c r="O270" i="2"/>
  <c r="AP270" i="2" s="1"/>
  <c r="N270" i="2"/>
  <c r="AO270" i="2" s="1"/>
  <c r="M270" i="2"/>
  <c r="Q270" i="2" s="1"/>
  <c r="L270" i="2"/>
  <c r="K270" i="2"/>
  <c r="H270" i="2"/>
  <c r="E270" i="2"/>
  <c r="B270" i="2"/>
  <c r="AR269" i="2"/>
  <c r="AP269" i="2"/>
  <c r="AO269" i="2"/>
  <c r="AN269" i="2"/>
  <c r="AM269" i="2"/>
  <c r="AG269" i="2"/>
  <c r="AD269" i="2"/>
  <c r="AA269" i="2"/>
  <c r="Z269" i="2"/>
  <c r="W269" i="2"/>
  <c r="Q269" i="2"/>
  <c r="P269" i="2"/>
  <c r="AQ269" i="2" s="1"/>
  <c r="O269" i="2"/>
  <c r="N269" i="2"/>
  <c r="M269" i="2"/>
  <c r="L269" i="2"/>
  <c r="K269" i="2"/>
  <c r="H269" i="2"/>
  <c r="AF269" i="2" s="1"/>
  <c r="B269" i="2"/>
  <c r="AR268" i="2"/>
  <c r="AQ268" i="2"/>
  <c r="AN268" i="2"/>
  <c r="AM268" i="2"/>
  <c r="AG268" i="2"/>
  <c r="AF268" i="2"/>
  <c r="AD268" i="2"/>
  <c r="AE268" i="2" s="1"/>
  <c r="AC268" i="2"/>
  <c r="AB268" i="2"/>
  <c r="AA268" i="2"/>
  <c r="N268" i="2" s="1"/>
  <c r="AO268" i="2" s="1"/>
  <c r="Z268" i="2"/>
  <c r="W268" i="2"/>
  <c r="P268" i="2"/>
  <c r="O268" i="2"/>
  <c r="AP268" i="2" s="1"/>
  <c r="M268" i="2"/>
  <c r="Q268" i="2" s="1"/>
  <c r="L268" i="2"/>
  <c r="K268" i="2"/>
  <c r="H268" i="2"/>
  <c r="E268" i="2"/>
  <c r="B268" i="2"/>
  <c r="AR267" i="2"/>
  <c r="AG267" i="2"/>
  <c r="AA267" i="2"/>
  <c r="Z267" i="2"/>
  <c r="W267" i="2"/>
  <c r="L267" i="2"/>
  <c r="B267" i="2"/>
  <c r="AR266" i="2"/>
  <c r="AN266" i="2"/>
  <c r="AM266" i="2"/>
  <c r="AG266" i="2"/>
  <c r="AE266" i="2"/>
  <c r="AK266" i="2" s="1"/>
  <c r="AD266" i="2"/>
  <c r="AC266" i="2"/>
  <c r="AB266" i="2"/>
  <c r="AA266" i="2"/>
  <c r="Z266" i="2"/>
  <c r="W266" i="2"/>
  <c r="P266" i="2"/>
  <c r="AQ266" i="2" s="1"/>
  <c r="M266" i="2"/>
  <c r="Q266" i="2" s="1"/>
  <c r="L266" i="2"/>
  <c r="K266" i="2"/>
  <c r="H266" i="2"/>
  <c r="AF266" i="2" s="1"/>
  <c r="E266" i="2"/>
  <c r="B266" i="2"/>
  <c r="AR265" i="2"/>
  <c r="AG265" i="2"/>
  <c r="AB265" i="2"/>
  <c r="AA265" i="2"/>
  <c r="Z265" i="2"/>
  <c r="W265" i="2"/>
  <c r="L265" i="2"/>
  <c r="B265" i="2"/>
  <c r="AR264" i="2"/>
  <c r="AQ264" i="2"/>
  <c r="AP264" i="2"/>
  <c r="AN264" i="2"/>
  <c r="AG264" i="2"/>
  <c r="AE264" i="2"/>
  <c r="AD264" i="2"/>
  <c r="AC264" i="2"/>
  <c r="AB264" i="2"/>
  <c r="AA264" i="2"/>
  <c r="Z264" i="2"/>
  <c r="W264" i="2"/>
  <c r="Q264" i="2"/>
  <c r="P264" i="2"/>
  <c r="O264" i="2"/>
  <c r="N264" i="2"/>
  <c r="AO264" i="2" s="1"/>
  <c r="M264" i="2"/>
  <c r="L264" i="2"/>
  <c r="H264" i="2"/>
  <c r="AF264" i="2" s="1"/>
  <c r="E264" i="2"/>
  <c r="B264" i="2"/>
  <c r="AR263" i="2"/>
  <c r="AQ263" i="2"/>
  <c r="AP263" i="2"/>
  <c r="AO263" i="2"/>
  <c r="AN263" i="2"/>
  <c r="AM263" i="2"/>
  <c r="AG263" i="2"/>
  <c r="AF263" i="2"/>
  <c r="AD263" i="2"/>
  <c r="AE263" i="2" s="1"/>
  <c r="AC263" i="2"/>
  <c r="AB263" i="2"/>
  <c r="AA263" i="2"/>
  <c r="Z263" i="2"/>
  <c r="E263" i="2" s="1"/>
  <c r="W263" i="2"/>
  <c r="Q263" i="2"/>
  <c r="P263" i="2"/>
  <c r="O263" i="2"/>
  <c r="N263" i="2"/>
  <c r="M263" i="2"/>
  <c r="L263" i="2"/>
  <c r="K263" i="2"/>
  <c r="H263" i="2"/>
  <c r="B263" i="2"/>
  <c r="AR262" i="2"/>
  <c r="AP262" i="2"/>
  <c r="AO262" i="2"/>
  <c r="AN262" i="2"/>
  <c r="AM262" i="2"/>
  <c r="AG262" i="2"/>
  <c r="AE262" i="2"/>
  <c r="AD262" i="2"/>
  <c r="AC262" i="2"/>
  <c r="AB262" i="2"/>
  <c r="AA262" i="2"/>
  <c r="Z262" i="2"/>
  <c r="W262" i="2"/>
  <c r="P262" i="2"/>
  <c r="AQ262" i="2" s="1"/>
  <c r="O262" i="2"/>
  <c r="N262" i="2"/>
  <c r="M262" i="2"/>
  <c r="Q262" i="2" s="1"/>
  <c r="L262" i="2"/>
  <c r="K262" i="2"/>
  <c r="H262" i="2"/>
  <c r="AF262" i="2" s="1"/>
  <c r="AK262" i="2" s="1"/>
  <c r="E262" i="2"/>
  <c r="B262" i="2"/>
  <c r="AR261" i="2"/>
  <c r="AG261" i="2"/>
  <c r="AC261" i="2"/>
  <c r="AA261" i="2"/>
  <c r="Z261" i="2"/>
  <c r="W261" i="2"/>
  <c r="L261" i="2"/>
  <c r="B261" i="2"/>
  <c r="AR260" i="2"/>
  <c r="AN260" i="2"/>
  <c r="AM260" i="2"/>
  <c r="AG260" i="2"/>
  <c r="AD260" i="2"/>
  <c r="AC260" i="2"/>
  <c r="AB260" i="2"/>
  <c r="AA260" i="2"/>
  <c r="Z260" i="2"/>
  <c r="W260" i="2"/>
  <c r="P260" i="2"/>
  <c r="AQ260" i="2" s="1"/>
  <c r="M260" i="2"/>
  <c r="Q260" i="2" s="1"/>
  <c r="L260" i="2"/>
  <c r="K260" i="2"/>
  <c r="H260" i="2"/>
  <c r="AF260" i="2" s="1"/>
  <c r="E260" i="2"/>
  <c r="B260" i="2"/>
  <c r="AR259" i="2"/>
  <c r="AN259" i="2"/>
  <c r="AM259" i="2"/>
  <c r="AG259" i="2"/>
  <c r="AD259" i="2"/>
  <c r="AC259" i="2"/>
  <c r="AB259" i="2"/>
  <c r="AA259" i="2"/>
  <c r="Z259" i="2"/>
  <c r="E259" i="2" s="1"/>
  <c r="W259" i="2"/>
  <c r="P259" i="2"/>
  <c r="AQ259" i="2" s="1"/>
  <c r="O259" i="2"/>
  <c r="AP259" i="2" s="1"/>
  <c r="L259" i="2"/>
  <c r="K259" i="2"/>
  <c r="H259" i="2"/>
  <c r="AF259" i="2" s="1"/>
  <c r="B259" i="2"/>
  <c r="AR258" i="2"/>
  <c r="AG258" i="2"/>
  <c r="AE258" i="2"/>
  <c r="AD258" i="2"/>
  <c r="AC258" i="2"/>
  <c r="AB258" i="2"/>
  <c r="AA258" i="2"/>
  <c r="Z258" i="2"/>
  <c r="W258" i="2"/>
  <c r="O258" i="2"/>
  <c r="AP258" i="2" s="1"/>
  <c r="M258" i="2"/>
  <c r="Q258" i="2" s="1"/>
  <c r="L258" i="2"/>
  <c r="E258" i="2"/>
  <c r="B258" i="2"/>
  <c r="AR257" i="2"/>
  <c r="AG257" i="2"/>
  <c r="AA257" i="2"/>
  <c r="O257" i="2" s="1"/>
  <c r="AP257" i="2" s="1"/>
  <c r="Z257" i="2"/>
  <c r="W257" i="2"/>
  <c r="P257" i="2"/>
  <c r="AQ257" i="2" s="1"/>
  <c r="N257" i="2"/>
  <c r="AO257" i="2" s="1"/>
  <c r="L257" i="2"/>
  <c r="B257" i="2"/>
  <c r="AR256" i="2"/>
  <c r="AP256" i="2"/>
  <c r="AO256" i="2"/>
  <c r="AN256" i="2"/>
  <c r="AM256" i="2"/>
  <c r="AG256" i="2"/>
  <c r="AF256" i="2"/>
  <c r="AI256" i="2" s="1"/>
  <c r="AD256" i="2"/>
  <c r="AE256" i="2" s="1"/>
  <c r="AC256" i="2"/>
  <c r="AB256" i="2"/>
  <c r="AA256" i="2"/>
  <c r="Z256" i="2"/>
  <c r="W256" i="2"/>
  <c r="Q256" i="2"/>
  <c r="P256" i="2"/>
  <c r="AQ256" i="2" s="1"/>
  <c r="O256" i="2"/>
  <c r="N256" i="2"/>
  <c r="M256" i="2"/>
  <c r="L256" i="2"/>
  <c r="K256" i="2"/>
  <c r="H256" i="2"/>
  <c r="E256" i="2"/>
  <c r="B256" i="2"/>
  <c r="AR255" i="2"/>
  <c r="AO255" i="2"/>
  <c r="AN255" i="2"/>
  <c r="AM255" i="2"/>
  <c r="AG255" i="2"/>
  <c r="AF255" i="2"/>
  <c r="AE255" i="2"/>
  <c r="AD255" i="2"/>
  <c r="AC255" i="2"/>
  <c r="AB255" i="2"/>
  <c r="AA255" i="2"/>
  <c r="H255" i="2" s="1"/>
  <c r="Z255" i="2"/>
  <c r="E255" i="2" s="1"/>
  <c r="W255" i="2"/>
  <c r="P255" i="2"/>
  <c r="AQ255" i="2" s="1"/>
  <c r="N255" i="2"/>
  <c r="L255" i="2"/>
  <c r="K255" i="2"/>
  <c r="B255" i="2"/>
  <c r="AR254" i="2"/>
  <c r="AP254" i="2"/>
  <c r="AN254" i="2"/>
  <c r="AM254" i="2"/>
  <c r="AG254" i="2"/>
  <c r="AD254" i="2"/>
  <c r="AE254" i="2" s="1"/>
  <c r="AC254" i="2"/>
  <c r="AB254" i="2"/>
  <c r="AA254" i="2"/>
  <c r="P254" i="2" s="1"/>
  <c r="AQ254" i="2" s="1"/>
  <c r="Z254" i="2"/>
  <c r="W254" i="2"/>
  <c r="O254" i="2"/>
  <c r="N254" i="2"/>
  <c r="AO254" i="2" s="1"/>
  <c r="M254" i="2"/>
  <c r="Q254" i="2" s="1"/>
  <c r="L254" i="2"/>
  <c r="K254" i="2"/>
  <c r="H254" i="2"/>
  <c r="AF254" i="2" s="1"/>
  <c r="E254" i="2"/>
  <c r="B254" i="2"/>
  <c r="AR253" i="2"/>
  <c r="AG253" i="2"/>
  <c r="AD253" i="2"/>
  <c r="AC253" i="2"/>
  <c r="AB253" i="2"/>
  <c r="AA253" i="2"/>
  <c r="Z253" i="2"/>
  <c r="E253" i="2" s="1"/>
  <c r="W253" i="2"/>
  <c r="O253" i="2"/>
  <c r="AP253" i="2" s="1"/>
  <c r="N253" i="2"/>
  <c r="AO253" i="2" s="1"/>
  <c r="M253" i="2"/>
  <c r="Q253" i="2" s="1"/>
  <c r="L253" i="2"/>
  <c r="H253" i="2"/>
  <c r="AF253" i="2" s="1"/>
  <c r="B253" i="2"/>
  <c r="AR252" i="2"/>
  <c r="AG252" i="2"/>
  <c r="AD252" i="2"/>
  <c r="AE252" i="2" s="1"/>
  <c r="AC252" i="2"/>
  <c r="AB252" i="2"/>
  <c r="AA252" i="2"/>
  <c r="Z252" i="2"/>
  <c r="W252" i="2"/>
  <c r="P252" i="2"/>
  <c r="AQ252" i="2" s="1"/>
  <c r="O252" i="2"/>
  <c r="AP252" i="2" s="1"/>
  <c r="L252" i="2"/>
  <c r="K252" i="2"/>
  <c r="H252" i="2"/>
  <c r="AF252" i="2" s="1"/>
  <c r="E252" i="2"/>
  <c r="B252" i="2"/>
  <c r="AR251" i="2"/>
  <c r="AQ251" i="2"/>
  <c r="AO251" i="2"/>
  <c r="AN251" i="2"/>
  <c r="AM251" i="2"/>
  <c r="AG251" i="2"/>
  <c r="AA251" i="2"/>
  <c r="M251" i="2" s="1"/>
  <c r="Z251" i="2"/>
  <c r="W251" i="2"/>
  <c r="Q251" i="2"/>
  <c r="P251" i="2"/>
  <c r="O251" i="2"/>
  <c r="AP251" i="2" s="1"/>
  <c r="N251" i="2"/>
  <c r="L251" i="2"/>
  <c r="K251" i="2"/>
  <c r="H251" i="2"/>
  <c r="AF251" i="2" s="1"/>
  <c r="B251" i="2"/>
  <c r="AR250" i="2"/>
  <c r="AO250" i="2"/>
  <c r="AN250" i="2"/>
  <c r="AM250" i="2"/>
  <c r="AG250" i="2"/>
  <c r="AD250" i="2"/>
  <c r="AE250" i="2" s="1"/>
  <c r="AC250" i="2"/>
  <c r="AB250" i="2"/>
  <c r="AA250" i="2"/>
  <c r="Z250" i="2"/>
  <c r="W250" i="2"/>
  <c r="Q250" i="2"/>
  <c r="P250" i="2"/>
  <c r="AQ250" i="2" s="1"/>
  <c r="O250" i="2"/>
  <c r="AP250" i="2" s="1"/>
  <c r="N250" i="2"/>
  <c r="M250" i="2"/>
  <c r="L250" i="2"/>
  <c r="E250" i="2"/>
  <c r="B250" i="2"/>
  <c r="AR249" i="2"/>
  <c r="AG249" i="2"/>
  <c r="AF249" i="2"/>
  <c r="AD249" i="2"/>
  <c r="AC249" i="2"/>
  <c r="AB249" i="2"/>
  <c r="AA249" i="2"/>
  <c r="Z249" i="2"/>
  <c r="E249" i="2" s="1"/>
  <c r="W249" i="2"/>
  <c r="N249" i="2"/>
  <c r="AO249" i="2" s="1"/>
  <c r="L249" i="2"/>
  <c r="K249" i="2"/>
  <c r="H249" i="2"/>
  <c r="B249" i="2"/>
  <c r="AR248" i="2"/>
  <c r="AO248" i="2"/>
  <c r="AN248" i="2"/>
  <c r="AM248" i="2"/>
  <c r="AK248" i="2"/>
  <c r="AJ248" i="2"/>
  <c r="AG248" i="2"/>
  <c r="AF248" i="2"/>
  <c r="AD248" i="2"/>
  <c r="AE248" i="2" s="1"/>
  <c r="AC248" i="2"/>
  <c r="AB248" i="2"/>
  <c r="AA248" i="2"/>
  <c r="Z248" i="2"/>
  <c r="W248" i="2"/>
  <c r="Q248" i="2"/>
  <c r="P248" i="2"/>
  <c r="AQ248" i="2" s="1"/>
  <c r="O248" i="2"/>
  <c r="AP248" i="2" s="1"/>
  <c r="N248" i="2"/>
  <c r="M248" i="2"/>
  <c r="L248" i="2"/>
  <c r="K248" i="2"/>
  <c r="H248" i="2"/>
  <c r="E248" i="2"/>
  <c r="B248" i="2"/>
  <c r="AR247" i="2"/>
  <c r="AQ247" i="2"/>
  <c r="AP247" i="2"/>
  <c r="AN247" i="2"/>
  <c r="AM247" i="2"/>
  <c r="AG247" i="2"/>
  <c r="AD247" i="2"/>
  <c r="AB247" i="2"/>
  <c r="AA247" i="2"/>
  <c r="P247" i="2" s="1"/>
  <c r="Z247" i="2"/>
  <c r="W247" i="2"/>
  <c r="O247" i="2"/>
  <c r="N247" i="2"/>
  <c r="AO247" i="2" s="1"/>
  <c r="M247" i="2"/>
  <c r="Q247" i="2" s="1"/>
  <c r="L247" i="2"/>
  <c r="K247" i="2"/>
  <c r="H247" i="2"/>
  <c r="AF247" i="2" s="1"/>
  <c r="B247" i="2"/>
  <c r="AR246" i="2"/>
  <c r="AG246" i="2"/>
  <c r="AD246" i="2"/>
  <c r="AC246" i="2"/>
  <c r="AE246" i="2" s="1"/>
  <c r="AB246" i="2"/>
  <c r="AA246" i="2"/>
  <c r="Z246" i="2"/>
  <c r="W246" i="2"/>
  <c r="P246" i="2"/>
  <c r="AQ246" i="2" s="1"/>
  <c r="M246" i="2"/>
  <c r="Q246" i="2" s="1"/>
  <c r="L246" i="2"/>
  <c r="E246" i="2"/>
  <c r="B246" i="2"/>
  <c r="AR245" i="2"/>
  <c r="AG245" i="2"/>
  <c r="AD245" i="2"/>
  <c r="AA245" i="2"/>
  <c r="Z245" i="2"/>
  <c r="W245" i="2"/>
  <c r="L245" i="2"/>
  <c r="B245" i="2"/>
  <c r="AR244" i="2"/>
  <c r="AG244" i="2"/>
  <c r="AD244" i="2"/>
  <c r="AC244" i="2"/>
  <c r="AE244" i="2" s="1"/>
  <c r="AB244" i="2"/>
  <c r="AA244" i="2"/>
  <c r="Z244" i="2"/>
  <c r="W244" i="2"/>
  <c r="P244" i="2"/>
  <c r="AQ244" i="2" s="1"/>
  <c r="O244" i="2"/>
  <c r="AP244" i="2" s="1"/>
  <c r="M244" i="2"/>
  <c r="Q244" i="2" s="1"/>
  <c r="L244" i="2"/>
  <c r="E244" i="2"/>
  <c r="B244" i="2"/>
  <c r="AR243" i="2"/>
  <c r="AQ243" i="2"/>
  <c r="AM243" i="2"/>
  <c r="AG243" i="2"/>
  <c r="AF243" i="2"/>
  <c r="AC243" i="2"/>
  <c r="AB243" i="2"/>
  <c r="AA243" i="2"/>
  <c r="Z243" i="2"/>
  <c r="E243" i="2" s="1"/>
  <c r="W243" i="2"/>
  <c r="P243" i="2"/>
  <c r="L243" i="2"/>
  <c r="K243" i="2"/>
  <c r="H243" i="2"/>
  <c r="B243" i="2"/>
  <c r="AR242" i="2"/>
  <c r="AN242" i="2"/>
  <c r="AG242" i="2"/>
  <c r="AF242" i="2"/>
  <c r="AH242" i="2" s="1"/>
  <c r="AE242" i="2"/>
  <c r="AD242" i="2"/>
  <c r="AC242" i="2"/>
  <c r="AB242" i="2"/>
  <c r="AA242" i="2"/>
  <c r="AM242" i="2" s="1"/>
  <c r="Z242" i="2"/>
  <c r="W242" i="2"/>
  <c r="O242" i="2"/>
  <c r="AP242" i="2" s="1"/>
  <c r="L242" i="2"/>
  <c r="K242" i="2"/>
  <c r="H242" i="2"/>
  <c r="E242" i="2"/>
  <c r="B242" i="2"/>
  <c r="AR241" i="2"/>
  <c r="AO241" i="2"/>
  <c r="AG241" i="2"/>
  <c r="AA241" i="2"/>
  <c r="Z241" i="2"/>
  <c r="W241" i="2"/>
  <c r="N241" i="2"/>
  <c r="L241" i="2"/>
  <c r="B241" i="2"/>
  <c r="AR240" i="2"/>
  <c r="AN240" i="2"/>
  <c r="AM240" i="2"/>
  <c r="AG240" i="2"/>
  <c r="AF240" i="2"/>
  <c r="AD240" i="2"/>
  <c r="AE240" i="2" s="1"/>
  <c r="AC240" i="2"/>
  <c r="AB240" i="2"/>
  <c r="AA240" i="2"/>
  <c r="Z240" i="2"/>
  <c r="W240" i="2"/>
  <c r="P240" i="2"/>
  <c r="AQ240" i="2" s="1"/>
  <c r="O240" i="2"/>
  <c r="AP240" i="2" s="1"/>
  <c r="N240" i="2"/>
  <c r="AO240" i="2" s="1"/>
  <c r="M240" i="2"/>
  <c r="Q240" i="2" s="1"/>
  <c r="L240" i="2"/>
  <c r="K240" i="2"/>
  <c r="H240" i="2"/>
  <c r="E240" i="2"/>
  <c r="B240" i="2"/>
  <c r="AR239" i="2"/>
  <c r="AN239" i="2"/>
  <c r="AM239" i="2"/>
  <c r="AG239" i="2"/>
  <c r="AF239" i="2"/>
  <c r="AC239" i="2"/>
  <c r="AA239" i="2"/>
  <c r="Z239" i="2"/>
  <c r="W239" i="2"/>
  <c r="P239" i="2"/>
  <c r="AQ239" i="2" s="1"/>
  <c r="N239" i="2"/>
  <c r="AO239" i="2" s="1"/>
  <c r="M239" i="2"/>
  <c r="Q239" i="2" s="1"/>
  <c r="L239" i="2"/>
  <c r="H239" i="2"/>
  <c r="B239" i="2"/>
  <c r="AR238" i="2"/>
  <c r="AG238" i="2"/>
  <c r="AD238" i="2"/>
  <c r="AE238" i="2" s="1"/>
  <c r="AC238" i="2"/>
  <c r="AB238" i="2"/>
  <c r="AA238" i="2"/>
  <c r="Z238" i="2"/>
  <c r="W238" i="2"/>
  <c r="O238" i="2"/>
  <c r="AP238" i="2" s="1"/>
  <c r="M238" i="2"/>
  <c r="Q238" i="2" s="1"/>
  <c r="L238" i="2"/>
  <c r="H238" i="2"/>
  <c r="AF238" i="2" s="1"/>
  <c r="E238" i="2"/>
  <c r="B238" i="2"/>
  <c r="AR237" i="2"/>
  <c r="AN237" i="2"/>
  <c r="AM237" i="2"/>
  <c r="AI237" i="2"/>
  <c r="AG237" i="2"/>
  <c r="AF237" i="2"/>
  <c r="AD237" i="2"/>
  <c r="AE237" i="2" s="1"/>
  <c r="AC237" i="2"/>
  <c r="AB237" i="2"/>
  <c r="AA237" i="2"/>
  <c r="Z237" i="2"/>
  <c r="E237" i="2" s="1"/>
  <c r="W237" i="2"/>
  <c r="Q237" i="2"/>
  <c r="P237" i="2"/>
  <c r="AQ237" i="2" s="1"/>
  <c r="O237" i="2"/>
  <c r="AP237" i="2" s="1"/>
  <c r="N237" i="2"/>
  <c r="AO237" i="2" s="1"/>
  <c r="M237" i="2"/>
  <c r="L237" i="2"/>
  <c r="K237" i="2"/>
  <c r="H237" i="2"/>
  <c r="B237" i="2"/>
  <c r="AR236" i="2"/>
  <c r="AN236" i="2"/>
  <c r="AM236" i="2"/>
  <c r="AG236" i="2"/>
  <c r="AF236" i="2"/>
  <c r="AD236" i="2"/>
  <c r="AE236" i="2" s="1"/>
  <c r="AC236" i="2"/>
  <c r="AB236" i="2"/>
  <c r="AA236" i="2"/>
  <c r="Z236" i="2"/>
  <c r="W236" i="2"/>
  <c r="Q236" i="2"/>
  <c r="N236" i="2"/>
  <c r="AO236" i="2" s="1"/>
  <c r="M236" i="2"/>
  <c r="L236" i="2"/>
  <c r="K236" i="2"/>
  <c r="H236" i="2"/>
  <c r="E236" i="2"/>
  <c r="B236" i="2"/>
  <c r="AR235" i="2"/>
  <c r="AG235" i="2"/>
  <c r="AA235" i="2"/>
  <c r="Z235" i="2"/>
  <c r="W235" i="2"/>
  <c r="P235" i="2"/>
  <c r="AQ235" i="2" s="1"/>
  <c r="O235" i="2"/>
  <c r="AP235" i="2" s="1"/>
  <c r="N235" i="2"/>
  <c r="AO235" i="2" s="1"/>
  <c r="L235" i="2"/>
  <c r="K235" i="2"/>
  <c r="H235" i="2"/>
  <c r="AF235" i="2" s="1"/>
  <c r="B235" i="2"/>
  <c r="AR234" i="2"/>
  <c r="AQ234" i="2"/>
  <c r="AO234" i="2"/>
  <c r="AM234" i="2"/>
  <c r="AI234" i="2"/>
  <c r="AG234" i="2"/>
  <c r="AF234" i="2"/>
  <c r="AD234" i="2"/>
  <c r="AE234" i="2" s="1"/>
  <c r="AC234" i="2"/>
  <c r="AB234" i="2"/>
  <c r="AA234" i="2"/>
  <c r="Z234" i="2"/>
  <c r="W234" i="2"/>
  <c r="P234" i="2"/>
  <c r="O234" i="2"/>
  <c r="AP234" i="2" s="1"/>
  <c r="N234" i="2"/>
  <c r="L234" i="2"/>
  <c r="K234" i="2"/>
  <c r="H234" i="2"/>
  <c r="E234" i="2"/>
  <c r="B234" i="2"/>
  <c r="AR233" i="2"/>
  <c r="AN233" i="2"/>
  <c r="AG233" i="2"/>
  <c r="AD233" i="2"/>
  <c r="AB233" i="2"/>
  <c r="AA233" i="2"/>
  <c r="Z233" i="2"/>
  <c r="W233" i="2"/>
  <c r="P233" i="2"/>
  <c r="AQ233" i="2" s="1"/>
  <c r="L233" i="2"/>
  <c r="B233" i="2"/>
  <c r="AR232" i="2"/>
  <c r="AG232" i="2"/>
  <c r="AD232" i="2"/>
  <c r="AC232" i="2"/>
  <c r="AB232" i="2"/>
  <c r="AA232" i="2"/>
  <c r="Z232" i="2"/>
  <c r="W232" i="2"/>
  <c r="L232" i="2"/>
  <c r="E232" i="2"/>
  <c r="B232" i="2"/>
  <c r="AR231" i="2"/>
  <c r="AP231" i="2"/>
  <c r="AN231" i="2"/>
  <c r="AM231" i="2"/>
  <c r="AG231" i="2"/>
  <c r="AF231" i="2"/>
  <c r="AA231" i="2"/>
  <c r="Z231" i="2"/>
  <c r="W231" i="2"/>
  <c r="P231" i="2"/>
  <c r="AQ231" i="2" s="1"/>
  <c r="O231" i="2"/>
  <c r="N231" i="2"/>
  <c r="AO231" i="2" s="1"/>
  <c r="M231" i="2"/>
  <c r="Q231" i="2" s="1"/>
  <c r="L231" i="2"/>
  <c r="K231" i="2"/>
  <c r="H231" i="2"/>
  <c r="B231" i="2"/>
  <c r="AR230" i="2"/>
  <c r="AG230" i="2"/>
  <c r="AD230" i="2"/>
  <c r="AC230" i="2"/>
  <c r="AE230" i="2" s="1"/>
  <c r="AB230" i="2"/>
  <c r="AA230" i="2"/>
  <c r="Z230" i="2"/>
  <c r="W230" i="2"/>
  <c r="P230" i="2"/>
  <c r="AQ230" i="2" s="1"/>
  <c r="O230" i="2"/>
  <c r="AP230" i="2" s="1"/>
  <c r="N230" i="2"/>
  <c r="AO230" i="2" s="1"/>
  <c r="L230" i="2"/>
  <c r="E230" i="2"/>
  <c r="B230" i="2"/>
  <c r="AR229" i="2"/>
  <c r="AO229" i="2"/>
  <c r="AN229" i="2"/>
  <c r="AM229" i="2"/>
  <c r="AG229" i="2"/>
  <c r="AF229" i="2"/>
  <c r="AD229" i="2"/>
  <c r="AE229" i="2" s="1"/>
  <c r="AC229" i="2"/>
  <c r="AA229" i="2"/>
  <c r="Z229" i="2"/>
  <c r="W229" i="2"/>
  <c r="P229" i="2"/>
  <c r="AQ229" i="2" s="1"/>
  <c r="O229" i="2"/>
  <c r="AP229" i="2" s="1"/>
  <c r="N229" i="2"/>
  <c r="M229" i="2"/>
  <c r="Q229" i="2" s="1"/>
  <c r="L229" i="2"/>
  <c r="K229" i="2"/>
  <c r="H229" i="2"/>
  <c r="B229" i="2"/>
  <c r="AR228" i="2"/>
  <c r="AQ228" i="2"/>
  <c r="AP228" i="2"/>
  <c r="AO228" i="2"/>
  <c r="AN228" i="2"/>
  <c r="AM228" i="2"/>
  <c r="AG228" i="2"/>
  <c r="AE228" i="2"/>
  <c r="AD228" i="2"/>
  <c r="AC228" i="2"/>
  <c r="AB228" i="2"/>
  <c r="AA228" i="2"/>
  <c r="Z228" i="2"/>
  <c r="W228" i="2"/>
  <c r="Q228" i="2"/>
  <c r="P228" i="2"/>
  <c r="O228" i="2"/>
  <c r="N228" i="2"/>
  <c r="M228" i="2"/>
  <c r="L228" i="2"/>
  <c r="K228" i="2"/>
  <c r="H228" i="2"/>
  <c r="AF228" i="2" s="1"/>
  <c r="E228" i="2"/>
  <c r="B228" i="2"/>
  <c r="AR227" i="2"/>
  <c r="AG227" i="2"/>
  <c r="AA227" i="2"/>
  <c r="Z227" i="2"/>
  <c r="W227" i="2"/>
  <c r="O227" i="2"/>
  <c r="AP227" i="2" s="1"/>
  <c r="N227" i="2"/>
  <c r="AO227" i="2" s="1"/>
  <c r="M227" i="2"/>
  <c r="Q227" i="2" s="1"/>
  <c r="L227" i="2"/>
  <c r="B227" i="2"/>
  <c r="AR226" i="2"/>
  <c r="AG226" i="2"/>
  <c r="AD226" i="2"/>
  <c r="AE226" i="2" s="1"/>
  <c r="AC226" i="2"/>
  <c r="AB226" i="2"/>
  <c r="AA226" i="2"/>
  <c r="Z226" i="2"/>
  <c r="W226" i="2"/>
  <c r="L226" i="2"/>
  <c r="K226" i="2"/>
  <c r="H226" i="2"/>
  <c r="AF226" i="2" s="1"/>
  <c r="E226" i="2"/>
  <c r="B226" i="2"/>
  <c r="AR225" i="2"/>
  <c r="AM225" i="2"/>
  <c r="AG225" i="2"/>
  <c r="AF225" i="2"/>
  <c r="AC225" i="2"/>
  <c r="AB225" i="2"/>
  <c r="AA225" i="2"/>
  <c r="Z225" i="2"/>
  <c r="W225" i="2"/>
  <c r="Q225" i="2"/>
  <c r="P225" i="2"/>
  <c r="AQ225" i="2" s="1"/>
  <c r="O225" i="2"/>
  <c r="AP225" i="2" s="1"/>
  <c r="M225" i="2"/>
  <c r="L225" i="2"/>
  <c r="H225" i="2"/>
  <c r="B225" i="2"/>
  <c r="AR224" i="2"/>
  <c r="AQ224" i="2"/>
  <c r="AP224" i="2"/>
  <c r="AN224" i="2"/>
  <c r="AM224" i="2"/>
  <c r="AG224" i="2"/>
  <c r="AF224" i="2"/>
  <c r="AD224" i="2"/>
  <c r="AC224" i="2"/>
  <c r="AE224" i="2" s="1"/>
  <c r="AB224" i="2"/>
  <c r="AA224" i="2"/>
  <c r="Z224" i="2"/>
  <c r="W224" i="2"/>
  <c r="P224" i="2"/>
  <c r="O224" i="2"/>
  <c r="N224" i="2"/>
  <c r="AO224" i="2" s="1"/>
  <c r="M224" i="2"/>
  <c r="Q224" i="2" s="1"/>
  <c r="L224" i="2"/>
  <c r="K224" i="2"/>
  <c r="H224" i="2"/>
  <c r="E224" i="2"/>
  <c r="B224" i="2"/>
  <c r="AR223" i="2"/>
  <c r="AP223" i="2"/>
  <c r="AM223" i="2"/>
  <c r="AG223" i="2"/>
  <c r="AA223" i="2"/>
  <c r="AN223" i="2" s="1"/>
  <c r="Z223" i="2"/>
  <c r="W223" i="2"/>
  <c r="P223" i="2"/>
  <c r="AQ223" i="2" s="1"/>
  <c r="O223" i="2"/>
  <c r="N223" i="2"/>
  <c r="AO223" i="2" s="1"/>
  <c r="M223" i="2"/>
  <c r="Q223" i="2" s="1"/>
  <c r="L223" i="2"/>
  <c r="K223" i="2"/>
  <c r="H223" i="2"/>
  <c r="AF223" i="2" s="1"/>
  <c r="B223" i="2"/>
  <c r="AR222" i="2"/>
  <c r="AQ222" i="2"/>
  <c r="AO222" i="2"/>
  <c r="AM222" i="2"/>
  <c r="AG222" i="2"/>
  <c r="AE222" i="2"/>
  <c r="AD222" i="2"/>
  <c r="AC222" i="2"/>
  <c r="AB222" i="2"/>
  <c r="AA222" i="2"/>
  <c r="M222" i="2" s="1"/>
  <c r="Q222" i="2" s="1"/>
  <c r="Z222" i="2"/>
  <c r="W222" i="2"/>
  <c r="P222" i="2"/>
  <c r="N222" i="2"/>
  <c r="L222" i="2"/>
  <c r="E222" i="2"/>
  <c r="B222" i="2"/>
  <c r="AR221" i="2"/>
  <c r="AN221" i="2"/>
  <c r="AG221" i="2"/>
  <c r="AD221" i="2"/>
  <c r="AC221" i="2"/>
  <c r="AE221" i="2" s="1"/>
  <c r="AB221" i="2"/>
  <c r="AA221" i="2"/>
  <c r="Z221" i="2"/>
  <c r="E221" i="2" s="1"/>
  <c r="W221" i="2"/>
  <c r="L221" i="2"/>
  <c r="B221" i="2"/>
  <c r="AR220" i="2"/>
  <c r="AG220" i="2"/>
  <c r="AD220" i="2"/>
  <c r="AC220" i="2"/>
  <c r="AB220" i="2"/>
  <c r="AA220" i="2"/>
  <c r="Z220" i="2"/>
  <c r="W220" i="2"/>
  <c r="L220" i="2"/>
  <c r="E220" i="2"/>
  <c r="B220" i="2"/>
  <c r="AR219" i="2"/>
  <c r="AM219" i="2"/>
  <c r="AG219" i="2"/>
  <c r="AB219" i="2"/>
  <c r="AA219" i="2"/>
  <c r="N219" i="2" s="1"/>
  <c r="AO219" i="2" s="1"/>
  <c r="Z219" i="2"/>
  <c r="W219" i="2"/>
  <c r="M219" i="2"/>
  <c r="Q219" i="2" s="1"/>
  <c r="L219" i="2"/>
  <c r="K219" i="2"/>
  <c r="B219" i="2"/>
  <c r="AR218" i="2"/>
  <c r="AM218" i="2"/>
  <c r="AG218" i="2"/>
  <c r="AD218" i="2"/>
  <c r="AE218" i="2" s="1"/>
  <c r="AA218" i="2"/>
  <c r="Z218" i="2"/>
  <c r="AC218" i="2" s="1"/>
  <c r="W218" i="2"/>
  <c r="P218" i="2"/>
  <c r="AQ218" i="2" s="1"/>
  <c r="L218" i="2"/>
  <c r="H218" i="2"/>
  <c r="AF218" i="2" s="1"/>
  <c r="E218" i="2"/>
  <c r="B218" i="2"/>
  <c r="AR217" i="2"/>
  <c r="AN217" i="2"/>
  <c r="AM217" i="2"/>
  <c r="AG217" i="2"/>
  <c r="AF217" i="2"/>
  <c r="AA217" i="2"/>
  <c r="O217" i="2" s="1"/>
  <c r="AP217" i="2" s="1"/>
  <c r="Z217" i="2"/>
  <c r="W217" i="2"/>
  <c r="P217" i="2"/>
  <c r="AQ217" i="2" s="1"/>
  <c r="N217" i="2"/>
  <c r="AO217" i="2" s="1"/>
  <c r="M217" i="2"/>
  <c r="Q217" i="2" s="1"/>
  <c r="L217" i="2"/>
  <c r="K217" i="2"/>
  <c r="H217" i="2"/>
  <c r="B217" i="2"/>
  <c r="AR216" i="2"/>
  <c r="AG216" i="2"/>
  <c r="AA216" i="2"/>
  <c r="Z216" i="2"/>
  <c r="E216" i="2" s="1"/>
  <c r="W216" i="2"/>
  <c r="P216" i="2"/>
  <c r="AQ216" i="2" s="1"/>
  <c r="L216" i="2"/>
  <c r="K216" i="2"/>
  <c r="H216" i="2"/>
  <c r="AF216" i="2" s="1"/>
  <c r="B216" i="2"/>
  <c r="AR215" i="2"/>
  <c r="AN215" i="2"/>
  <c r="AM215" i="2"/>
  <c r="AG215" i="2"/>
  <c r="AA215" i="2"/>
  <c r="O215" i="2" s="1"/>
  <c r="AP215" i="2" s="1"/>
  <c r="Z215" i="2"/>
  <c r="W215" i="2"/>
  <c r="P215" i="2"/>
  <c r="AQ215" i="2" s="1"/>
  <c r="N215" i="2"/>
  <c r="AO215" i="2" s="1"/>
  <c r="M215" i="2"/>
  <c r="Q215" i="2" s="1"/>
  <c r="L215" i="2"/>
  <c r="K215" i="2"/>
  <c r="H215" i="2"/>
  <c r="AF215" i="2" s="1"/>
  <c r="E215" i="2"/>
  <c r="B215" i="2"/>
  <c r="AR214" i="2"/>
  <c r="AM214" i="2"/>
  <c r="AG214" i="2"/>
  <c r="AA214" i="2"/>
  <c r="Z214" i="2"/>
  <c r="W214" i="2"/>
  <c r="P214" i="2"/>
  <c r="AQ214" i="2" s="1"/>
  <c r="O214" i="2"/>
  <c r="AP214" i="2" s="1"/>
  <c r="L214" i="2"/>
  <c r="H214" i="2"/>
  <c r="AF214" i="2" s="1"/>
  <c r="B214" i="2"/>
  <c r="AR213" i="2"/>
  <c r="AG213" i="2"/>
  <c r="AC213" i="2"/>
  <c r="AB213" i="2"/>
  <c r="AA213" i="2"/>
  <c r="H213" i="2" s="1"/>
  <c r="AF213" i="2" s="1"/>
  <c r="Z213" i="2"/>
  <c r="W213" i="2"/>
  <c r="L213" i="2"/>
  <c r="B213" i="2"/>
  <c r="AR212" i="2"/>
  <c r="AM212" i="2"/>
  <c r="AG212" i="2"/>
  <c r="AB212" i="2"/>
  <c r="AA212" i="2"/>
  <c r="O212" i="2" s="1"/>
  <c r="AP212" i="2" s="1"/>
  <c r="Z212" i="2"/>
  <c r="W212" i="2"/>
  <c r="P212" i="2"/>
  <c r="AQ212" i="2" s="1"/>
  <c r="L212" i="2"/>
  <c r="H212" i="2"/>
  <c r="AF212" i="2" s="1"/>
  <c r="B212" i="2"/>
  <c r="AR211" i="2"/>
  <c r="AQ211" i="2"/>
  <c r="AO211" i="2"/>
  <c r="AN211" i="2"/>
  <c r="AM211" i="2"/>
  <c r="AG211" i="2"/>
  <c r="AF211" i="2"/>
  <c r="AA211" i="2"/>
  <c r="O211" i="2" s="1"/>
  <c r="AP211" i="2" s="1"/>
  <c r="Z211" i="2"/>
  <c r="W211" i="2"/>
  <c r="P211" i="2"/>
  <c r="N211" i="2"/>
  <c r="M211" i="2"/>
  <c r="Q211" i="2" s="1"/>
  <c r="L211" i="2"/>
  <c r="K211" i="2"/>
  <c r="H211" i="2"/>
  <c r="B211" i="2"/>
  <c r="AR210" i="2"/>
  <c r="AQ210" i="2"/>
  <c r="AG210" i="2"/>
  <c r="AD210" i="2"/>
  <c r="AA210" i="2"/>
  <c r="Z210" i="2"/>
  <c r="W210" i="2"/>
  <c r="P210" i="2"/>
  <c r="O210" i="2"/>
  <c r="AP210" i="2" s="1"/>
  <c r="L210" i="2"/>
  <c r="B210" i="2"/>
  <c r="AR209" i="2"/>
  <c r="AG209" i="2"/>
  <c r="AB209" i="2"/>
  <c r="AA209" i="2"/>
  <c r="Z209" i="2"/>
  <c r="AD209" i="2" s="1"/>
  <c r="W209" i="2"/>
  <c r="P209" i="2"/>
  <c r="AQ209" i="2" s="1"/>
  <c r="L209" i="2"/>
  <c r="E209" i="2"/>
  <c r="B209" i="2"/>
  <c r="AR208" i="2"/>
  <c r="AM208" i="2"/>
  <c r="AG208" i="2"/>
  <c r="AD208" i="2"/>
  <c r="AC208" i="2"/>
  <c r="AE208" i="2" s="1"/>
  <c r="AA208" i="2"/>
  <c r="Z208" i="2"/>
  <c r="W208" i="2"/>
  <c r="P208" i="2"/>
  <c r="AQ208" i="2" s="1"/>
  <c r="O208" i="2"/>
  <c r="AP208" i="2" s="1"/>
  <c r="L208" i="2"/>
  <c r="K208" i="2"/>
  <c r="H208" i="2"/>
  <c r="AF208" i="2" s="1"/>
  <c r="B208" i="2"/>
  <c r="AR207" i="2"/>
  <c r="AN207" i="2"/>
  <c r="AM207" i="2"/>
  <c r="AG207" i="2"/>
  <c r="AC207" i="2"/>
  <c r="AB207" i="2"/>
  <c r="AA207" i="2"/>
  <c r="Z207" i="2"/>
  <c r="AD207" i="2" s="1"/>
  <c r="W207" i="2"/>
  <c r="P207" i="2"/>
  <c r="AQ207" i="2" s="1"/>
  <c r="M207" i="2"/>
  <c r="Q207" i="2" s="1"/>
  <c r="L207" i="2"/>
  <c r="K207" i="2"/>
  <c r="H207" i="2"/>
  <c r="AF207" i="2" s="1"/>
  <c r="E207" i="2"/>
  <c r="B207" i="2"/>
  <c r="AR206" i="2"/>
  <c r="AM206" i="2"/>
  <c r="AG206" i="2"/>
  <c r="AD206" i="2"/>
  <c r="AE206" i="2" s="1"/>
  <c r="AB206" i="2"/>
  <c r="AA206" i="2"/>
  <c r="Z206" i="2"/>
  <c r="AC206" i="2" s="1"/>
  <c r="W206" i="2"/>
  <c r="P206" i="2"/>
  <c r="AQ206" i="2" s="1"/>
  <c r="O206" i="2"/>
  <c r="AP206" i="2" s="1"/>
  <c r="L206" i="2"/>
  <c r="K206" i="2"/>
  <c r="H206" i="2"/>
  <c r="AF206" i="2" s="1"/>
  <c r="B206" i="2"/>
  <c r="AR205" i="2"/>
  <c r="AN205" i="2"/>
  <c r="AM205" i="2"/>
  <c r="AG205" i="2"/>
  <c r="AA205" i="2"/>
  <c r="M205" i="2" s="1"/>
  <c r="Q205" i="2" s="1"/>
  <c r="Z205" i="2"/>
  <c r="W205" i="2"/>
  <c r="P205" i="2"/>
  <c r="AQ205" i="2" s="1"/>
  <c r="N205" i="2"/>
  <c r="AO205" i="2" s="1"/>
  <c r="L205" i="2"/>
  <c r="E205" i="2"/>
  <c r="B205" i="2"/>
  <c r="AR204" i="2"/>
  <c r="AM204" i="2"/>
  <c r="AG204" i="2"/>
  <c r="AA204" i="2"/>
  <c r="Z204" i="2"/>
  <c r="W204" i="2"/>
  <c r="L204" i="2"/>
  <c r="H204" i="2"/>
  <c r="AF204" i="2" s="1"/>
  <c r="B204" i="2"/>
  <c r="AR203" i="2"/>
  <c r="AO203" i="2"/>
  <c r="AN203" i="2"/>
  <c r="AM203" i="2"/>
  <c r="AG203" i="2"/>
  <c r="AA203" i="2"/>
  <c r="Z203" i="2"/>
  <c r="W203" i="2"/>
  <c r="N203" i="2"/>
  <c r="L203" i="2"/>
  <c r="K203" i="2"/>
  <c r="H203" i="2"/>
  <c r="AF203" i="2" s="1"/>
  <c r="E203" i="2"/>
  <c r="B203" i="2"/>
  <c r="AR202" i="2"/>
  <c r="AQ202" i="2"/>
  <c r="AP202" i="2"/>
  <c r="AM202" i="2"/>
  <c r="AG202" i="2"/>
  <c r="AD202" i="2"/>
  <c r="AE202" i="2" s="1"/>
  <c r="AB202" i="2"/>
  <c r="AA202" i="2"/>
  <c r="Z202" i="2"/>
  <c r="AC202" i="2" s="1"/>
  <c r="W202" i="2"/>
  <c r="P202" i="2"/>
  <c r="O202" i="2"/>
  <c r="L202" i="2"/>
  <c r="K202" i="2"/>
  <c r="H202" i="2"/>
  <c r="AF202" i="2" s="1"/>
  <c r="E202" i="2"/>
  <c r="B202" i="2"/>
  <c r="AR201" i="2"/>
  <c r="AQ201" i="2"/>
  <c r="AN201" i="2"/>
  <c r="AM201" i="2"/>
  <c r="AG201" i="2"/>
  <c r="AC201" i="2"/>
  <c r="AB201" i="2"/>
  <c r="AA201" i="2"/>
  <c r="Z201" i="2"/>
  <c r="AD201" i="2" s="1"/>
  <c r="W201" i="2"/>
  <c r="P201" i="2"/>
  <c r="N201" i="2"/>
  <c r="AO201" i="2" s="1"/>
  <c r="L201" i="2"/>
  <c r="H201" i="2"/>
  <c r="AF201" i="2" s="1"/>
  <c r="E201" i="2"/>
  <c r="B201" i="2"/>
  <c r="AR200" i="2"/>
  <c r="AP200" i="2"/>
  <c r="AM200" i="2"/>
  <c r="AG200" i="2"/>
  <c r="AC200" i="2"/>
  <c r="AA200" i="2"/>
  <c r="Z200" i="2"/>
  <c r="W200" i="2"/>
  <c r="P200" i="2"/>
  <c r="AQ200" i="2" s="1"/>
  <c r="O200" i="2"/>
  <c r="L200" i="2"/>
  <c r="K200" i="2"/>
  <c r="H200" i="2"/>
  <c r="AF200" i="2" s="1"/>
  <c r="B200" i="2"/>
  <c r="AR199" i="2"/>
  <c r="AG199" i="2"/>
  <c r="AB199" i="2"/>
  <c r="AA199" i="2"/>
  <c r="Z199" i="2"/>
  <c r="W199" i="2"/>
  <c r="L199" i="2"/>
  <c r="B199" i="2"/>
  <c r="AR198" i="2"/>
  <c r="AG198" i="2"/>
  <c r="AB198" i="2"/>
  <c r="AA198" i="2"/>
  <c r="Z198" i="2"/>
  <c r="W198" i="2"/>
  <c r="L198" i="2"/>
  <c r="B198" i="2"/>
  <c r="AR197" i="2"/>
  <c r="AG197" i="2"/>
  <c r="AA197" i="2"/>
  <c r="Z197" i="2"/>
  <c r="W197" i="2"/>
  <c r="L197" i="2"/>
  <c r="E197" i="2"/>
  <c r="B197" i="2"/>
  <c r="AR196" i="2"/>
  <c r="AM196" i="2"/>
  <c r="AG196" i="2"/>
  <c r="AD196" i="2"/>
  <c r="AE196" i="2" s="1"/>
  <c r="AB196" i="2"/>
  <c r="AA196" i="2"/>
  <c r="O196" i="2" s="1"/>
  <c r="AP196" i="2" s="1"/>
  <c r="Z196" i="2"/>
  <c r="AC196" i="2" s="1"/>
  <c r="W196" i="2"/>
  <c r="P196" i="2"/>
  <c r="AQ196" i="2" s="1"/>
  <c r="L196" i="2"/>
  <c r="H196" i="2"/>
  <c r="AF196" i="2" s="1"/>
  <c r="E196" i="2"/>
  <c r="B196" i="2"/>
  <c r="AR195" i="2"/>
  <c r="AO195" i="2"/>
  <c r="AN195" i="2"/>
  <c r="AM195" i="2"/>
  <c r="AG195" i="2"/>
  <c r="AF195" i="2"/>
  <c r="AC195" i="2"/>
  <c r="AB195" i="2"/>
  <c r="AA195" i="2"/>
  <c r="O195" i="2" s="1"/>
  <c r="AP195" i="2" s="1"/>
  <c r="Z195" i="2"/>
  <c r="AD195" i="2" s="1"/>
  <c r="W195" i="2"/>
  <c r="P195" i="2"/>
  <c r="AQ195" i="2" s="1"/>
  <c r="N195" i="2"/>
  <c r="M195" i="2"/>
  <c r="Q195" i="2" s="1"/>
  <c r="L195" i="2"/>
  <c r="K195" i="2"/>
  <c r="H195" i="2"/>
  <c r="E195" i="2"/>
  <c r="B195" i="2"/>
  <c r="AR194" i="2"/>
  <c r="AG194" i="2"/>
  <c r="AD194" i="2"/>
  <c r="AE194" i="2" s="1"/>
  <c r="AC194" i="2"/>
  <c r="AB194" i="2"/>
  <c r="AA194" i="2"/>
  <c r="Z194" i="2"/>
  <c r="E194" i="2" s="1"/>
  <c r="W194" i="2"/>
  <c r="P194" i="2"/>
  <c r="AQ194" i="2" s="1"/>
  <c r="O194" i="2"/>
  <c r="AP194" i="2" s="1"/>
  <c r="L194" i="2"/>
  <c r="H194" i="2"/>
  <c r="AF194" i="2" s="1"/>
  <c r="B194" i="2"/>
  <c r="AR193" i="2"/>
  <c r="AM193" i="2"/>
  <c r="AG193" i="2"/>
  <c r="AC193" i="2"/>
  <c r="AA193" i="2"/>
  <c r="Z193" i="2"/>
  <c r="AD193" i="2" s="1"/>
  <c r="W193" i="2"/>
  <c r="N193" i="2"/>
  <c r="AO193" i="2" s="1"/>
  <c r="M193" i="2"/>
  <c r="Q193" i="2" s="1"/>
  <c r="L193" i="2"/>
  <c r="K193" i="2"/>
  <c r="B193" i="2"/>
  <c r="AR192" i="2"/>
  <c r="AG192" i="2"/>
  <c r="AA192" i="2"/>
  <c r="Z192" i="2"/>
  <c r="W192" i="2"/>
  <c r="P192" i="2"/>
  <c r="AQ192" i="2" s="1"/>
  <c r="L192" i="2"/>
  <c r="K192" i="2"/>
  <c r="E192" i="2"/>
  <c r="B192" i="2"/>
  <c r="AR191" i="2"/>
  <c r="AQ191" i="2"/>
  <c r="AN191" i="2"/>
  <c r="AM191" i="2"/>
  <c r="AG191" i="2"/>
  <c r="AA191" i="2"/>
  <c r="O191" i="2" s="1"/>
  <c r="AP191" i="2" s="1"/>
  <c r="Z191" i="2"/>
  <c r="W191" i="2"/>
  <c r="Q191" i="2"/>
  <c r="P191" i="2"/>
  <c r="N191" i="2"/>
  <c r="AO191" i="2" s="1"/>
  <c r="M191" i="2"/>
  <c r="L191" i="2"/>
  <c r="K191" i="2"/>
  <c r="H191" i="2"/>
  <c r="AF191" i="2" s="1"/>
  <c r="B191" i="2"/>
  <c r="AR190" i="2"/>
  <c r="AG190" i="2"/>
  <c r="AD190" i="2"/>
  <c r="AC190" i="2"/>
  <c r="AB190" i="2"/>
  <c r="AA190" i="2"/>
  <c r="Z190" i="2"/>
  <c r="W190" i="2"/>
  <c r="P190" i="2"/>
  <c r="AQ190" i="2" s="1"/>
  <c r="L190" i="2"/>
  <c r="H190" i="2"/>
  <c r="AF190" i="2" s="1"/>
  <c r="E190" i="2"/>
  <c r="B190" i="2"/>
  <c r="AR189" i="2"/>
  <c r="AN189" i="2"/>
  <c r="AM189" i="2"/>
  <c r="AG189" i="2"/>
  <c r="AF189" i="2"/>
  <c r="AC189" i="2"/>
  <c r="AB189" i="2"/>
  <c r="AA189" i="2"/>
  <c r="O189" i="2" s="1"/>
  <c r="AP189" i="2" s="1"/>
  <c r="Z189" i="2"/>
  <c r="AD189" i="2" s="1"/>
  <c r="W189" i="2"/>
  <c r="P189" i="2"/>
  <c r="AQ189" i="2" s="1"/>
  <c r="N189" i="2"/>
  <c r="AO189" i="2" s="1"/>
  <c r="M189" i="2"/>
  <c r="Q189" i="2" s="1"/>
  <c r="L189" i="2"/>
  <c r="K189" i="2"/>
  <c r="H189" i="2"/>
  <c r="E189" i="2"/>
  <c r="B189" i="2"/>
  <c r="AR188" i="2"/>
  <c r="AG188" i="2"/>
  <c r="AD188" i="2"/>
  <c r="AC188" i="2"/>
  <c r="AB188" i="2"/>
  <c r="AA188" i="2"/>
  <c r="Z188" i="2"/>
  <c r="W188" i="2"/>
  <c r="P188" i="2"/>
  <c r="AQ188" i="2" s="1"/>
  <c r="O188" i="2"/>
  <c r="AP188" i="2" s="1"/>
  <c r="L188" i="2"/>
  <c r="K188" i="2"/>
  <c r="H188" i="2"/>
  <c r="AF188" i="2" s="1"/>
  <c r="E188" i="2"/>
  <c r="B188" i="2"/>
  <c r="AR187" i="2"/>
  <c r="AQ187" i="2"/>
  <c r="AM187" i="2"/>
  <c r="AG187" i="2"/>
  <c r="AA187" i="2"/>
  <c r="Z187" i="2"/>
  <c r="W187" i="2"/>
  <c r="Q187" i="2"/>
  <c r="P187" i="2"/>
  <c r="N187" i="2"/>
  <c r="AO187" i="2" s="1"/>
  <c r="M187" i="2"/>
  <c r="L187" i="2"/>
  <c r="B187" i="2"/>
  <c r="AR186" i="2"/>
  <c r="AQ186" i="2"/>
  <c r="AG186" i="2"/>
  <c r="AA186" i="2"/>
  <c r="Z186" i="2"/>
  <c r="AD186" i="2" s="1"/>
  <c r="W186" i="2"/>
  <c r="P186" i="2"/>
  <c r="L186" i="2"/>
  <c r="E186" i="2"/>
  <c r="B186" i="2"/>
  <c r="AR185" i="2"/>
  <c r="AN185" i="2"/>
  <c r="AM185" i="2"/>
  <c r="AG185" i="2"/>
  <c r="AA185" i="2"/>
  <c r="O185" i="2" s="1"/>
  <c r="AP185" i="2" s="1"/>
  <c r="Z185" i="2"/>
  <c r="W185" i="2"/>
  <c r="P185" i="2"/>
  <c r="AQ185" i="2" s="1"/>
  <c r="M185" i="2"/>
  <c r="Q185" i="2" s="1"/>
  <c r="L185" i="2"/>
  <c r="K185" i="2"/>
  <c r="H185" i="2"/>
  <c r="AF185" i="2" s="1"/>
  <c r="E185" i="2"/>
  <c r="B185" i="2"/>
  <c r="AR184" i="2"/>
  <c r="AP184" i="2"/>
  <c r="AM184" i="2"/>
  <c r="AI184" i="2"/>
  <c r="AG184" i="2"/>
  <c r="AE184" i="2"/>
  <c r="AD184" i="2"/>
  <c r="AC184" i="2"/>
  <c r="AB184" i="2"/>
  <c r="AA184" i="2"/>
  <c r="Z184" i="2"/>
  <c r="W184" i="2"/>
  <c r="P184" i="2"/>
  <c r="AQ184" i="2" s="1"/>
  <c r="O184" i="2"/>
  <c r="L184" i="2"/>
  <c r="K184" i="2"/>
  <c r="H184" i="2"/>
  <c r="AF184" i="2" s="1"/>
  <c r="E184" i="2"/>
  <c r="B184" i="2"/>
  <c r="AR183" i="2"/>
  <c r="AM183" i="2"/>
  <c r="AG183" i="2"/>
  <c r="AA183" i="2"/>
  <c r="O183" i="2" s="1"/>
  <c r="AP183" i="2" s="1"/>
  <c r="Z183" i="2"/>
  <c r="W183" i="2"/>
  <c r="P183" i="2"/>
  <c r="AQ183" i="2" s="1"/>
  <c r="N183" i="2"/>
  <c r="AO183" i="2" s="1"/>
  <c r="L183" i="2"/>
  <c r="H183" i="2"/>
  <c r="AF183" i="2" s="1"/>
  <c r="E183" i="2"/>
  <c r="B183" i="2"/>
  <c r="AR182" i="2"/>
  <c r="AG182" i="2"/>
  <c r="AD182" i="2"/>
  <c r="AC182" i="2"/>
  <c r="AA182" i="2"/>
  <c r="Z182" i="2"/>
  <c r="AB182" i="2" s="1"/>
  <c r="W182" i="2"/>
  <c r="O182" i="2"/>
  <c r="AP182" i="2" s="1"/>
  <c r="L182" i="2"/>
  <c r="K182" i="2"/>
  <c r="E182" i="2"/>
  <c r="B182" i="2"/>
  <c r="AR181" i="2"/>
  <c r="AQ181" i="2"/>
  <c r="AO181" i="2"/>
  <c r="AN181" i="2"/>
  <c r="AM181" i="2"/>
  <c r="AG181" i="2"/>
  <c r="AC181" i="2"/>
  <c r="AB181" i="2"/>
  <c r="AA181" i="2"/>
  <c r="Z181" i="2"/>
  <c r="AD181" i="2" s="1"/>
  <c r="W181" i="2"/>
  <c r="P181" i="2"/>
  <c r="O181" i="2"/>
  <c r="AP181" i="2" s="1"/>
  <c r="N181" i="2"/>
  <c r="M181" i="2"/>
  <c r="Q181" i="2" s="1"/>
  <c r="L181" i="2"/>
  <c r="K181" i="2"/>
  <c r="H181" i="2"/>
  <c r="AF181" i="2" s="1"/>
  <c r="E181" i="2"/>
  <c r="B181" i="2"/>
  <c r="AR180" i="2"/>
  <c r="AM180" i="2"/>
  <c r="AG180" i="2"/>
  <c r="AA180" i="2"/>
  <c r="Z180" i="2"/>
  <c r="W180" i="2"/>
  <c r="P180" i="2"/>
  <c r="AQ180" i="2" s="1"/>
  <c r="L180" i="2"/>
  <c r="B180" i="2"/>
  <c r="AR179" i="2"/>
  <c r="AN179" i="2"/>
  <c r="AM179" i="2"/>
  <c r="AG179" i="2"/>
  <c r="AC179" i="2"/>
  <c r="AA179" i="2"/>
  <c r="Z179" i="2"/>
  <c r="AD179" i="2" s="1"/>
  <c r="W179" i="2"/>
  <c r="P179" i="2"/>
  <c r="AQ179" i="2" s="1"/>
  <c r="L179" i="2"/>
  <c r="K179" i="2"/>
  <c r="H179" i="2"/>
  <c r="AF179" i="2" s="1"/>
  <c r="E179" i="2"/>
  <c r="B179" i="2"/>
  <c r="AR178" i="2"/>
  <c r="AQ178" i="2"/>
  <c r="AM178" i="2"/>
  <c r="AL178" i="2"/>
  <c r="AI178" i="2"/>
  <c r="AG178" i="2"/>
  <c r="AF178" i="2"/>
  <c r="AD178" i="2"/>
  <c r="AE178" i="2" s="1"/>
  <c r="AB178" i="2"/>
  <c r="AA178" i="2"/>
  <c r="Z178" i="2"/>
  <c r="AC178" i="2" s="1"/>
  <c r="W178" i="2"/>
  <c r="P178" i="2"/>
  <c r="O178" i="2"/>
  <c r="AP178" i="2" s="1"/>
  <c r="L178" i="2"/>
  <c r="K178" i="2"/>
  <c r="H178" i="2"/>
  <c r="E178" i="2"/>
  <c r="B178" i="2"/>
  <c r="AR177" i="2"/>
  <c r="AO177" i="2"/>
  <c r="AN177" i="2"/>
  <c r="AM177" i="2"/>
  <c r="AG177" i="2"/>
  <c r="AA177" i="2"/>
  <c r="N177" i="2" s="1"/>
  <c r="Z177" i="2"/>
  <c r="W177" i="2"/>
  <c r="P177" i="2"/>
  <c r="AQ177" i="2" s="1"/>
  <c r="L177" i="2"/>
  <c r="H177" i="2"/>
  <c r="AF177" i="2" s="1"/>
  <c r="E177" i="2"/>
  <c r="B177" i="2"/>
  <c r="AR176" i="2"/>
  <c r="AM176" i="2"/>
  <c r="AG176" i="2"/>
  <c r="AC176" i="2"/>
  <c r="AA176" i="2"/>
  <c r="Z176" i="2"/>
  <c r="W176" i="2"/>
  <c r="L176" i="2"/>
  <c r="K176" i="2"/>
  <c r="H176" i="2"/>
  <c r="AF176" i="2" s="1"/>
  <c r="E176" i="2"/>
  <c r="B176" i="2"/>
  <c r="AR175" i="2"/>
  <c r="AQ175" i="2"/>
  <c r="AN175" i="2"/>
  <c r="AM175" i="2"/>
  <c r="AG175" i="2"/>
  <c r="AA175" i="2"/>
  <c r="Z175" i="2"/>
  <c r="W175" i="2"/>
  <c r="P175" i="2"/>
  <c r="O175" i="2"/>
  <c r="AP175" i="2" s="1"/>
  <c r="N175" i="2"/>
  <c r="AO175" i="2" s="1"/>
  <c r="M175" i="2"/>
  <c r="Q175" i="2" s="1"/>
  <c r="L175" i="2"/>
  <c r="K175" i="2"/>
  <c r="H175" i="2"/>
  <c r="AF175" i="2" s="1"/>
  <c r="B175" i="2"/>
  <c r="AR174" i="2"/>
  <c r="AG174" i="2"/>
  <c r="AA174" i="2"/>
  <c r="Z174" i="2"/>
  <c r="AD174" i="2" s="1"/>
  <c r="W174" i="2"/>
  <c r="P174" i="2"/>
  <c r="AQ174" i="2" s="1"/>
  <c r="L174" i="2"/>
  <c r="K174" i="2"/>
  <c r="H174" i="2"/>
  <c r="AF174" i="2" s="1"/>
  <c r="E174" i="2"/>
  <c r="B174" i="2"/>
  <c r="AR173" i="2"/>
  <c r="AN173" i="2"/>
  <c r="AM173" i="2"/>
  <c r="AG173" i="2"/>
  <c r="AC173" i="2"/>
  <c r="AA173" i="2"/>
  <c r="Z173" i="2"/>
  <c r="W173" i="2"/>
  <c r="O173" i="2"/>
  <c r="AP173" i="2" s="1"/>
  <c r="M173" i="2"/>
  <c r="Q173" i="2" s="1"/>
  <c r="L173" i="2"/>
  <c r="B173" i="2"/>
  <c r="AR172" i="2"/>
  <c r="AG172" i="2"/>
  <c r="AD172" i="2"/>
  <c r="AB172" i="2"/>
  <c r="AA172" i="2"/>
  <c r="Z172" i="2"/>
  <c r="W172" i="2"/>
  <c r="L172" i="2"/>
  <c r="B172" i="2"/>
  <c r="AR171" i="2"/>
  <c r="AG171" i="2"/>
  <c r="AA171" i="2"/>
  <c r="Z171" i="2"/>
  <c r="W171" i="2"/>
  <c r="M171" i="2"/>
  <c r="Q171" i="2" s="1"/>
  <c r="L171" i="2"/>
  <c r="B171" i="2"/>
  <c r="AR170" i="2"/>
  <c r="AM170" i="2"/>
  <c r="AL170" i="2"/>
  <c r="AK170" i="2"/>
  <c r="AJ170" i="2"/>
  <c r="AG170" i="2"/>
  <c r="AE170" i="2"/>
  <c r="AI170" i="2" s="1"/>
  <c r="AC170" i="2"/>
  <c r="AA170" i="2"/>
  <c r="Z170" i="2"/>
  <c r="AD170" i="2" s="1"/>
  <c r="W170" i="2"/>
  <c r="O170" i="2"/>
  <c r="AP170" i="2" s="1"/>
  <c r="L170" i="2"/>
  <c r="K170" i="2"/>
  <c r="H170" i="2"/>
  <c r="AF170" i="2" s="1"/>
  <c r="B170" i="2"/>
  <c r="AR169" i="2"/>
  <c r="AP169" i="2"/>
  <c r="AM169" i="2"/>
  <c r="AG169" i="2"/>
  <c r="AA169" i="2"/>
  <c r="Z169" i="2"/>
  <c r="W169" i="2"/>
  <c r="O169" i="2"/>
  <c r="L169" i="2"/>
  <c r="B169" i="2"/>
  <c r="AR168" i="2"/>
  <c r="AG168" i="2"/>
  <c r="AE168" i="2"/>
  <c r="AD168" i="2"/>
  <c r="AC168" i="2"/>
  <c r="AB168" i="2"/>
  <c r="AA168" i="2"/>
  <c r="Z168" i="2"/>
  <c r="W168" i="2"/>
  <c r="P168" i="2"/>
  <c r="AQ168" i="2" s="1"/>
  <c r="O168" i="2"/>
  <c r="AP168" i="2" s="1"/>
  <c r="N168" i="2"/>
  <c r="AO168" i="2" s="1"/>
  <c r="L168" i="2"/>
  <c r="H168" i="2"/>
  <c r="AF168" i="2" s="1"/>
  <c r="E168" i="2"/>
  <c r="B168" i="2"/>
  <c r="AR167" i="2"/>
  <c r="AQ167" i="2"/>
  <c r="AP167" i="2"/>
  <c r="AN167" i="2"/>
  <c r="AM167" i="2"/>
  <c r="AG167" i="2"/>
  <c r="AF167" i="2"/>
  <c r="AC167" i="2"/>
  <c r="AB167" i="2"/>
  <c r="AA167" i="2"/>
  <c r="Z167" i="2"/>
  <c r="AD167" i="2" s="1"/>
  <c r="W167" i="2"/>
  <c r="P167" i="2"/>
  <c r="O167" i="2"/>
  <c r="N167" i="2"/>
  <c r="AO167" i="2" s="1"/>
  <c r="M167" i="2"/>
  <c r="Q167" i="2" s="1"/>
  <c r="L167" i="2"/>
  <c r="K167" i="2"/>
  <c r="H167" i="2"/>
  <c r="E167" i="2"/>
  <c r="B167" i="2"/>
  <c r="AR166" i="2"/>
  <c r="AM166" i="2"/>
  <c r="AG166" i="2"/>
  <c r="AF166" i="2"/>
  <c r="AE166" i="2"/>
  <c r="AD166" i="2"/>
  <c r="AC166" i="2"/>
  <c r="AA166" i="2"/>
  <c r="Z166" i="2"/>
  <c r="AB166" i="2" s="1"/>
  <c r="W166" i="2"/>
  <c r="L166" i="2"/>
  <c r="K166" i="2"/>
  <c r="H166" i="2"/>
  <c r="E166" i="2"/>
  <c r="B166" i="2"/>
  <c r="AR165" i="2"/>
  <c r="AO165" i="2"/>
  <c r="AN165" i="2"/>
  <c r="AM165" i="2"/>
  <c r="AG165" i="2"/>
  <c r="AA165" i="2"/>
  <c r="O165" i="2" s="1"/>
  <c r="AP165" i="2" s="1"/>
  <c r="Z165" i="2"/>
  <c r="W165" i="2"/>
  <c r="P165" i="2"/>
  <c r="AQ165" i="2" s="1"/>
  <c r="N165" i="2"/>
  <c r="M165" i="2"/>
  <c r="Q165" i="2" s="1"/>
  <c r="L165" i="2"/>
  <c r="K165" i="2"/>
  <c r="E165" i="2"/>
  <c r="B165" i="2"/>
  <c r="AR164" i="2"/>
  <c r="AP164" i="2"/>
  <c r="AM164" i="2"/>
  <c r="AG164" i="2"/>
  <c r="AC164" i="2"/>
  <c r="AA164" i="2"/>
  <c r="Z164" i="2"/>
  <c r="AD164" i="2" s="1"/>
  <c r="W164" i="2"/>
  <c r="O164" i="2"/>
  <c r="N164" i="2"/>
  <c r="AO164" i="2" s="1"/>
  <c r="L164" i="2"/>
  <c r="K164" i="2"/>
  <c r="E164" i="2"/>
  <c r="B164" i="2"/>
  <c r="AR163" i="2"/>
  <c r="AQ163" i="2"/>
  <c r="AM163" i="2"/>
  <c r="AG163" i="2"/>
  <c r="AF163" i="2"/>
  <c r="AC163" i="2"/>
  <c r="AE163" i="2" s="1"/>
  <c r="AA163" i="2"/>
  <c r="Z163" i="2"/>
  <c r="AD163" i="2" s="1"/>
  <c r="W163" i="2"/>
  <c r="P163" i="2"/>
  <c r="O163" i="2"/>
  <c r="AP163" i="2" s="1"/>
  <c r="M163" i="2"/>
  <c r="Q163" i="2" s="1"/>
  <c r="L163" i="2"/>
  <c r="K163" i="2"/>
  <c r="H163" i="2"/>
  <c r="E163" i="2"/>
  <c r="B163" i="2"/>
  <c r="AR162" i="2"/>
  <c r="AO162" i="2"/>
  <c r="AM162" i="2"/>
  <c r="AG162" i="2"/>
  <c r="AA162" i="2"/>
  <c r="Z162" i="2"/>
  <c r="W162" i="2"/>
  <c r="P162" i="2"/>
  <c r="AQ162" i="2" s="1"/>
  <c r="O162" i="2"/>
  <c r="AP162" i="2" s="1"/>
  <c r="N162" i="2"/>
  <c r="L162" i="2"/>
  <c r="B162" i="2"/>
  <c r="AR161" i="2"/>
  <c r="AN161" i="2"/>
  <c r="AG161" i="2"/>
  <c r="AB161" i="2"/>
  <c r="AA161" i="2"/>
  <c r="Z161" i="2"/>
  <c r="W161" i="2"/>
  <c r="O161" i="2"/>
  <c r="AP161" i="2" s="1"/>
  <c r="N161" i="2"/>
  <c r="AO161" i="2" s="1"/>
  <c r="M161" i="2"/>
  <c r="Q161" i="2" s="1"/>
  <c r="L161" i="2"/>
  <c r="B161" i="2"/>
  <c r="AR160" i="2"/>
  <c r="AP160" i="2"/>
  <c r="AM160" i="2"/>
  <c r="AG160" i="2"/>
  <c r="AB160" i="2"/>
  <c r="AA160" i="2"/>
  <c r="Z160" i="2"/>
  <c r="W160" i="2"/>
  <c r="P160" i="2"/>
  <c r="AQ160" i="2" s="1"/>
  <c r="O160" i="2"/>
  <c r="N160" i="2"/>
  <c r="AO160" i="2" s="1"/>
  <c r="L160" i="2"/>
  <c r="K160" i="2"/>
  <c r="H160" i="2"/>
  <c r="AF160" i="2" s="1"/>
  <c r="E160" i="2"/>
  <c r="B160" i="2"/>
  <c r="AR159" i="2"/>
  <c r="AP159" i="2"/>
  <c r="AN159" i="2"/>
  <c r="AG159" i="2"/>
  <c r="AB159" i="2"/>
  <c r="AA159" i="2"/>
  <c r="O159" i="2" s="1"/>
  <c r="Z159" i="2"/>
  <c r="W159" i="2"/>
  <c r="P159" i="2"/>
  <c r="AQ159" i="2" s="1"/>
  <c r="N159" i="2"/>
  <c r="AO159" i="2" s="1"/>
  <c r="M159" i="2"/>
  <c r="Q159" i="2" s="1"/>
  <c r="L159" i="2"/>
  <c r="K159" i="2"/>
  <c r="H159" i="2"/>
  <c r="AF159" i="2" s="1"/>
  <c r="E159" i="2"/>
  <c r="B159" i="2"/>
  <c r="AR158" i="2"/>
  <c r="AM158" i="2"/>
  <c r="AG158" i="2"/>
  <c r="AA158" i="2"/>
  <c r="Z158" i="2"/>
  <c r="W158" i="2"/>
  <c r="P158" i="2"/>
  <c r="AQ158" i="2" s="1"/>
  <c r="N158" i="2"/>
  <c r="AO158" i="2" s="1"/>
  <c r="L158" i="2"/>
  <c r="E158" i="2"/>
  <c r="B158" i="2"/>
  <c r="AR157" i="2"/>
  <c r="AG157" i="2"/>
  <c r="AC157" i="2"/>
  <c r="AB157" i="2"/>
  <c r="AA157" i="2"/>
  <c r="M157" i="2" s="1"/>
  <c r="Q157" i="2" s="1"/>
  <c r="Z157" i="2"/>
  <c r="AD157" i="2" s="1"/>
  <c r="W157" i="2"/>
  <c r="O157" i="2"/>
  <c r="AP157" i="2" s="1"/>
  <c r="N157" i="2"/>
  <c r="AO157" i="2" s="1"/>
  <c r="L157" i="2"/>
  <c r="K157" i="2"/>
  <c r="E157" i="2"/>
  <c r="B157" i="2"/>
  <c r="AR156" i="2"/>
  <c r="AG156" i="2"/>
  <c r="AA156" i="2"/>
  <c r="H156" i="2" s="1"/>
  <c r="AF156" i="2" s="1"/>
  <c r="Z156" i="2"/>
  <c r="W156" i="2"/>
  <c r="O156" i="2"/>
  <c r="AP156" i="2" s="1"/>
  <c r="L156" i="2"/>
  <c r="B156" i="2"/>
  <c r="AR155" i="2"/>
  <c r="AN155" i="2"/>
  <c r="AM155" i="2"/>
  <c r="AG155" i="2"/>
  <c r="AF155" i="2"/>
  <c r="AA155" i="2"/>
  <c r="Z155" i="2"/>
  <c r="W155" i="2"/>
  <c r="P155" i="2"/>
  <c r="AQ155" i="2" s="1"/>
  <c r="O155" i="2"/>
  <c r="AP155" i="2" s="1"/>
  <c r="N155" i="2"/>
  <c r="AO155" i="2" s="1"/>
  <c r="M155" i="2"/>
  <c r="Q155" i="2" s="1"/>
  <c r="L155" i="2"/>
  <c r="K155" i="2"/>
  <c r="H155" i="2"/>
  <c r="B155" i="2"/>
  <c r="AR154" i="2"/>
  <c r="AG154" i="2"/>
  <c r="AC154" i="2"/>
  <c r="AA154" i="2"/>
  <c r="Z154" i="2"/>
  <c r="W154" i="2"/>
  <c r="P154" i="2"/>
  <c r="AQ154" i="2" s="1"/>
  <c r="L154" i="2"/>
  <c r="K154" i="2"/>
  <c r="E154" i="2"/>
  <c r="B154" i="2"/>
  <c r="AR153" i="2"/>
  <c r="AN153" i="2"/>
  <c r="AM153" i="2"/>
  <c r="AG153" i="2"/>
  <c r="AF153" i="2"/>
  <c r="AJ153" i="2" s="1"/>
  <c r="AE153" i="2"/>
  <c r="AC153" i="2"/>
  <c r="AB153" i="2"/>
  <c r="AA153" i="2"/>
  <c r="M153" i="2" s="1"/>
  <c r="Q153" i="2" s="1"/>
  <c r="Z153" i="2"/>
  <c r="AD153" i="2" s="1"/>
  <c r="W153" i="2"/>
  <c r="P153" i="2"/>
  <c r="AQ153" i="2" s="1"/>
  <c r="O153" i="2"/>
  <c r="AP153" i="2" s="1"/>
  <c r="N153" i="2"/>
  <c r="AO153" i="2" s="1"/>
  <c r="L153" i="2"/>
  <c r="H153" i="2"/>
  <c r="E153" i="2"/>
  <c r="B153" i="2"/>
  <c r="AR152" i="2"/>
  <c r="AO152" i="2"/>
  <c r="AM152" i="2"/>
  <c r="AG152" i="2"/>
  <c r="AB152" i="2"/>
  <c r="AA152" i="2"/>
  <c r="Z152" i="2"/>
  <c r="W152" i="2"/>
  <c r="P152" i="2"/>
  <c r="AQ152" i="2" s="1"/>
  <c r="N152" i="2"/>
  <c r="L152" i="2"/>
  <c r="K152" i="2"/>
  <c r="H152" i="2"/>
  <c r="AF152" i="2" s="1"/>
  <c r="E152" i="2"/>
  <c r="B152" i="2"/>
  <c r="AR151" i="2"/>
  <c r="AG151" i="2"/>
  <c r="AA151" i="2"/>
  <c r="Z151" i="2"/>
  <c r="W151" i="2"/>
  <c r="L151" i="2"/>
  <c r="B151" i="2"/>
  <c r="AR150" i="2"/>
  <c r="AG150" i="2"/>
  <c r="AA150" i="2"/>
  <c r="Z150" i="2"/>
  <c r="AC150" i="2" s="1"/>
  <c r="W150" i="2"/>
  <c r="L150" i="2"/>
  <c r="B150" i="2"/>
  <c r="AR149" i="2"/>
  <c r="AQ149" i="2"/>
  <c r="AN149" i="2"/>
  <c r="AM149" i="2"/>
  <c r="AG149" i="2"/>
  <c r="AA149" i="2"/>
  <c r="Z149" i="2"/>
  <c r="W149" i="2"/>
  <c r="Q149" i="2"/>
  <c r="P149" i="2"/>
  <c r="O149" i="2"/>
  <c r="AP149" i="2" s="1"/>
  <c r="N149" i="2"/>
  <c r="AO149" i="2" s="1"/>
  <c r="M149" i="2"/>
  <c r="L149" i="2"/>
  <c r="K149" i="2"/>
  <c r="H149" i="2"/>
  <c r="AF149" i="2" s="1"/>
  <c r="E149" i="2"/>
  <c r="B149" i="2"/>
  <c r="AR148" i="2"/>
  <c r="AQ148" i="2"/>
  <c r="AP148" i="2"/>
  <c r="AM148" i="2"/>
  <c r="AG148" i="2"/>
  <c r="AF148" i="2"/>
  <c r="AB148" i="2"/>
  <c r="AA148" i="2"/>
  <c r="Z148" i="2"/>
  <c r="W148" i="2"/>
  <c r="P148" i="2"/>
  <c r="O148" i="2"/>
  <c r="N148" i="2"/>
  <c r="AO148" i="2" s="1"/>
  <c r="L148" i="2"/>
  <c r="K148" i="2"/>
  <c r="H148" i="2"/>
  <c r="E148" i="2"/>
  <c r="B148" i="2"/>
  <c r="AR147" i="2"/>
  <c r="AP147" i="2"/>
  <c r="AN147" i="2"/>
  <c r="AM147" i="2"/>
  <c r="AG147" i="2"/>
  <c r="AA147" i="2"/>
  <c r="Z147" i="2"/>
  <c r="AD147" i="2" s="1"/>
  <c r="W147" i="2"/>
  <c r="P147" i="2"/>
  <c r="AQ147" i="2" s="1"/>
  <c r="O147" i="2"/>
  <c r="L147" i="2"/>
  <c r="K147" i="2"/>
  <c r="E147" i="2"/>
  <c r="B147" i="2"/>
  <c r="AR146" i="2"/>
  <c r="AP146" i="2"/>
  <c r="AM146" i="2"/>
  <c r="AG146" i="2"/>
  <c r="AD146" i="2"/>
  <c r="AE146" i="2" s="1"/>
  <c r="AC146" i="2"/>
  <c r="AB146" i="2"/>
  <c r="AA146" i="2"/>
  <c r="N146" i="2" s="1"/>
  <c r="AO146" i="2" s="1"/>
  <c r="Z146" i="2"/>
  <c r="W146" i="2"/>
  <c r="P146" i="2"/>
  <c r="AQ146" i="2" s="1"/>
  <c r="O146" i="2"/>
  <c r="L146" i="2"/>
  <c r="H146" i="2"/>
  <c r="AF146" i="2" s="1"/>
  <c r="E146" i="2"/>
  <c r="B146" i="2"/>
  <c r="AR145" i="2"/>
  <c r="AQ145" i="2"/>
  <c r="AO145" i="2"/>
  <c r="AN145" i="2"/>
  <c r="AM145" i="2"/>
  <c r="AG145" i="2"/>
  <c r="AA145" i="2"/>
  <c r="N145" i="2" s="1"/>
  <c r="Z145" i="2"/>
  <c r="W145" i="2"/>
  <c r="Q145" i="2"/>
  <c r="P145" i="2"/>
  <c r="O145" i="2"/>
  <c r="AP145" i="2" s="1"/>
  <c r="M145" i="2"/>
  <c r="L145" i="2"/>
  <c r="K145" i="2"/>
  <c r="H145" i="2"/>
  <c r="AF145" i="2" s="1"/>
  <c r="B145" i="2"/>
  <c r="AR144" i="2"/>
  <c r="AG144" i="2"/>
  <c r="AC144" i="2"/>
  <c r="AB144" i="2"/>
  <c r="AA144" i="2"/>
  <c r="Z144" i="2"/>
  <c r="W144" i="2"/>
  <c r="L144" i="2"/>
  <c r="B144" i="2"/>
  <c r="AR143" i="2"/>
  <c r="AG143" i="2"/>
  <c r="AA143" i="2"/>
  <c r="Z143" i="2"/>
  <c r="AB143" i="2" s="1"/>
  <c r="W143" i="2"/>
  <c r="M143" i="2"/>
  <c r="Q143" i="2" s="1"/>
  <c r="L143" i="2"/>
  <c r="H143" i="2"/>
  <c r="AF143" i="2" s="1"/>
  <c r="E143" i="2"/>
  <c r="B143" i="2"/>
  <c r="AR142" i="2"/>
  <c r="AN142" i="2"/>
  <c r="AG142" i="2"/>
  <c r="AA142" i="2"/>
  <c r="O142" i="2" s="1"/>
  <c r="AP142" i="2" s="1"/>
  <c r="Z142" i="2"/>
  <c r="W142" i="2"/>
  <c r="P142" i="2"/>
  <c r="AQ142" i="2" s="1"/>
  <c r="M142" i="2"/>
  <c r="Q142" i="2" s="1"/>
  <c r="L142" i="2"/>
  <c r="K142" i="2"/>
  <c r="H142" i="2"/>
  <c r="AF142" i="2" s="1"/>
  <c r="E142" i="2"/>
  <c r="B142" i="2"/>
  <c r="AR141" i="2"/>
  <c r="AG141" i="2"/>
  <c r="AD141" i="2"/>
  <c r="AE141" i="2" s="1"/>
  <c r="AB141" i="2"/>
  <c r="AA141" i="2"/>
  <c r="O141" i="2" s="1"/>
  <c r="AP141" i="2" s="1"/>
  <c r="Z141" i="2"/>
  <c r="AC141" i="2" s="1"/>
  <c r="W141" i="2"/>
  <c r="N141" i="2"/>
  <c r="AO141" i="2" s="1"/>
  <c r="M141" i="2"/>
  <c r="Q141" i="2" s="1"/>
  <c r="L141" i="2"/>
  <c r="H141" i="2"/>
  <c r="AF141" i="2" s="1"/>
  <c r="E141" i="2"/>
  <c r="B141" i="2"/>
  <c r="AR140" i="2"/>
  <c r="AG140" i="2"/>
  <c r="AF140" i="2"/>
  <c r="AD140" i="2"/>
  <c r="AA140" i="2"/>
  <c r="Z140" i="2"/>
  <c r="W140" i="2"/>
  <c r="P140" i="2"/>
  <c r="AQ140" i="2" s="1"/>
  <c r="L140" i="2"/>
  <c r="H140" i="2"/>
  <c r="E140" i="2"/>
  <c r="B140" i="2"/>
  <c r="AR139" i="2"/>
  <c r="AN139" i="2"/>
  <c r="AM139" i="2"/>
  <c r="AG139" i="2"/>
  <c r="AF139" i="2"/>
  <c r="AD139" i="2"/>
  <c r="AE139" i="2" s="1"/>
  <c r="AB139" i="2"/>
  <c r="AA139" i="2"/>
  <c r="K139" i="2" s="1"/>
  <c r="Z139" i="2"/>
  <c r="AC139" i="2" s="1"/>
  <c r="W139" i="2"/>
  <c r="Q139" i="2"/>
  <c r="P139" i="2"/>
  <c r="AQ139" i="2" s="1"/>
  <c r="O139" i="2"/>
  <c r="AP139" i="2" s="1"/>
  <c r="N139" i="2"/>
  <c r="AO139" i="2" s="1"/>
  <c r="M139" i="2"/>
  <c r="L139" i="2"/>
  <c r="H139" i="2"/>
  <c r="E139" i="2"/>
  <c r="B139" i="2"/>
  <c r="AR138" i="2"/>
  <c r="AN138" i="2"/>
  <c r="AG138" i="2"/>
  <c r="AE138" i="2"/>
  <c r="AD138" i="2"/>
  <c r="AC138" i="2"/>
  <c r="AA138" i="2"/>
  <c r="Z138" i="2"/>
  <c r="AB138" i="2" s="1"/>
  <c r="W138" i="2"/>
  <c r="L138" i="2"/>
  <c r="H138" i="2"/>
  <c r="AF138" i="2" s="1"/>
  <c r="E138" i="2"/>
  <c r="B138" i="2"/>
  <c r="AR137" i="2"/>
  <c r="AG137" i="2"/>
  <c r="AA137" i="2"/>
  <c r="Z137" i="2"/>
  <c r="W137" i="2"/>
  <c r="L137" i="2"/>
  <c r="B137" i="2"/>
  <c r="AR136" i="2"/>
  <c r="AG136" i="2"/>
  <c r="AD136" i="2"/>
  <c r="AC136" i="2"/>
  <c r="AA136" i="2"/>
  <c r="Z136" i="2"/>
  <c r="AB136" i="2" s="1"/>
  <c r="W136" i="2"/>
  <c r="L136" i="2"/>
  <c r="K136" i="2"/>
  <c r="E136" i="2"/>
  <c r="B136" i="2"/>
  <c r="AR135" i="2"/>
  <c r="AQ135" i="2"/>
  <c r="AO135" i="2"/>
  <c r="AN135" i="2"/>
  <c r="AM135" i="2"/>
  <c r="AG135" i="2"/>
  <c r="AB135" i="2"/>
  <c r="AA135" i="2"/>
  <c r="Z135" i="2"/>
  <c r="W135" i="2"/>
  <c r="P135" i="2"/>
  <c r="N135" i="2"/>
  <c r="M135" i="2"/>
  <c r="Q135" i="2" s="1"/>
  <c r="L135" i="2"/>
  <c r="H135" i="2"/>
  <c r="AF135" i="2" s="1"/>
  <c r="E135" i="2"/>
  <c r="B135" i="2"/>
  <c r="AR134" i="2"/>
  <c r="AG134" i="2"/>
  <c r="AD134" i="2"/>
  <c r="AA134" i="2"/>
  <c r="Z134" i="2"/>
  <c r="W134" i="2"/>
  <c r="L134" i="2"/>
  <c r="K134" i="2"/>
  <c r="H134" i="2"/>
  <c r="AF134" i="2" s="1"/>
  <c r="B134" i="2"/>
  <c r="AR133" i="2"/>
  <c r="AN133" i="2"/>
  <c r="AG133" i="2"/>
  <c r="AA133" i="2"/>
  <c r="Z133" i="2"/>
  <c r="AC133" i="2" s="1"/>
  <c r="W133" i="2"/>
  <c r="M133" i="2"/>
  <c r="Q133" i="2" s="1"/>
  <c r="L133" i="2"/>
  <c r="H133" i="2"/>
  <c r="AF133" i="2" s="1"/>
  <c r="E133" i="2"/>
  <c r="B133" i="2"/>
  <c r="AR132" i="2"/>
  <c r="AP132" i="2"/>
  <c r="AN132" i="2"/>
  <c r="AG132" i="2"/>
  <c r="AA132" i="2"/>
  <c r="O132" i="2" s="1"/>
  <c r="Z132" i="2"/>
  <c r="W132" i="2"/>
  <c r="P132" i="2"/>
  <c r="AQ132" i="2" s="1"/>
  <c r="M132" i="2"/>
  <c r="Q132" i="2" s="1"/>
  <c r="L132" i="2"/>
  <c r="K132" i="2"/>
  <c r="H132" i="2"/>
  <c r="AF132" i="2" s="1"/>
  <c r="E132" i="2"/>
  <c r="B132" i="2"/>
  <c r="AR131" i="2"/>
  <c r="AQ131" i="2"/>
  <c r="AO131" i="2"/>
  <c r="AN131" i="2"/>
  <c r="AM131" i="2"/>
  <c r="AG131" i="2"/>
  <c r="AD131" i="2"/>
  <c r="AE131" i="2" s="1"/>
  <c r="AB131" i="2"/>
  <c r="AA131" i="2"/>
  <c r="K131" i="2" s="1"/>
  <c r="Z131" i="2"/>
  <c r="AC131" i="2" s="1"/>
  <c r="W131" i="2"/>
  <c r="P131" i="2"/>
  <c r="O131" i="2"/>
  <c r="AP131" i="2" s="1"/>
  <c r="N131" i="2"/>
  <c r="M131" i="2"/>
  <c r="Q131" i="2" s="1"/>
  <c r="L131" i="2"/>
  <c r="H131" i="2"/>
  <c r="AF131" i="2" s="1"/>
  <c r="AH131" i="2" s="1"/>
  <c r="E131" i="2"/>
  <c r="B131" i="2"/>
  <c r="AR130" i="2"/>
  <c r="AN130" i="2"/>
  <c r="AG130" i="2"/>
  <c r="AD130" i="2"/>
  <c r="AA130" i="2"/>
  <c r="Z130" i="2"/>
  <c r="AB130" i="2" s="1"/>
  <c r="W130" i="2"/>
  <c r="P130" i="2"/>
  <c r="AQ130" i="2" s="1"/>
  <c r="O130" i="2"/>
  <c r="AP130" i="2" s="1"/>
  <c r="L130" i="2"/>
  <c r="B130" i="2"/>
  <c r="AR129" i="2"/>
  <c r="AP129" i="2"/>
  <c r="AN129" i="2"/>
  <c r="AM129" i="2"/>
  <c r="AG129" i="2"/>
  <c r="AF129" i="2"/>
  <c r="AD129" i="2"/>
  <c r="AE129" i="2" s="1"/>
  <c r="AB129" i="2"/>
  <c r="AA129" i="2"/>
  <c r="K129" i="2" s="1"/>
  <c r="Z129" i="2"/>
  <c r="AC129" i="2" s="1"/>
  <c r="W129" i="2"/>
  <c r="Q129" i="2"/>
  <c r="P129" i="2"/>
  <c r="AQ129" i="2" s="1"/>
  <c r="O129" i="2"/>
  <c r="N129" i="2"/>
  <c r="AO129" i="2" s="1"/>
  <c r="M129" i="2"/>
  <c r="L129" i="2"/>
  <c r="H129" i="2"/>
  <c r="E129" i="2"/>
  <c r="B129" i="2"/>
  <c r="AR128" i="2"/>
  <c r="AG128" i="2"/>
  <c r="AD128" i="2"/>
  <c r="AE128" i="2" s="1"/>
  <c r="AC128" i="2"/>
  <c r="AA128" i="2"/>
  <c r="Z128" i="2"/>
  <c r="AB128" i="2" s="1"/>
  <c r="W128" i="2"/>
  <c r="L128" i="2"/>
  <c r="E128" i="2"/>
  <c r="B128" i="2"/>
  <c r="AR127" i="2"/>
  <c r="AG127" i="2"/>
  <c r="AA127" i="2"/>
  <c r="Z127" i="2"/>
  <c r="AD127" i="2" s="1"/>
  <c r="W127" i="2"/>
  <c r="P127" i="2"/>
  <c r="AQ127" i="2" s="1"/>
  <c r="L127" i="2"/>
  <c r="B127" i="2"/>
  <c r="AR126" i="2"/>
  <c r="AQ126" i="2"/>
  <c r="AO126" i="2"/>
  <c r="AN126" i="2"/>
  <c r="AG126" i="2"/>
  <c r="AF126" i="2"/>
  <c r="AD126" i="2"/>
  <c r="AC126" i="2"/>
  <c r="AA126" i="2"/>
  <c r="AM126" i="2" s="1"/>
  <c r="Z126" i="2"/>
  <c r="AB126" i="2" s="1"/>
  <c r="W126" i="2"/>
  <c r="Q126" i="2"/>
  <c r="P126" i="2"/>
  <c r="O126" i="2"/>
  <c r="AP126" i="2" s="1"/>
  <c r="N126" i="2"/>
  <c r="M126" i="2"/>
  <c r="L126" i="2"/>
  <c r="K126" i="2"/>
  <c r="H126" i="2"/>
  <c r="E126" i="2"/>
  <c r="B126" i="2"/>
  <c r="AR125" i="2"/>
  <c r="AQ125" i="2"/>
  <c r="AP125" i="2"/>
  <c r="AO125" i="2"/>
  <c r="AN125" i="2"/>
  <c r="AM125" i="2"/>
  <c r="AG125" i="2"/>
  <c r="AF125" i="2"/>
  <c r="AD125" i="2"/>
  <c r="AE125" i="2" s="1"/>
  <c r="AK125" i="2" s="1"/>
  <c r="AB125" i="2"/>
  <c r="AA125" i="2"/>
  <c r="K125" i="2" s="1"/>
  <c r="Z125" i="2"/>
  <c r="AC125" i="2" s="1"/>
  <c r="W125" i="2"/>
  <c r="P125" i="2"/>
  <c r="O125" i="2"/>
  <c r="N125" i="2"/>
  <c r="M125" i="2"/>
  <c r="Q125" i="2" s="1"/>
  <c r="L125" i="2"/>
  <c r="H125" i="2"/>
  <c r="E125" i="2"/>
  <c r="B125" i="2"/>
  <c r="AR124" i="2"/>
  <c r="AN124" i="2"/>
  <c r="AG124" i="2"/>
  <c r="AA124" i="2"/>
  <c r="Z124" i="2"/>
  <c r="AC124" i="2" s="1"/>
  <c r="W124" i="2"/>
  <c r="P124" i="2"/>
  <c r="AQ124" i="2" s="1"/>
  <c r="L124" i="2"/>
  <c r="K124" i="2"/>
  <c r="H124" i="2"/>
  <c r="AF124" i="2" s="1"/>
  <c r="B124" i="2"/>
  <c r="AR123" i="2"/>
  <c r="AG123" i="2"/>
  <c r="AA123" i="2"/>
  <c r="Z123" i="2"/>
  <c r="W123" i="2"/>
  <c r="M123" i="2"/>
  <c r="Q123" i="2" s="1"/>
  <c r="L123" i="2"/>
  <c r="H123" i="2"/>
  <c r="AF123" i="2" s="1"/>
  <c r="B123" i="2"/>
  <c r="AR122" i="2"/>
  <c r="AG122" i="2"/>
  <c r="AA122" i="2"/>
  <c r="Z122" i="2"/>
  <c r="W122" i="2"/>
  <c r="P122" i="2"/>
  <c r="AQ122" i="2" s="1"/>
  <c r="O122" i="2"/>
  <c r="AP122" i="2" s="1"/>
  <c r="N122" i="2"/>
  <c r="AO122" i="2" s="1"/>
  <c r="M122" i="2"/>
  <c r="Q122" i="2" s="1"/>
  <c r="L122" i="2"/>
  <c r="K122" i="2"/>
  <c r="B122" i="2"/>
  <c r="AR121" i="2"/>
  <c r="AP121" i="2"/>
  <c r="AG121" i="2"/>
  <c r="AB121" i="2"/>
  <c r="AA121" i="2"/>
  <c r="N121" i="2" s="1"/>
  <c r="AO121" i="2" s="1"/>
  <c r="Z121" i="2"/>
  <c r="W121" i="2"/>
  <c r="O121" i="2"/>
  <c r="M121" i="2"/>
  <c r="Q121" i="2" s="1"/>
  <c r="L121" i="2"/>
  <c r="E121" i="2"/>
  <c r="B121" i="2"/>
  <c r="AR120" i="2"/>
  <c r="AG120" i="2"/>
  <c r="AD120" i="2"/>
  <c r="AC120" i="2"/>
  <c r="AA120" i="2"/>
  <c r="Z120" i="2"/>
  <c r="AB120" i="2" s="1"/>
  <c r="W120" i="2"/>
  <c r="O120" i="2"/>
  <c r="AP120" i="2" s="1"/>
  <c r="N120" i="2"/>
  <c r="AO120" i="2" s="1"/>
  <c r="M120" i="2"/>
  <c r="Q120" i="2" s="1"/>
  <c r="L120" i="2"/>
  <c r="E120" i="2"/>
  <c r="B120" i="2"/>
  <c r="AR119" i="2"/>
  <c r="AQ119" i="2"/>
  <c r="AM119" i="2"/>
  <c r="AG119" i="2"/>
  <c r="AE119" i="2"/>
  <c r="AD119" i="2"/>
  <c r="AB119" i="2"/>
  <c r="AA119" i="2"/>
  <c r="Z119" i="2"/>
  <c r="AC119" i="2" s="1"/>
  <c r="W119" i="2"/>
  <c r="P119" i="2"/>
  <c r="O119" i="2"/>
  <c r="AP119" i="2" s="1"/>
  <c r="L119" i="2"/>
  <c r="E119" i="2"/>
  <c r="B119" i="2"/>
  <c r="AR118" i="2"/>
  <c r="AO118" i="2"/>
  <c r="AN118" i="2"/>
  <c r="AG118" i="2"/>
  <c r="AF118" i="2"/>
  <c r="AD118" i="2"/>
  <c r="AE118" i="2" s="1"/>
  <c r="AK118" i="2" s="1"/>
  <c r="AC118" i="2"/>
  <c r="AA118" i="2"/>
  <c r="AM118" i="2" s="1"/>
  <c r="Z118" i="2"/>
  <c r="AB118" i="2" s="1"/>
  <c r="W118" i="2"/>
  <c r="Q118" i="2"/>
  <c r="P118" i="2"/>
  <c r="AQ118" i="2" s="1"/>
  <c r="O118" i="2"/>
  <c r="AP118" i="2" s="1"/>
  <c r="N118" i="2"/>
  <c r="M118" i="2"/>
  <c r="L118" i="2"/>
  <c r="K118" i="2"/>
  <c r="H118" i="2"/>
  <c r="E118" i="2"/>
  <c r="B118" i="2"/>
  <c r="AR117" i="2"/>
  <c r="AQ117" i="2"/>
  <c r="AP117" i="2"/>
  <c r="AO117" i="2"/>
  <c r="AN117" i="2"/>
  <c r="AM117" i="2"/>
  <c r="AG117" i="2"/>
  <c r="AD117" i="2"/>
  <c r="AE117" i="2" s="1"/>
  <c r="AB117" i="2"/>
  <c r="AA117" i="2"/>
  <c r="K117" i="2" s="1"/>
  <c r="Z117" i="2"/>
  <c r="AC117" i="2" s="1"/>
  <c r="W117" i="2"/>
  <c r="P117" i="2"/>
  <c r="O117" i="2"/>
  <c r="N117" i="2"/>
  <c r="M117" i="2"/>
  <c r="Q117" i="2" s="1"/>
  <c r="L117" i="2"/>
  <c r="H117" i="2"/>
  <c r="AF117" i="2" s="1"/>
  <c r="AK117" i="2" s="1"/>
  <c r="E117" i="2"/>
  <c r="B117" i="2"/>
  <c r="AR116" i="2"/>
  <c r="AN116" i="2"/>
  <c r="AG116" i="2"/>
  <c r="AF116" i="2"/>
  <c r="AA116" i="2"/>
  <c r="Z116" i="2"/>
  <c r="AB116" i="2" s="1"/>
  <c r="W116" i="2"/>
  <c r="P116" i="2"/>
  <c r="AQ116" i="2" s="1"/>
  <c r="L116" i="2"/>
  <c r="H116" i="2"/>
  <c r="E116" i="2"/>
  <c r="B116" i="2"/>
  <c r="AR115" i="2"/>
  <c r="AG115" i="2"/>
  <c r="AA115" i="2"/>
  <c r="AN115" i="2" s="1"/>
  <c r="Z115" i="2"/>
  <c r="W115" i="2"/>
  <c r="L115" i="2"/>
  <c r="B115" i="2"/>
  <c r="AR114" i="2"/>
  <c r="AG114" i="2"/>
  <c r="AA114" i="2"/>
  <c r="Z114" i="2"/>
  <c r="W114" i="2"/>
  <c r="P114" i="2"/>
  <c r="AQ114" i="2" s="1"/>
  <c r="O114" i="2"/>
  <c r="AP114" i="2" s="1"/>
  <c r="N114" i="2"/>
  <c r="AO114" i="2" s="1"/>
  <c r="L114" i="2"/>
  <c r="B114" i="2"/>
  <c r="AR113" i="2"/>
  <c r="AG113" i="2"/>
  <c r="AD113" i="2"/>
  <c r="AE113" i="2" s="1"/>
  <c r="AB113" i="2"/>
  <c r="AA113" i="2"/>
  <c r="Z113" i="2"/>
  <c r="AC113" i="2" s="1"/>
  <c r="W113" i="2"/>
  <c r="O113" i="2"/>
  <c r="AP113" i="2" s="1"/>
  <c r="N113" i="2"/>
  <c r="AO113" i="2" s="1"/>
  <c r="M113" i="2"/>
  <c r="Q113" i="2" s="1"/>
  <c r="L113" i="2"/>
  <c r="E113" i="2"/>
  <c r="B113" i="2"/>
  <c r="AR112" i="2"/>
  <c r="AG112" i="2"/>
  <c r="AC112" i="2"/>
  <c r="AA112" i="2"/>
  <c r="Z112" i="2"/>
  <c r="W112" i="2"/>
  <c r="O112" i="2"/>
  <c r="AP112" i="2" s="1"/>
  <c r="N112" i="2"/>
  <c r="AO112" i="2" s="1"/>
  <c r="L112" i="2"/>
  <c r="H112" i="2"/>
  <c r="AF112" i="2" s="1"/>
  <c r="B112" i="2"/>
  <c r="AR111" i="2"/>
  <c r="AG111" i="2"/>
  <c r="AA111" i="2"/>
  <c r="Z111" i="2"/>
  <c r="W111" i="2"/>
  <c r="P111" i="2"/>
  <c r="AQ111" i="2" s="1"/>
  <c r="L111" i="2"/>
  <c r="B111" i="2"/>
  <c r="AR110" i="2"/>
  <c r="AQ110" i="2"/>
  <c r="AO110" i="2"/>
  <c r="AN110" i="2"/>
  <c r="AG110" i="2"/>
  <c r="AF110" i="2"/>
  <c r="AD110" i="2"/>
  <c r="AC110" i="2"/>
  <c r="AA110" i="2"/>
  <c r="AM110" i="2" s="1"/>
  <c r="Z110" i="2"/>
  <c r="AB110" i="2" s="1"/>
  <c r="W110" i="2"/>
  <c r="Q110" i="2"/>
  <c r="P110" i="2"/>
  <c r="O110" i="2"/>
  <c r="AP110" i="2" s="1"/>
  <c r="N110" i="2"/>
  <c r="M110" i="2"/>
  <c r="L110" i="2"/>
  <c r="K110" i="2"/>
  <c r="H110" i="2"/>
  <c r="E110" i="2"/>
  <c r="B110" i="2"/>
  <c r="AR109" i="2"/>
  <c r="AG109" i="2"/>
  <c r="AD109" i="2"/>
  <c r="AE109" i="2" s="1"/>
  <c r="AB109" i="2"/>
  <c r="AA109" i="2"/>
  <c r="Z109" i="2"/>
  <c r="AC109" i="2" s="1"/>
  <c r="W109" i="2"/>
  <c r="P109" i="2"/>
  <c r="AQ109" i="2" s="1"/>
  <c r="L109" i="2"/>
  <c r="E109" i="2"/>
  <c r="B109" i="2"/>
  <c r="AR108" i="2"/>
  <c r="AG108" i="2"/>
  <c r="AA108" i="2"/>
  <c r="Z108" i="2"/>
  <c r="AB108" i="2" s="1"/>
  <c r="W108" i="2"/>
  <c r="P108" i="2"/>
  <c r="AQ108" i="2" s="1"/>
  <c r="L108" i="2"/>
  <c r="B108" i="2"/>
  <c r="AR107" i="2"/>
  <c r="AG107" i="2"/>
  <c r="AA107" i="2"/>
  <c r="Z107" i="2"/>
  <c r="W107" i="2"/>
  <c r="Q107" i="2"/>
  <c r="M107" i="2"/>
  <c r="L107" i="2"/>
  <c r="H107" i="2"/>
  <c r="AF107" i="2" s="1"/>
  <c r="B107" i="2"/>
  <c r="AR106" i="2"/>
  <c r="AQ106" i="2"/>
  <c r="AN106" i="2"/>
  <c r="AG106" i="2"/>
  <c r="AA106" i="2"/>
  <c r="O106" i="2" s="1"/>
  <c r="AP106" i="2" s="1"/>
  <c r="Z106" i="2"/>
  <c r="AD106" i="2" s="1"/>
  <c r="W106" i="2"/>
  <c r="P106" i="2"/>
  <c r="N106" i="2"/>
  <c r="AO106" i="2" s="1"/>
  <c r="L106" i="2"/>
  <c r="K106" i="2"/>
  <c r="B106" i="2"/>
  <c r="AR105" i="2"/>
  <c r="AO105" i="2"/>
  <c r="AG105" i="2"/>
  <c r="AD105" i="2"/>
  <c r="AE105" i="2" s="1"/>
  <c r="AA105" i="2"/>
  <c r="Z105" i="2"/>
  <c r="AC105" i="2" s="1"/>
  <c r="W105" i="2"/>
  <c r="O105" i="2"/>
  <c r="AP105" i="2" s="1"/>
  <c r="N105" i="2"/>
  <c r="M105" i="2"/>
  <c r="Q105" i="2" s="1"/>
  <c r="L105" i="2"/>
  <c r="E105" i="2"/>
  <c r="B105" i="2"/>
  <c r="AR104" i="2"/>
  <c r="AN104" i="2"/>
  <c r="AG104" i="2"/>
  <c r="AD104" i="2"/>
  <c r="AC104" i="2"/>
  <c r="AA104" i="2"/>
  <c r="Z104" i="2"/>
  <c r="AB104" i="2" s="1"/>
  <c r="W104" i="2"/>
  <c r="O104" i="2"/>
  <c r="AP104" i="2" s="1"/>
  <c r="L104" i="2"/>
  <c r="K104" i="2"/>
  <c r="E104" i="2"/>
  <c r="B104" i="2"/>
  <c r="AR103" i="2"/>
  <c r="AM103" i="2"/>
  <c r="AG103" i="2"/>
  <c r="AA103" i="2"/>
  <c r="Z103" i="2"/>
  <c r="W103" i="2"/>
  <c r="L103" i="2"/>
  <c r="B103" i="2"/>
  <c r="AR102" i="2"/>
  <c r="AN102" i="2"/>
  <c r="AG102" i="2"/>
  <c r="AF102" i="2"/>
  <c r="AD102" i="2"/>
  <c r="AE102" i="2" s="1"/>
  <c r="AC102" i="2"/>
  <c r="AA102" i="2"/>
  <c r="AM102" i="2" s="1"/>
  <c r="Z102" i="2"/>
  <c r="AB102" i="2" s="1"/>
  <c r="W102" i="2"/>
  <c r="Q102" i="2"/>
  <c r="P102" i="2"/>
  <c r="AQ102" i="2" s="1"/>
  <c r="O102" i="2"/>
  <c r="AP102" i="2" s="1"/>
  <c r="N102" i="2"/>
  <c r="AO102" i="2" s="1"/>
  <c r="M102" i="2"/>
  <c r="L102" i="2"/>
  <c r="K102" i="2"/>
  <c r="H102" i="2"/>
  <c r="E102" i="2"/>
  <c r="B102" i="2"/>
  <c r="AR101" i="2"/>
  <c r="AQ101" i="2"/>
  <c r="AP101" i="2"/>
  <c r="AO101" i="2"/>
  <c r="AN101" i="2"/>
  <c r="AM101" i="2"/>
  <c r="AG101" i="2"/>
  <c r="AE101" i="2"/>
  <c r="AD101" i="2"/>
  <c r="AB101" i="2"/>
  <c r="AA101" i="2"/>
  <c r="N101" i="2" s="1"/>
  <c r="Z101" i="2"/>
  <c r="AC101" i="2" s="1"/>
  <c r="W101" i="2"/>
  <c r="P101" i="2"/>
  <c r="O101" i="2"/>
  <c r="M101" i="2"/>
  <c r="Q101" i="2" s="1"/>
  <c r="L101" i="2"/>
  <c r="E101" i="2"/>
  <c r="B101" i="2"/>
  <c r="AR100" i="2"/>
  <c r="AN100" i="2"/>
  <c r="AG100" i="2"/>
  <c r="AC100" i="2"/>
  <c r="AA100" i="2"/>
  <c r="Z100" i="2"/>
  <c r="W100" i="2"/>
  <c r="P100" i="2"/>
  <c r="AQ100" i="2" s="1"/>
  <c r="M100" i="2"/>
  <c r="Q100" i="2" s="1"/>
  <c r="L100" i="2"/>
  <c r="K100" i="2"/>
  <c r="E100" i="2"/>
  <c r="B100" i="2"/>
  <c r="AR99" i="2"/>
  <c r="AG99" i="2"/>
  <c r="AA99" i="2"/>
  <c r="Z99" i="2"/>
  <c r="W99" i="2"/>
  <c r="L99" i="2"/>
  <c r="B99" i="2"/>
  <c r="AR98" i="2"/>
  <c r="AG98" i="2"/>
  <c r="AD98" i="2"/>
  <c r="AA98" i="2"/>
  <c r="P98" i="2" s="1"/>
  <c r="AQ98" i="2" s="1"/>
  <c r="Z98" i="2"/>
  <c r="W98" i="2"/>
  <c r="L98" i="2"/>
  <c r="B98" i="2"/>
  <c r="AR97" i="2"/>
  <c r="AG97" i="2"/>
  <c r="AB97" i="2"/>
  <c r="AA97" i="2"/>
  <c r="Z97" i="2"/>
  <c r="W97" i="2"/>
  <c r="O97" i="2"/>
  <c r="AP97" i="2" s="1"/>
  <c r="N97" i="2"/>
  <c r="AO97" i="2" s="1"/>
  <c r="L97" i="2"/>
  <c r="B97" i="2"/>
  <c r="AR96" i="2"/>
  <c r="AG96" i="2"/>
  <c r="AD96" i="2"/>
  <c r="AC96" i="2"/>
  <c r="AA96" i="2"/>
  <c r="Z96" i="2"/>
  <c r="AB96" i="2" s="1"/>
  <c r="W96" i="2"/>
  <c r="L96" i="2"/>
  <c r="E96" i="2"/>
  <c r="B96" i="2"/>
  <c r="AR95" i="2"/>
  <c r="AN95" i="2"/>
  <c r="AM95" i="2"/>
  <c r="AG95" i="2"/>
  <c r="AD95" i="2"/>
  <c r="AE95" i="2" s="1"/>
  <c r="AB95" i="2"/>
  <c r="AA95" i="2"/>
  <c r="Z95" i="2"/>
  <c r="AC95" i="2" s="1"/>
  <c r="W95" i="2"/>
  <c r="O95" i="2"/>
  <c r="AP95" i="2" s="1"/>
  <c r="N95" i="2"/>
  <c r="AO95" i="2" s="1"/>
  <c r="L95" i="2"/>
  <c r="H95" i="2"/>
  <c r="AF95" i="2" s="1"/>
  <c r="E95" i="2"/>
  <c r="B95" i="2"/>
  <c r="AR94" i="2"/>
  <c r="AQ94" i="2"/>
  <c r="AO94" i="2"/>
  <c r="AN94" i="2"/>
  <c r="AL94" i="2"/>
  <c r="AK94" i="2"/>
  <c r="AI94" i="2"/>
  <c r="AH94" i="2"/>
  <c r="AG94" i="2"/>
  <c r="AD94" i="2"/>
  <c r="AE94" i="2" s="1"/>
  <c r="AJ94" i="2" s="1"/>
  <c r="AC94" i="2"/>
  <c r="AA94" i="2"/>
  <c r="AM94" i="2" s="1"/>
  <c r="Z94" i="2"/>
  <c r="AB94" i="2" s="1"/>
  <c r="W94" i="2"/>
  <c r="Q94" i="2"/>
  <c r="P94" i="2"/>
  <c r="O94" i="2"/>
  <c r="AP94" i="2" s="1"/>
  <c r="N94" i="2"/>
  <c r="M94" i="2"/>
  <c r="L94" i="2"/>
  <c r="K94" i="2"/>
  <c r="H94" i="2"/>
  <c r="AF94" i="2" s="1"/>
  <c r="E94" i="2"/>
  <c r="B94" i="2"/>
  <c r="AR93" i="2"/>
  <c r="AM93" i="2"/>
  <c r="AG93" i="2"/>
  <c r="AD93" i="2"/>
  <c r="AE93" i="2" s="1"/>
  <c r="AB93" i="2"/>
  <c r="AA93" i="2"/>
  <c r="Z93" i="2"/>
  <c r="AC93" i="2" s="1"/>
  <c r="W93" i="2"/>
  <c r="L93" i="2"/>
  <c r="E93" i="2"/>
  <c r="B93" i="2"/>
  <c r="AR92" i="2"/>
  <c r="AN92" i="2"/>
  <c r="AG92" i="2"/>
  <c r="AF92" i="2"/>
  <c r="AA92" i="2"/>
  <c r="Z92" i="2"/>
  <c r="W92" i="2"/>
  <c r="P92" i="2"/>
  <c r="AQ92" i="2" s="1"/>
  <c r="M92" i="2"/>
  <c r="Q92" i="2" s="1"/>
  <c r="L92" i="2"/>
  <c r="H92" i="2"/>
  <c r="B92" i="2"/>
  <c r="AR91" i="2"/>
  <c r="AN91" i="2"/>
  <c r="AM91" i="2"/>
  <c r="AG91" i="2"/>
  <c r="AA91" i="2"/>
  <c r="H91" i="2" s="1"/>
  <c r="AF91" i="2" s="1"/>
  <c r="Z91" i="2"/>
  <c r="AB91" i="2" s="1"/>
  <c r="W91" i="2"/>
  <c r="M91" i="2"/>
  <c r="Q91" i="2" s="1"/>
  <c r="L91" i="2"/>
  <c r="E91" i="2"/>
  <c r="B91" i="2"/>
  <c r="AR90" i="2"/>
  <c r="AQ90" i="2"/>
  <c r="AO90" i="2"/>
  <c r="AN90" i="2"/>
  <c r="AG90" i="2"/>
  <c r="AD90" i="2"/>
  <c r="AA90" i="2"/>
  <c r="Z90" i="2"/>
  <c r="W90" i="2"/>
  <c r="P90" i="2"/>
  <c r="N90" i="2"/>
  <c r="M90" i="2"/>
  <c r="Q90" i="2" s="1"/>
  <c r="L90" i="2"/>
  <c r="K90" i="2"/>
  <c r="B90" i="2"/>
  <c r="AR89" i="2"/>
  <c r="AQ89" i="2"/>
  <c r="AP89" i="2"/>
  <c r="AO89" i="2"/>
  <c r="AM89" i="2"/>
  <c r="AG89" i="2"/>
  <c r="AB89" i="2"/>
  <c r="AA89" i="2"/>
  <c r="Z89" i="2"/>
  <c r="AC89" i="2" s="1"/>
  <c r="W89" i="2"/>
  <c r="P89" i="2"/>
  <c r="O89" i="2"/>
  <c r="N89" i="2"/>
  <c r="M89" i="2"/>
  <c r="Q89" i="2" s="1"/>
  <c r="L89" i="2"/>
  <c r="E89" i="2"/>
  <c r="B89" i="2"/>
  <c r="AR88" i="2"/>
  <c r="AP88" i="2"/>
  <c r="AO88" i="2"/>
  <c r="AN88" i="2"/>
  <c r="AG88" i="2"/>
  <c r="AD88" i="2"/>
  <c r="AE88" i="2" s="1"/>
  <c r="AC88" i="2"/>
  <c r="AA88" i="2"/>
  <c r="Z88" i="2"/>
  <c r="AB88" i="2" s="1"/>
  <c r="W88" i="2"/>
  <c r="O88" i="2"/>
  <c r="N88" i="2"/>
  <c r="L88" i="2"/>
  <c r="K88" i="2"/>
  <c r="H88" i="2"/>
  <c r="AF88" i="2" s="1"/>
  <c r="E88" i="2"/>
  <c r="B88" i="2"/>
  <c r="AR87" i="2"/>
  <c r="AG87" i="2"/>
  <c r="AE87" i="2"/>
  <c r="AD87" i="2"/>
  <c r="AB87" i="2"/>
  <c r="AA87" i="2"/>
  <c r="Z87" i="2"/>
  <c r="AC87" i="2" s="1"/>
  <c r="W87" i="2"/>
  <c r="L87" i="2"/>
  <c r="E87" i="2"/>
  <c r="B87" i="2"/>
  <c r="AR86" i="2"/>
  <c r="AO86" i="2"/>
  <c r="AN86" i="2"/>
  <c r="AG86" i="2"/>
  <c r="AD86" i="2"/>
  <c r="AE86" i="2" s="1"/>
  <c r="AJ86" i="2" s="1"/>
  <c r="AC86" i="2"/>
  <c r="AA86" i="2"/>
  <c r="AM86" i="2" s="1"/>
  <c r="Z86" i="2"/>
  <c r="AB86" i="2" s="1"/>
  <c r="W86" i="2"/>
  <c r="Q86" i="2"/>
  <c r="P86" i="2"/>
  <c r="AQ86" i="2" s="1"/>
  <c r="O86" i="2"/>
  <c r="AP86" i="2" s="1"/>
  <c r="N86" i="2"/>
  <c r="M86" i="2"/>
  <c r="L86" i="2"/>
  <c r="K86" i="2"/>
  <c r="H86" i="2"/>
  <c r="AF86" i="2" s="1"/>
  <c r="E86" i="2"/>
  <c r="B86" i="2"/>
  <c r="AR85" i="2"/>
  <c r="AN85" i="2"/>
  <c r="AM85" i="2"/>
  <c r="AG85" i="2"/>
  <c r="AE85" i="2"/>
  <c r="AD85" i="2"/>
  <c r="AB85" i="2"/>
  <c r="AA85" i="2"/>
  <c r="K85" i="2" s="1"/>
  <c r="Z85" i="2"/>
  <c r="AC85" i="2" s="1"/>
  <c r="W85" i="2"/>
  <c r="P85" i="2"/>
  <c r="AQ85" i="2" s="1"/>
  <c r="O85" i="2"/>
  <c r="AP85" i="2" s="1"/>
  <c r="N85" i="2"/>
  <c r="AO85" i="2" s="1"/>
  <c r="M85" i="2"/>
  <c r="Q85" i="2" s="1"/>
  <c r="L85" i="2"/>
  <c r="H85" i="2"/>
  <c r="AF85" i="2" s="1"/>
  <c r="E85" i="2"/>
  <c r="B85" i="2"/>
  <c r="AR84" i="2"/>
  <c r="AG84" i="2"/>
  <c r="AA84" i="2"/>
  <c r="Z84" i="2"/>
  <c r="W84" i="2"/>
  <c r="P84" i="2"/>
  <c r="AQ84" i="2" s="1"/>
  <c r="M84" i="2"/>
  <c r="Q84" i="2" s="1"/>
  <c r="L84" i="2"/>
  <c r="K84" i="2"/>
  <c r="H84" i="2"/>
  <c r="AF84" i="2" s="1"/>
  <c r="E84" i="2"/>
  <c r="B84" i="2"/>
  <c r="AR83" i="2"/>
  <c r="AP83" i="2"/>
  <c r="AN83" i="2"/>
  <c r="AG83" i="2"/>
  <c r="AA83" i="2"/>
  <c r="Z83" i="2"/>
  <c r="W83" i="2"/>
  <c r="O83" i="2"/>
  <c r="M83" i="2"/>
  <c r="Q83" i="2" s="1"/>
  <c r="L83" i="2"/>
  <c r="H83" i="2"/>
  <c r="AF83" i="2" s="1"/>
  <c r="E83" i="2"/>
  <c r="B83" i="2"/>
  <c r="AR82" i="2"/>
  <c r="AQ82" i="2"/>
  <c r="AP82" i="2"/>
  <c r="AG82" i="2"/>
  <c r="AA82" i="2"/>
  <c r="Z82" i="2"/>
  <c r="W82" i="2"/>
  <c r="P82" i="2"/>
  <c r="O82" i="2"/>
  <c r="N82" i="2"/>
  <c r="AO82" i="2" s="1"/>
  <c r="M82" i="2"/>
  <c r="Q82" i="2" s="1"/>
  <c r="L82" i="2"/>
  <c r="K82" i="2"/>
  <c r="B82" i="2"/>
  <c r="AR81" i="2"/>
  <c r="AO81" i="2"/>
  <c r="AG81" i="2"/>
  <c r="AD81" i="2"/>
  <c r="AA81" i="2"/>
  <c r="Z81" i="2"/>
  <c r="W81" i="2"/>
  <c r="P81" i="2"/>
  <c r="AQ81" i="2" s="1"/>
  <c r="O81" i="2"/>
  <c r="AP81" i="2" s="1"/>
  <c r="N81" i="2"/>
  <c r="M81" i="2"/>
  <c r="Q81" i="2" s="1"/>
  <c r="L81" i="2"/>
  <c r="B81" i="2"/>
  <c r="AR80" i="2"/>
  <c r="AN80" i="2"/>
  <c r="AG80" i="2"/>
  <c r="AA80" i="2"/>
  <c r="Z80" i="2"/>
  <c r="AB80" i="2" s="1"/>
  <c r="W80" i="2"/>
  <c r="M80" i="2"/>
  <c r="Q80" i="2" s="1"/>
  <c r="L80" i="2"/>
  <c r="K80" i="2"/>
  <c r="H80" i="2"/>
  <c r="AF80" i="2" s="1"/>
  <c r="E80" i="2"/>
  <c r="B80" i="2"/>
  <c r="AR79" i="2"/>
  <c r="AN79" i="2"/>
  <c r="AM79" i="2"/>
  <c r="AG79" i="2"/>
  <c r="AE79" i="2"/>
  <c r="AK79" i="2" s="1"/>
  <c r="AD79" i="2"/>
  <c r="AB79" i="2"/>
  <c r="AA79" i="2"/>
  <c r="Z79" i="2"/>
  <c r="AC79" i="2" s="1"/>
  <c r="W79" i="2"/>
  <c r="N79" i="2"/>
  <c r="AO79" i="2" s="1"/>
  <c r="L79" i="2"/>
  <c r="H79" i="2"/>
  <c r="AF79" i="2" s="1"/>
  <c r="E79" i="2"/>
  <c r="B79" i="2"/>
  <c r="AR78" i="2"/>
  <c r="AQ78" i="2"/>
  <c r="AO78" i="2"/>
  <c r="AN78" i="2"/>
  <c r="AG78" i="2"/>
  <c r="AD78" i="2"/>
  <c r="AE78" i="2" s="1"/>
  <c r="AC78" i="2"/>
  <c r="AA78" i="2"/>
  <c r="AM78" i="2" s="1"/>
  <c r="Z78" i="2"/>
  <c r="AB78" i="2" s="1"/>
  <c r="W78" i="2"/>
  <c r="Q78" i="2"/>
  <c r="P78" i="2"/>
  <c r="O78" i="2"/>
  <c r="AP78" i="2" s="1"/>
  <c r="N78" i="2"/>
  <c r="M78" i="2"/>
  <c r="L78" i="2"/>
  <c r="K78" i="2"/>
  <c r="H78" i="2"/>
  <c r="AF78" i="2" s="1"/>
  <c r="E78" i="2"/>
  <c r="B78" i="2"/>
  <c r="AR77" i="2"/>
  <c r="AQ77" i="2"/>
  <c r="AM77" i="2"/>
  <c r="AG77" i="2"/>
  <c r="AA77" i="2"/>
  <c r="Z77" i="2"/>
  <c r="W77" i="2"/>
  <c r="P77" i="2"/>
  <c r="O77" i="2"/>
  <c r="AP77" i="2" s="1"/>
  <c r="N77" i="2"/>
  <c r="AO77" i="2" s="1"/>
  <c r="M77" i="2"/>
  <c r="Q77" i="2" s="1"/>
  <c r="L77" i="2"/>
  <c r="H77" i="2"/>
  <c r="AF77" i="2" s="1"/>
  <c r="B77" i="2"/>
  <c r="AR76" i="2"/>
  <c r="AN76" i="2"/>
  <c r="AG76" i="2"/>
  <c r="AD76" i="2"/>
  <c r="AC76" i="2"/>
  <c r="AE76" i="2" s="1"/>
  <c r="AA76" i="2"/>
  <c r="Z76" i="2"/>
  <c r="W76" i="2"/>
  <c r="P76" i="2"/>
  <c r="AQ76" i="2" s="1"/>
  <c r="M76" i="2"/>
  <c r="Q76" i="2" s="1"/>
  <c r="L76" i="2"/>
  <c r="H76" i="2"/>
  <c r="AF76" i="2" s="1"/>
  <c r="B76" i="2"/>
  <c r="AR75" i="2"/>
  <c r="AP75" i="2"/>
  <c r="AN75" i="2"/>
  <c r="AG75" i="2"/>
  <c r="AB75" i="2"/>
  <c r="AA75" i="2"/>
  <c r="Z75" i="2"/>
  <c r="W75" i="2"/>
  <c r="O75" i="2"/>
  <c r="L75" i="2"/>
  <c r="H75" i="2"/>
  <c r="AF75" i="2" s="1"/>
  <c r="E75" i="2"/>
  <c r="B75" i="2"/>
  <c r="AR74" i="2"/>
  <c r="AQ74" i="2"/>
  <c r="AP74" i="2"/>
  <c r="AO74" i="2"/>
  <c r="AN74" i="2"/>
  <c r="AG74" i="2"/>
  <c r="AA74" i="2"/>
  <c r="Z74" i="2"/>
  <c r="AD74" i="2" s="1"/>
  <c r="W74" i="2"/>
  <c r="P74" i="2"/>
  <c r="O74" i="2"/>
  <c r="N74" i="2"/>
  <c r="M74" i="2"/>
  <c r="Q74" i="2" s="1"/>
  <c r="L74" i="2"/>
  <c r="K74" i="2"/>
  <c r="B74" i="2"/>
  <c r="AR73" i="2"/>
  <c r="AP73" i="2"/>
  <c r="AM73" i="2"/>
  <c r="AG73" i="2"/>
  <c r="AD73" i="2"/>
  <c r="AE73" i="2" s="1"/>
  <c r="AB73" i="2"/>
  <c r="AA73" i="2"/>
  <c r="Z73" i="2"/>
  <c r="AC73" i="2" s="1"/>
  <c r="W73" i="2"/>
  <c r="P73" i="2"/>
  <c r="AQ73" i="2" s="1"/>
  <c r="O73" i="2"/>
  <c r="N73" i="2"/>
  <c r="AO73" i="2" s="1"/>
  <c r="M73" i="2"/>
  <c r="Q73" i="2" s="1"/>
  <c r="L73" i="2"/>
  <c r="E73" i="2"/>
  <c r="B73" i="2"/>
  <c r="AR72" i="2"/>
  <c r="AG72" i="2"/>
  <c r="AC72" i="2"/>
  <c r="AA72" i="2"/>
  <c r="Z72" i="2"/>
  <c r="W72" i="2"/>
  <c r="P72" i="2"/>
  <c r="AQ72" i="2" s="1"/>
  <c r="O72" i="2"/>
  <c r="AP72" i="2" s="1"/>
  <c r="N72" i="2"/>
  <c r="AO72" i="2" s="1"/>
  <c r="M72" i="2"/>
  <c r="Q72" i="2" s="1"/>
  <c r="L72" i="2"/>
  <c r="K72" i="2"/>
  <c r="B72" i="2"/>
  <c r="AR71" i="2"/>
  <c r="AQ71" i="2"/>
  <c r="AG71" i="2"/>
  <c r="AA71" i="2"/>
  <c r="Z71" i="2"/>
  <c r="W71" i="2"/>
  <c r="P71" i="2"/>
  <c r="L71" i="2"/>
  <c r="E71" i="2"/>
  <c r="B71" i="2"/>
  <c r="AR70" i="2"/>
  <c r="AQ70" i="2"/>
  <c r="AO70" i="2"/>
  <c r="AN70" i="2"/>
  <c r="AG70" i="2"/>
  <c r="AF70" i="2"/>
  <c r="AD70" i="2"/>
  <c r="AC70" i="2"/>
  <c r="AA70" i="2"/>
  <c r="AM70" i="2" s="1"/>
  <c r="Z70" i="2"/>
  <c r="AB70" i="2" s="1"/>
  <c r="W70" i="2"/>
  <c r="Q70" i="2"/>
  <c r="P70" i="2"/>
  <c r="O70" i="2"/>
  <c r="AP70" i="2" s="1"/>
  <c r="N70" i="2"/>
  <c r="M70" i="2"/>
  <c r="L70" i="2"/>
  <c r="K70" i="2"/>
  <c r="H70" i="2"/>
  <c r="E70" i="2"/>
  <c r="B70" i="2"/>
  <c r="AR69" i="2"/>
  <c r="AG69" i="2"/>
  <c r="AA69" i="2"/>
  <c r="Z69" i="2"/>
  <c r="W69" i="2"/>
  <c r="L69" i="2"/>
  <c r="B69" i="2"/>
  <c r="AR68" i="2"/>
  <c r="AG68" i="2"/>
  <c r="AA68" i="2"/>
  <c r="Z68" i="2"/>
  <c r="W68" i="2"/>
  <c r="P68" i="2"/>
  <c r="AQ68" i="2" s="1"/>
  <c r="L68" i="2"/>
  <c r="B68" i="2"/>
  <c r="AR67" i="2"/>
  <c r="AM67" i="2"/>
  <c r="AG67" i="2"/>
  <c r="AA67" i="2"/>
  <c r="Z67" i="2"/>
  <c r="W67" i="2"/>
  <c r="L67" i="2"/>
  <c r="B67" i="2"/>
  <c r="AR66" i="2"/>
  <c r="AN66" i="2"/>
  <c r="AG66" i="2"/>
  <c r="AD66" i="2"/>
  <c r="AC66" i="2"/>
  <c r="AA66" i="2"/>
  <c r="Z66" i="2"/>
  <c r="W66" i="2"/>
  <c r="P66" i="2"/>
  <c r="AQ66" i="2" s="1"/>
  <c r="L66" i="2"/>
  <c r="B66" i="2"/>
  <c r="AR65" i="2"/>
  <c r="AG65" i="2"/>
  <c r="AB65" i="2"/>
  <c r="AA65" i="2"/>
  <c r="Z65" i="2"/>
  <c r="AC65" i="2" s="1"/>
  <c r="W65" i="2"/>
  <c r="O65" i="2"/>
  <c r="AP65" i="2" s="1"/>
  <c r="L65" i="2"/>
  <c r="E65" i="2"/>
  <c r="B65" i="2"/>
  <c r="AR64" i="2"/>
  <c r="AG64" i="2"/>
  <c r="AD64" i="2"/>
  <c r="AC64" i="2"/>
  <c r="AA64" i="2"/>
  <c r="Z64" i="2"/>
  <c r="AB64" i="2" s="1"/>
  <c r="W64" i="2"/>
  <c r="L64" i="2"/>
  <c r="K64" i="2"/>
  <c r="E64" i="2"/>
  <c r="B64" i="2"/>
  <c r="AR63" i="2"/>
  <c r="AG63" i="2"/>
  <c r="AB63" i="2"/>
  <c r="AA63" i="2"/>
  <c r="AN63" i="2" s="1"/>
  <c r="Z63" i="2"/>
  <c r="W63" i="2"/>
  <c r="L63" i="2"/>
  <c r="B63" i="2"/>
  <c r="AR62" i="2"/>
  <c r="AQ62" i="2"/>
  <c r="AO62" i="2"/>
  <c r="AN62" i="2"/>
  <c r="AG62" i="2"/>
  <c r="AE62" i="2"/>
  <c r="AD62" i="2"/>
  <c r="AC62" i="2"/>
  <c r="AA62" i="2"/>
  <c r="AM62" i="2" s="1"/>
  <c r="Z62" i="2"/>
  <c r="AB62" i="2" s="1"/>
  <c r="W62" i="2"/>
  <c r="Q62" i="2"/>
  <c r="P62" i="2"/>
  <c r="O62" i="2"/>
  <c r="AP62" i="2" s="1"/>
  <c r="N62" i="2"/>
  <c r="M62" i="2"/>
  <c r="L62" i="2"/>
  <c r="K62" i="2"/>
  <c r="H62" i="2"/>
  <c r="AF62" i="2" s="1"/>
  <c r="AL62" i="2" s="1"/>
  <c r="E62" i="2"/>
  <c r="B62" i="2"/>
  <c r="AR61" i="2"/>
  <c r="AN61" i="2"/>
  <c r="AM61" i="2"/>
  <c r="AG61" i="2"/>
  <c r="AA61" i="2"/>
  <c r="K61" i="2" s="1"/>
  <c r="Z61" i="2"/>
  <c r="W61" i="2"/>
  <c r="P61" i="2"/>
  <c r="AQ61" i="2" s="1"/>
  <c r="O61" i="2"/>
  <c r="AP61" i="2" s="1"/>
  <c r="N61" i="2"/>
  <c r="AO61" i="2" s="1"/>
  <c r="M61" i="2"/>
  <c r="Q61" i="2" s="1"/>
  <c r="L61" i="2"/>
  <c r="H61" i="2"/>
  <c r="AF61" i="2" s="1"/>
  <c r="B61" i="2"/>
  <c r="AR60" i="2"/>
  <c r="AO60" i="2"/>
  <c r="AN60" i="2"/>
  <c r="AG60" i="2"/>
  <c r="AD60" i="2"/>
  <c r="AA60" i="2"/>
  <c r="Z60" i="2"/>
  <c r="W60" i="2"/>
  <c r="Q60" i="2"/>
  <c r="N60" i="2"/>
  <c r="M60" i="2"/>
  <c r="L60" i="2"/>
  <c r="K60" i="2"/>
  <c r="H60" i="2"/>
  <c r="AF60" i="2" s="1"/>
  <c r="B60" i="2"/>
  <c r="AR59" i="2"/>
  <c r="AG59" i="2"/>
  <c r="AA59" i="2"/>
  <c r="N59" i="2" s="1"/>
  <c r="AO59" i="2" s="1"/>
  <c r="Z59" i="2"/>
  <c r="W59" i="2"/>
  <c r="L59" i="2"/>
  <c r="B59" i="2"/>
  <c r="AR58" i="2"/>
  <c r="AM58" i="2"/>
  <c r="AG58" i="2"/>
  <c r="AF58" i="2"/>
  <c r="AA58" i="2"/>
  <c r="Z58" i="2"/>
  <c r="W58" i="2"/>
  <c r="O58" i="2"/>
  <c r="AP58" i="2" s="1"/>
  <c r="N58" i="2"/>
  <c r="AO58" i="2" s="1"/>
  <c r="L58" i="2"/>
  <c r="K58" i="2"/>
  <c r="H58" i="2"/>
  <c r="B58" i="2"/>
  <c r="AR57" i="2"/>
  <c r="AG57" i="2"/>
  <c r="AA57" i="2"/>
  <c r="Z57" i="2"/>
  <c r="W57" i="2"/>
  <c r="L57" i="2"/>
  <c r="B57" i="2"/>
  <c r="AR56" i="2"/>
  <c r="AG56" i="2"/>
  <c r="AA56" i="2"/>
  <c r="Z56" i="2"/>
  <c r="W56" i="2"/>
  <c r="L56" i="2"/>
  <c r="K56" i="2"/>
  <c r="B56" i="2"/>
  <c r="AR55" i="2"/>
  <c r="AQ55" i="2"/>
  <c r="AP55" i="2"/>
  <c r="AG55" i="2"/>
  <c r="AD55" i="2"/>
  <c r="AE55" i="2" s="1"/>
  <c r="AC55" i="2"/>
  <c r="AB55" i="2"/>
  <c r="AA55" i="2"/>
  <c r="Z55" i="2"/>
  <c r="W55" i="2"/>
  <c r="Q55" i="2"/>
  <c r="P55" i="2"/>
  <c r="O55" i="2"/>
  <c r="N55" i="2"/>
  <c r="AO55" i="2" s="1"/>
  <c r="M55" i="2"/>
  <c r="L55" i="2"/>
  <c r="E55" i="2"/>
  <c r="B55" i="2"/>
  <c r="AR54" i="2"/>
  <c r="AQ54" i="2"/>
  <c r="AO54" i="2"/>
  <c r="AN54" i="2"/>
  <c r="AM54" i="2"/>
  <c r="AG54" i="2"/>
  <c r="AA54" i="2"/>
  <c r="Z54" i="2"/>
  <c r="W54" i="2"/>
  <c r="P54" i="2"/>
  <c r="O54" i="2"/>
  <c r="AP54" i="2" s="1"/>
  <c r="N54" i="2"/>
  <c r="M54" i="2"/>
  <c r="Q54" i="2" s="1"/>
  <c r="L54" i="2"/>
  <c r="K54" i="2"/>
  <c r="H54" i="2"/>
  <c r="AF54" i="2" s="1"/>
  <c r="E54" i="2"/>
  <c r="B54" i="2"/>
  <c r="AR53" i="2"/>
  <c r="AO53" i="2"/>
  <c r="AG53" i="2"/>
  <c r="AA53" i="2"/>
  <c r="Z53" i="2"/>
  <c r="W53" i="2"/>
  <c r="N53" i="2"/>
  <c r="M53" i="2"/>
  <c r="Q53" i="2" s="1"/>
  <c r="L53" i="2"/>
  <c r="H53" i="2"/>
  <c r="AF53" i="2" s="1"/>
  <c r="E53" i="2"/>
  <c r="B53" i="2"/>
  <c r="AR52" i="2"/>
  <c r="AN52" i="2"/>
  <c r="AM52" i="2"/>
  <c r="AJ52" i="2"/>
  <c r="AG52" i="2"/>
  <c r="AD52" i="2"/>
  <c r="AE52" i="2" s="1"/>
  <c r="AC52" i="2"/>
  <c r="AA52" i="2"/>
  <c r="Z52" i="2"/>
  <c r="W52" i="2"/>
  <c r="P52" i="2"/>
  <c r="AQ52" i="2" s="1"/>
  <c r="O52" i="2"/>
  <c r="AP52" i="2" s="1"/>
  <c r="N52" i="2"/>
  <c r="AO52" i="2" s="1"/>
  <c r="M52" i="2"/>
  <c r="Q52" i="2" s="1"/>
  <c r="L52" i="2"/>
  <c r="K52" i="2"/>
  <c r="H52" i="2"/>
  <c r="AF52" i="2" s="1"/>
  <c r="B52" i="2"/>
  <c r="AR51" i="2"/>
  <c r="AG51" i="2"/>
  <c r="AD51" i="2"/>
  <c r="AB51" i="2"/>
  <c r="AA51" i="2"/>
  <c r="Z51" i="2"/>
  <c r="E51" i="2" s="1"/>
  <c r="W51" i="2"/>
  <c r="L51" i="2"/>
  <c r="B51" i="2"/>
  <c r="AR50" i="2"/>
  <c r="AQ50" i="2"/>
  <c r="AO50" i="2"/>
  <c r="AN50" i="2"/>
  <c r="AM50" i="2"/>
  <c r="AG50" i="2"/>
  <c r="AF50" i="2"/>
  <c r="AD50" i="2"/>
  <c r="AA50" i="2"/>
  <c r="N50" i="2" s="1"/>
  <c r="Z50" i="2"/>
  <c r="W50" i="2"/>
  <c r="P50" i="2"/>
  <c r="O50" i="2"/>
  <c r="AP50" i="2" s="1"/>
  <c r="M50" i="2"/>
  <c r="Q50" i="2" s="1"/>
  <c r="L50" i="2"/>
  <c r="K50" i="2"/>
  <c r="H50" i="2"/>
  <c r="E50" i="2"/>
  <c r="B50" i="2"/>
  <c r="AR49" i="2"/>
  <c r="AQ49" i="2"/>
  <c r="AP49" i="2"/>
  <c r="AO49" i="2"/>
  <c r="AN49" i="2"/>
  <c r="AM49" i="2"/>
  <c r="AG49" i="2"/>
  <c r="AC49" i="2"/>
  <c r="AA49" i="2"/>
  <c r="Z49" i="2"/>
  <c r="W49" i="2"/>
  <c r="Q49" i="2"/>
  <c r="P49" i="2"/>
  <c r="O49" i="2"/>
  <c r="N49" i="2"/>
  <c r="M49" i="2"/>
  <c r="L49" i="2"/>
  <c r="B49" i="2"/>
  <c r="AR48" i="2"/>
  <c r="AQ48" i="2"/>
  <c r="AP48" i="2"/>
  <c r="AN48" i="2"/>
  <c r="AG48" i="2"/>
  <c r="AC48" i="2"/>
  <c r="AA48" i="2"/>
  <c r="O48" i="2" s="1"/>
  <c r="Z48" i="2"/>
  <c r="AB48" i="2" s="1"/>
  <c r="W48" i="2"/>
  <c r="P48" i="2"/>
  <c r="M48" i="2"/>
  <c r="Q48" i="2" s="1"/>
  <c r="L48" i="2"/>
  <c r="H48" i="2"/>
  <c r="AF48" i="2" s="1"/>
  <c r="E48" i="2"/>
  <c r="B48" i="2"/>
  <c r="AR47" i="2"/>
  <c r="AQ47" i="2"/>
  <c r="AO47" i="2"/>
  <c r="AN47" i="2"/>
  <c r="AM47" i="2"/>
  <c r="AG47" i="2"/>
  <c r="AB47" i="2"/>
  <c r="AA47" i="2"/>
  <c r="K47" i="2" s="1"/>
  <c r="Z47" i="2"/>
  <c r="AD47" i="2" s="1"/>
  <c r="W47" i="2"/>
  <c r="Q47" i="2"/>
  <c r="P47" i="2"/>
  <c r="O47" i="2"/>
  <c r="AP47" i="2" s="1"/>
  <c r="N47" i="2"/>
  <c r="M47" i="2"/>
  <c r="L47" i="2"/>
  <c r="H47" i="2"/>
  <c r="AF47" i="2" s="1"/>
  <c r="E47" i="2"/>
  <c r="B47" i="2"/>
  <c r="AR46" i="2"/>
  <c r="AG46" i="2"/>
  <c r="AA46" i="2"/>
  <c r="Z46" i="2"/>
  <c r="AD46" i="2" s="1"/>
  <c r="W46" i="2"/>
  <c r="L46" i="2"/>
  <c r="B46" i="2"/>
  <c r="AR45" i="2"/>
  <c r="AG45" i="2"/>
  <c r="AA45" i="2"/>
  <c r="AN45" i="2" s="1"/>
  <c r="Z45" i="2"/>
  <c r="AC45" i="2" s="1"/>
  <c r="W45" i="2"/>
  <c r="P45" i="2"/>
  <c r="AQ45" i="2" s="1"/>
  <c r="O45" i="2"/>
  <c r="AP45" i="2" s="1"/>
  <c r="N45" i="2"/>
  <c r="AO45" i="2" s="1"/>
  <c r="M45" i="2"/>
  <c r="Q45" i="2" s="1"/>
  <c r="L45" i="2"/>
  <c r="B45" i="2"/>
  <c r="AR44" i="2"/>
  <c r="AG44" i="2"/>
  <c r="AA44" i="2"/>
  <c r="Z44" i="2"/>
  <c r="W44" i="2"/>
  <c r="P44" i="2"/>
  <c r="AQ44" i="2" s="1"/>
  <c r="L44" i="2"/>
  <c r="B44" i="2"/>
  <c r="AR43" i="2"/>
  <c r="AN43" i="2"/>
  <c r="AM43" i="2"/>
  <c r="AG43" i="2"/>
  <c r="AF43" i="2"/>
  <c r="AD43" i="2"/>
  <c r="AC43" i="2"/>
  <c r="AA43" i="2"/>
  <c r="K43" i="2" s="1"/>
  <c r="Z43" i="2"/>
  <c r="AB43" i="2" s="1"/>
  <c r="W43" i="2"/>
  <c r="P43" i="2"/>
  <c r="AQ43" i="2" s="1"/>
  <c r="O43" i="2"/>
  <c r="AP43" i="2" s="1"/>
  <c r="M43" i="2"/>
  <c r="Q43" i="2" s="1"/>
  <c r="L43" i="2"/>
  <c r="H43" i="2"/>
  <c r="E43" i="2"/>
  <c r="B43" i="2"/>
  <c r="AR42" i="2"/>
  <c r="AQ42" i="2"/>
  <c r="AN42" i="2"/>
  <c r="AM42" i="2"/>
  <c r="AG42" i="2"/>
  <c r="AA42" i="2"/>
  <c r="N42" i="2" s="1"/>
  <c r="AO42" i="2" s="1"/>
  <c r="Z42" i="2"/>
  <c r="W42" i="2"/>
  <c r="P42" i="2"/>
  <c r="O42" i="2"/>
  <c r="AP42" i="2" s="1"/>
  <c r="M42" i="2"/>
  <c r="Q42" i="2" s="1"/>
  <c r="L42" i="2"/>
  <c r="K42" i="2"/>
  <c r="H42" i="2"/>
  <c r="AF42" i="2" s="1"/>
  <c r="B42" i="2"/>
  <c r="AR41" i="2"/>
  <c r="AQ41" i="2"/>
  <c r="AN41" i="2"/>
  <c r="AG41" i="2"/>
  <c r="AA41" i="2"/>
  <c r="Z41" i="2"/>
  <c r="W41" i="2"/>
  <c r="P41" i="2"/>
  <c r="O41" i="2"/>
  <c r="AP41" i="2" s="1"/>
  <c r="N41" i="2"/>
  <c r="AO41" i="2" s="1"/>
  <c r="M41" i="2"/>
  <c r="Q41" i="2" s="1"/>
  <c r="L41" i="2"/>
  <c r="E41" i="2"/>
  <c r="B41" i="2"/>
  <c r="AR40" i="2"/>
  <c r="AQ40" i="2"/>
  <c r="AO40" i="2"/>
  <c r="AN40" i="2"/>
  <c r="AG40" i="2"/>
  <c r="AD40" i="2"/>
  <c r="AE40" i="2" s="1"/>
  <c r="AC40" i="2"/>
  <c r="AA40" i="2"/>
  <c r="Z40" i="2"/>
  <c r="AB40" i="2" s="1"/>
  <c r="W40" i="2"/>
  <c r="P40" i="2"/>
  <c r="O40" i="2"/>
  <c r="AP40" i="2" s="1"/>
  <c r="N40" i="2"/>
  <c r="L40" i="2"/>
  <c r="K40" i="2"/>
  <c r="E40" i="2"/>
  <c r="B40" i="2"/>
  <c r="AR39" i="2"/>
  <c r="AG39" i="2"/>
  <c r="AF39" i="2"/>
  <c r="AD39" i="2"/>
  <c r="AC39" i="2"/>
  <c r="AB39" i="2"/>
  <c r="AA39" i="2"/>
  <c r="Z39" i="2"/>
  <c r="W39" i="2"/>
  <c r="Q39" i="2"/>
  <c r="M39" i="2"/>
  <c r="L39" i="2"/>
  <c r="H39" i="2"/>
  <c r="E39" i="2"/>
  <c r="B39" i="2"/>
  <c r="AR38" i="2"/>
  <c r="AQ38" i="2"/>
  <c r="AN38" i="2"/>
  <c r="AM38" i="2"/>
  <c r="AG38" i="2"/>
  <c r="AF38" i="2"/>
  <c r="AC38" i="2"/>
  <c r="AA38" i="2"/>
  <c r="P38" i="2" s="1"/>
  <c r="Z38" i="2"/>
  <c r="W38" i="2"/>
  <c r="Q38" i="2"/>
  <c r="O38" i="2"/>
  <c r="AP38" i="2" s="1"/>
  <c r="N38" i="2"/>
  <c r="AO38" i="2" s="1"/>
  <c r="M38" i="2"/>
  <c r="L38" i="2"/>
  <c r="K38" i="2"/>
  <c r="H38" i="2"/>
  <c r="B38" i="2"/>
  <c r="AR37" i="2"/>
  <c r="AG37" i="2"/>
  <c r="AD37" i="2"/>
  <c r="AE37" i="2" s="1"/>
  <c r="AC37" i="2"/>
  <c r="AB37" i="2"/>
  <c r="AA37" i="2"/>
  <c r="Z37" i="2"/>
  <c r="E37" i="2" s="1"/>
  <c r="W37" i="2"/>
  <c r="L37" i="2"/>
  <c r="B37" i="2"/>
  <c r="AR36" i="2"/>
  <c r="AN36" i="2"/>
  <c r="AM36" i="2"/>
  <c r="AG36" i="2"/>
  <c r="AF36" i="2"/>
  <c r="AD36" i="2"/>
  <c r="AE36" i="2" s="1"/>
  <c r="AC36" i="2"/>
  <c r="AA36" i="2"/>
  <c r="Z36" i="2"/>
  <c r="AB36" i="2" s="1"/>
  <c r="Q36" i="2"/>
  <c r="P36" i="2"/>
  <c r="AQ36" i="2" s="1"/>
  <c r="O36" i="2"/>
  <c r="AP36" i="2" s="1"/>
  <c r="N36" i="2"/>
  <c r="AO36" i="2" s="1"/>
  <c r="M36" i="2"/>
  <c r="L36" i="2"/>
  <c r="K36" i="2"/>
  <c r="H36" i="2"/>
  <c r="E36" i="2"/>
  <c r="B36" i="2"/>
  <c r="AR35" i="2"/>
  <c r="AQ35" i="2"/>
  <c r="AP35" i="2"/>
  <c r="AO35" i="2"/>
  <c r="AN35" i="2"/>
  <c r="AM35" i="2"/>
  <c r="AG35" i="2"/>
  <c r="AE35" i="2"/>
  <c r="AD35" i="2"/>
  <c r="AB35" i="2"/>
  <c r="AA35" i="2"/>
  <c r="K35" i="2" s="1"/>
  <c r="Z35" i="2"/>
  <c r="AC35" i="2" s="1"/>
  <c r="P35" i="2"/>
  <c r="O35" i="2"/>
  <c r="N35" i="2"/>
  <c r="M35" i="2"/>
  <c r="Q35" i="2" s="1"/>
  <c r="L35" i="2"/>
  <c r="H35" i="2"/>
  <c r="E35" i="2"/>
  <c r="B35" i="2"/>
  <c r="AR34" i="2"/>
  <c r="AG34" i="2"/>
  <c r="AA34" i="2"/>
  <c r="Z34" i="2"/>
  <c r="O34" i="2"/>
  <c r="AP34" i="2" s="1"/>
  <c r="N34" i="2"/>
  <c r="AO34" i="2" s="1"/>
  <c r="L34" i="2"/>
  <c r="B34" i="2"/>
  <c r="AR33" i="2"/>
  <c r="AG33" i="2"/>
  <c r="AD33" i="2"/>
  <c r="AE33" i="2" s="1"/>
  <c r="AC33" i="2"/>
  <c r="AB33" i="2"/>
  <c r="AA33" i="2"/>
  <c r="Z33" i="2"/>
  <c r="P33" i="2"/>
  <c r="AQ33" i="2" s="1"/>
  <c r="O33" i="2"/>
  <c r="AP33" i="2" s="1"/>
  <c r="M33" i="2"/>
  <c r="Q33" i="2" s="1"/>
  <c r="L33" i="2"/>
  <c r="E33" i="2"/>
  <c r="B33" i="2"/>
  <c r="AR32" i="2"/>
  <c r="AQ32" i="2"/>
  <c r="AN32" i="2"/>
  <c r="AM32" i="2"/>
  <c r="AG32" i="2"/>
  <c r="AF32" i="2"/>
  <c r="AA32" i="2"/>
  <c r="Z32" i="2"/>
  <c r="E32" i="2" s="1"/>
  <c r="P32" i="2"/>
  <c r="L32" i="2"/>
  <c r="K32" i="2"/>
  <c r="H32" i="2"/>
  <c r="B32" i="2"/>
  <c r="AR31" i="2"/>
  <c r="AP31" i="2"/>
  <c r="AO31" i="2"/>
  <c r="AN31" i="2"/>
  <c r="AM31" i="2"/>
  <c r="AG31" i="2"/>
  <c r="AD31" i="2"/>
  <c r="AC31" i="2"/>
  <c r="AA31" i="2"/>
  <c r="Z31" i="2"/>
  <c r="AB31" i="2" s="1"/>
  <c r="P31" i="2"/>
  <c r="AQ31" i="2" s="1"/>
  <c r="O31" i="2"/>
  <c r="N31" i="2"/>
  <c r="M31" i="2"/>
  <c r="Q31" i="2" s="1"/>
  <c r="L31" i="2"/>
  <c r="P17" i="4" s="1"/>
  <c r="R17" i="4" s="1"/>
  <c r="K31" i="2"/>
  <c r="H31" i="2"/>
  <c r="E31" i="2"/>
  <c r="B31" i="2"/>
  <c r="AR30" i="2"/>
  <c r="AN30" i="2"/>
  <c r="AM30" i="2"/>
  <c r="AG30" i="2"/>
  <c r="AF30" i="2"/>
  <c r="AB30" i="2"/>
  <c r="AA30" i="2"/>
  <c r="P30" i="2" s="1"/>
  <c r="AQ30" i="2" s="1"/>
  <c r="Z30" i="2"/>
  <c r="AD30" i="2" s="1"/>
  <c r="Q30" i="2"/>
  <c r="M30" i="2"/>
  <c r="L30" i="2"/>
  <c r="K30" i="2"/>
  <c r="H30" i="2"/>
  <c r="E30" i="2"/>
  <c r="B30" i="2"/>
  <c r="AR29" i="2"/>
  <c r="AN29" i="2"/>
  <c r="AM29" i="2"/>
  <c r="AG29" i="2"/>
  <c r="AB29" i="2"/>
  <c r="AA29" i="2"/>
  <c r="Z29" i="2"/>
  <c r="AD29" i="2" s="1"/>
  <c r="P29" i="2"/>
  <c r="AQ29" i="2" s="1"/>
  <c r="N29" i="2"/>
  <c r="AO29" i="2" s="1"/>
  <c r="M29" i="2"/>
  <c r="Q29" i="2" s="1"/>
  <c r="L29" i="2"/>
  <c r="K29" i="2"/>
  <c r="E29" i="2"/>
  <c r="B29" i="2"/>
  <c r="AR28" i="2"/>
  <c r="AG28" i="2"/>
  <c r="AD28" i="2"/>
  <c r="AB28" i="2"/>
  <c r="AA28" i="2"/>
  <c r="K28" i="2" s="1"/>
  <c r="Z28" i="2"/>
  <c r="AC28" i="2" s="1"/>
  <c r="L28" i="2"/>
  <c r="P15" i="4" s="1"/>
  <c r="R15" i="4" s="1"/>
  <c r="E28" i="2"/>
  <c r="B28" i="2"/>
  <c r="AR27" i="2"/>
  <c r="AN27" i="2"/>
  <c r="AM27" i="2"/>
  <c r="AG27" i="2"/>
  <c r="AA27" i="2"/>
  <c r="Z27" i="2"/>
  <c r="P27" i="2"/>
  <c r="AQ27" i="2" s="1"/>
  <c r="O27" i="2"/>
  <c r="AP27" i="2" s="1"/>
  <c r="N27" i="2"/>
  <c r="AO27" i="2" s="1"/>
  <c r="M27" i="2"/>
  <c r="Q27" i="2" s="1"/>
  <c r="L27" i="2"/>
  <c r="K27" i="2"/>
  <c r="H27" i="2"/>
  <c r="B27" i="2"/>
  <c r="AR26" i="2"/>
  <c r="AG26" i="2"/>
  <c r="AA26" i="2"/>
  <c r="Z26" i="2"/>
  <c r="L26" i="2"/>
  <c r="B26" i="2"/>
  <c r="AR25" i="2"/>
  <c r="AQ25" i="2"/>
  <c r="AP25" i="2"/>
  <c r="AO25" i="2"/>
  <c r="AN25" i="2"/>
  <c r="AM25" i="2"/>
  <c r="AG25" i="2"/>
  <c r="AD25" i="2"/>
  <c r="AA25" i="2"/>
  <c r="Z25" i="2"/>
  <c r="E25" i="2" s="1"/>
  <c r="P25" i="2"/>
  <c r="O25" i="2"/>
  <c r="N25" i="2"/>
  <c r="M25" i="2"/>
  <c r="Q25" i="2" s="1"/>
  <c r="L25" i="2"/>
  <c r="K25" i="2"/>
  <c r="H25" i="2"/>
  <c r="B25" i="2"/>
  <c r="AR24" i="2"/>
  <c r="AQ24" i="2"/>
  <c r="AN24" i="2"/>
  <c r="AM24" i="2"/>
  <c r="AG24" i="2"/>
  <c r="AE24" i="2"/>
  <c r="AC24" i="2"/>
  <c r="AB24" i="2"/>
  <c r="AA24" i="2"/>
  <c r="Z24" i="2"/>
  <c r="AD24" i="2" s="1"/>
  <c r="P24" i="2"/>
  <c r="L24" i="2"/>
  <c r="K24" i="2"/>
  <c r="H24" i="2"/>
  <c r="E24" i="2"/>
  <c r="B24" i="2"/>
  <c r="AR23" i="2"/>
  <c r="AQ23" i="2"/>
  <c r="AN23" i="2"/>
  <c r="AG23" i="2"/>
  <c r="AD23" i="2"/>
  <c r="AE23" i="2" s="1"/>
  <c r="AC23" i="2"/>
  <c r="AB23" i="2"/>
  <c r="AA23" i="2"/>
  <c r="Z23" i="2"/>
  <c r="P23" i="2"/>
  <c r="O23" i="2"/>
  <c r="AP23" i="2" s="1"/>
  <c r="N23" i="2"/>
  <c r="AO23" i="2" s="1"/>
  <c r="M23" i="2"/>
  <c r="Q23" i="2" s="1"/>
  <c r="Q10" i="4" s="1"/>
  <c r="L23" i="2"/>
  <c r="P10" i="4" s="1"/>
  <c r="R10" i="4" s="1"/>
  <c r="H23" i="2"/>
  <c r="E23" i="2"/>
  <c r="B23" i="2"/>
  <c r="AR22" i="2"/>
  <c r="AG22" i="2"/>
  <c r="AD22" i="2"/>
  <c r="AC22" i="2"/>
  <c r="AA22" i="2"/>
  <c r="Z22" i="2"/>
  <c r="E22" i="2" s="1"/>
  <c r="Q22" i="2"/>
  <c r="P22" i="2"/>
  <c r="AQ22" i="2" s="1"/>
  <c r="M22" i="2"/>
  <c r="L22" i="2"/>
  <c r="K22" i="2"/>
  <c r="B22" i="2"/>
  <c r="AR21" i="2"/>
  <c r="AG21" i="2"/>
  <c r="AD21" i="2"/>
  <c r="AC21" i="2"/>
  <c r="AB21" i="2"/>
  <c r="AA21" i="2"/>
  <c r="Z21" i="2"/>
  <c r="E21" i="2" s="1"/>
  <c r="L21" i="2"/>
  <c r="B21" i="2"/>
  <c r="AR20" i="2"/>
  <c r="AN20" i="2"/>
  <c r="AM20" i="2"/>
  <c r="AK20" i="2"/>
  <c r="AJ20" i="2"/>
  <c r="AH20" i="2"/>
  <c r="AG20" i="2"/>
  <c r="AF20" i="2"/>
  <c r="AE20" i="2"/>
  <c r="AD20" i="2"/>
  <c r="AA20" i="2"/>
  <c r="M20" i="2" s="1"/>
  <c r="Q20" i="2" s="1"/>
  <c r="Z20" i="2"/>
  <c r="AC20" i="2" s="1"/>
  <c r="P20" i="2"/>
  <c r="AQ20" i="2" s="1"/>
  <c r="L20" i="2"/>
  <c r="K20" i="2"/>
  <c r="H20" i="2"/>
  <c r="E20" i="2"/>
  <c r="B20" i="2"/>
  <c r="AR19" i="2"/>
  <c r="AP19" i="2"/>
  <c r="AO19" i="2"/>
  <c r="AN19" i="2"/>
  <c r="AM19" i="2"/>
  <c r="AG19" i="2"/>
  <c r="AC19" i="2"/>
  <c r="AA19" i="2"/>
  <c r="O19" i="2" s="1"/>
  <c r="Z19" i="2"/>
  <c r="Q19" i="2"/>
  <c r="P19" i="2"/>
  <c r="AQ19" i="2" s="1"/>
  <c r="N19" i="2"/>
  <c r="M19" i="2"/>
  <c r="L19" i="2"/>
  <c r="K19" i="2"/>
  <c r="H19" i="2"/>
  <c r="B19" i="2"/>
  <c r="AR18" i="2"/>
  <c r="AG18" i="2"/>
  <c r="AA18" i="2"/>
  <c r="Z18" i="2"/>
  <c r="AD18" i="2" s="1"/>
  <c r="P18" i="2"/>
  <c r="AQ18" i="2" s="1"/>
  <c r="M18" i="2"/>
  <c r="Q18" i="2" s="1"/>
  <c r="L18" i="2"/>
  <c r="B18" i="2"/>
  <c r="AR17" i="2"/>
  <c r="AG17" i="2"/>
  <c r="AA17" i="2"/>
  <c r="Z17" i="2"/>
  <c r="P17" i="2"/>
  <c r="AQ17" i="2" s="1"/>
  <c r="O17" i="2"/>
  <c r="AP17" i="2" s="1"/>
  <c r="L17" i="2"/>
  <c r="B17" i="2"/>
  <c r="AR16" i="2"/>
  <c r="AQ16" i="2"/>
  <c r="AN16" i="2"/>
  <c r="AM16" i="2"/>
  <c r="AK16" i="2"/>
  <c r="AG16" i="2"/>
  <c r="AF16" i="2"/>
  <c r="AD16" i="2"/>
  <c r="AC16" i="2"/>
  <c r="AE16" i="2" s="1"/>
  <c r="AA16" i="2"/>
  <c r="Z16" i="2"/>
  <c r="AB16" i="2" s="1"/>
  <c r="P16" i="2"/>
  <c r="L16" i="2"/>
  <c r="K16" i="2"/>
  <c r="H16" i="2"/>
  <c r="E16" i="2"/>
  <c r="B16" i="2"/>
  <c r="AR15" i="2"/>
  <c r="AQ15" i="2"/>
  <c r="AP15" i="2"/>
  <c r="AO15" i="2"/>
  <c r="AN15" i="2"/>
  <c r="AM15" i="2"/>
  <c r="AG15" i="2"/>
  <c r="AA15" i="2"/>
  <c r="Z15" i="2"/>
  <c r="P15" i="2"/>
  <c r="O15" i="2"/>
  <c r="N15" i="2"/>
  <c r="M15" i="2"/>
  <c r="Q15" i="2" s="1"/>
  <c r="Q16" i="4" s="1"/>
  <c r="L15" i="2"/>
  <c r="P16" i="4" s="1"/>
  <c r="R16" i="4" s="1"/>
  <c r="K15" i="2"/>
  <c r="H15" i="2"/>
  <c r="E15" i="2"/>
  <c r="B15" i="2"/>
  <c r="AR14" i="2"/>
  <c r="AQ14" i="2"/>
  <c r="AN14" i="2"/>
  <c r="AG14" i="2"/>
  <c r="AA14" i="2"/>
  <c r="Z14" i="2"/>
  <c r="P14" i="2"/>
  <c r="M14" i="2"/>
  <c r="Q14" i="2" s="1"/>
  <c r="L14" i="2"/>
  <c r="K14" i="2"/>
  <c r="H14" i="2"/>
  <c r="E14" i="2"/>
  <c r="B14" i="2"/>
  <c r="AR13" i="2"/>
  <c r="AG13" i="2"/>
  <c r="AD13" i="2"/>
  <c r="AC13" i="2"/>
  <c r="AA13" i="2"/>
  <c r="Z13" i="2"/>
  <c r="E13" i="2" s="1"/>
  <c r="P13" i="2"/>
  <c r="AQ13" i="2" s="1"/>
  <c r="O13" i="2"/>
  <c r="AP13" i="2" s="1"/>
  <c r="L13" i="2"/>
  <c r="P11" i="4" s="1"/>
  <c r="R11" i="4" s="1"/>
  <c r="B13" i="2"/>
  <c r="AR12" i="2"/>
  <c r="AQ12" i="2"/>
  <c r="AN12" i="2"/>
  <c r="AM12" i="2"/>
  <c r="AG12" i="2"/>
  <c r="AD12" i="2"/>
  <c r="AE12" i="2" s="1"/>
  <c r="AC12" i="2"/>
  <c r="AA12" i="2"/>
  <c r="Z12" i="2"/>
  <c r="AB12" i="2" s="1"/>
  <c r="P12" i="2"/>
  <c r="M12" i="2"/>
  <c r="Q12" i="2" s="1"/>
  <c r="L12" i="2"/>
  <c r="K12" i="2"/>
  <c r="H12" i="2"/>
  <c r="E12" i="2"/>
  <c r="B12" i="2"/>
  <c r="AR11" i="2"/>
  <c r="AQ11" i="2"/>
  <c r="AP11" i="2"/>
  <c r="AO11" i="2"/>
  <c r="AN11" i="2"/>
  <c r="AM11" i="2"/>
  <c r="AG11" i="2"/>
  <c r="AB11" i="2"/>
  <c r="AA11" i="2"/>
  <c r="Z11" i="2"/>
  <c r="AC11" i="2" s="1"/>
  <c r="P11" i="2"/>
  <c r="O11" i="2"/>
  <c r="N11" i="2"/>
  <c r="M11" i="2"/>
  <c r="Q11" i="2" s="1"/>
  <c r="L11" i="2"/>
  <c r="K11" i="2"/>
  <c r="H11" i="2"/>
  <c r="E11" i="2"/>
  <c r="B11" i="2"/>
  <c r="AR10" i="2"/>
  <c r="AG10" i="2"/>
  <c r="AE10" i="2"/>
  <c r="AD10" i="2"/>
  <c r="AC10" i="2"/>
  <c r="AB10" i="2"/>
  <c r="AA10" i="2"/>
  <c r="Z10" i="2"/>
  <c r="E10" i="2" s="1"/>
  <c r="L10" i="2"/>
  <c r="B10" i="2"/>
  <c r="AR9" i="2"/>
  <c r="AM9" i="2"/>
  <c r="AG9" i="2"/>
  <c r="AD9" i="2"/>
  <c r="AC9" i="2"/>
  <c r="AB9" i="2"/>
  <c r="AA9" i="2"/>
  <c r="Z9" i="2"/>
  <c r="L9" i="2"/>
  <c r="E9" i="2"/>
  <c r="B9" i="2"/>
  <c r="AR8" i="2"/>
  <c r="AN8" i="2"/>
  <c r="AM8" i="2"/>
  <c r="AG8" i="2"/>
  <c r="AA8" i="2"/>
  <c r="Z8" i="2"/>
  <c r="P8" i="2"/>
  <c r="AQ8" i="2" s="1"/>
  <c r="M8" i="2"/>
  <c r="Q8" i="2" s="1"/>
  <c r="L8" i="2"/>
  <c r="P8" i="4" s="1"/>
  <c r="R8" i="4" s="1"/>
  <c r="K8" i="2"/>
  <c r="H8" i="2"/>
  <c r="B8" i="2"/>
  <c r="X2" i="2"/>
  <c r="X1" i="2"/>
  <c r="O50" i="1"/>
  <c r="B50" i="1"/>
  <c r="B49" i="1"/>
  <c r="E49" i="1" s="1"/>
  <c r="B48" i="1"/>
  <c r="O47" i="1"/>
  <c r="K47" i="1"/>
  <c r="I47" i="1"/>
  <c r="M47" i="1" s="1"/>
  <c r="H47" i="1"/>
  <c r="B47" i="1"/>
  <c r="E47" i="1" s="1"/>
  <c r="B46" i="1"/>
  <c r="O45" i="1"/>
  <c r="K45" i="1"/>
  <c r="I45" i="1"/>
  <c r="M45" i="1" s="1"/>
  <c r="H45" i="1"/>
  <c r="E45" i="1"/>
  <c r="B45" i="1"/>
  <c r="B44" i="1"/>
  <c r="K43" i="1"/>
  <c r="I43" i="1"/>
  <c r="H43" i="1"/>
  <c r="E43" i="1"/>
  <c r="B43" i="1"/>
  <c r="O42" i="1"/>
  <c r="K42" i="1"/>
  <c r="I42" i="1"/>
  <c r="M42" i="1" s="1"/>
  <c r="H42" i="1"/>
  <c r="B42" i="1"/>
  <c r="E42" i="1" s="1"/>
  <c r="K41" i="1"/>
  <c r="I41" i="1"/>
  <c r="M41" i="1" s="1"/>
  <c r="E41" i="1"/>
  <c r="B41" i="1"/>
  <c r="H41" i="1" s="1"/>
  <c r="B40" i="1"/>
  <c r="O40" i="1" s="1"/>
  <c r="I39" i="1"/>
  <c r="H39" i="1"/>
  <c r="B39" i="1"/>
  <c r="H38" i="1"/>
  <c r="B38" i="1"/>
  <c r="I37" i="1"/>
  <c r="H37" i="1"/>
  <c r="B37" i="1"/>
  <c r="E37" i="1" s="1"/>
  <c r="E36" i="1"/>
  <c r="B36" i="1"/>
  <c r="I35" i="1"/>
  <c r="H35" i="1"/>
  <c r="B35" i="1"/>
  <c r="E35" i="1" s="1"/>
  <c r="I34" i="1"/>
  <c r="B34" i="1"/>
  <c r="I33" i="1"/>
  <c r="H33" i="1"/>
  <c r="B33" i="1"/>
  <c r="E33" i="1" s="1"/>
  <c r="I32" i="1"/>
  <c r="H32" i="1"/>
  <c r="E32" i="1"/>
  <c r="B32" i="1"/>
  <c r="I31" i="1"/>
  <c r="H31" i="1"/>
  <c r="B31" i="1"/>
  <c r="E31" i="1" s="1"/>
  <c r="W25" i="1"/>
  <c r="W24" i="1"/>
  <c r="H24" i="1"/>
  <c r="F24" i="1"/>
  <c r="W23" i="1"/>
  <c r="H23" i="1"/>
  <c r="F23" i="1"/>
  <c r="W22" i="1"/>
  <c r="W21" i="1"/>
  <c r="W20" i="1"/>
  <c r="W19" i="1"/>
  <c r="W18" i="1"/>
  <c r="W17" i="1"/>
  <c r="W16" i="1"/>
  <c r="W15" i="1"/>
  <c r="W14" i="1"/>
  <c r="B8" i="1"/>
  <c r="T3" i="1"/>
  <c r="B3" i="1"/>
  <c r="T2" i="1"/>
  <c r="AI37" i="2" l="1"/>
  <c r="AI102" i="2"/>
  <c r="AK102" i="2"/>
  <c r="AJ102" i="2"/>
  <c r="AL102" i="2"/>
  <c r="AH102" i="2"/>
  <c r="AJ36" i="2"/>
  <c r="AI36" i="2"/>
  <c r="AL36" i="2" s="1"/>
  <c r="W36" i="2" s="1"/>
  <c r="AK36" i="2"/>
  <c r="AH36" i="2"/>
  <c r="AI294" i="2"/>
  <c r="AJ294" i="2"/>
  <c r="AH294" i="2"/>
  <c r="AL294" i="2"/>
  <c r="AK294" i="2"/>
  <c r="AL95" i="2"/>
  <c r="AH95" i="2"/>
  <c r="AI95" i="2"/>
  <c r="AK95" i="2"/>
  <c r="AJ95" i="2"/>
  <c r="AL105" i="2"/>
  <c r="AK105" i="2"/>
  <c r="AJ105" i="2"/>
  <c r="AI105" i="2"/>
  <c r="AH105" i="2"/>
  <c r="AE127" i="2"/>
  <c r="AE18" i="2"/>
  <c r="AL113" i="2"/>
  <c r="AK113" i="2"/>
  <c r="AJ113" i="2"/>
  <c r="AI113" i="2"/>
  <c r="AI12" i="2"/>
  <c r="AK12" i="2"/>
  <c r="AJ12" i="2"/>
  <c r="AH12" i="2"/>
  <c r="AL12" i="2"/>
  <c r="W12" i="2" s="1"/>
  <c r="AH128" i="2"/>
  <c r="AJ128" i="2"/>
  <c r="AH309" i="2"/>
  <c r="AL309" i="2"/>
  <c r="AJ309" i="2"/>
  <c r="AK309" i="2"/>
  <c r="AI309" i="2"/>
  <c r="AE51" i="2"/>
  <c r="AE64" i="2"/>
  <c r="AL163" i="2"/>
  <c r="AJ163" i="2"/>
  <c r="AK163" i="2"/>
  <c r="AI163" i="2"/>
  <c r="AH163" i="2"/>
  <c r="AH138" i="2"/>
  <c r="AJ138" i="2"/>
  <c r="AK138" i="2"/>
  <c r="AL138" i="2"/>
  <c r="K69" i="2"/>
  <c r="M69" i="2"/>
  <c r="Q69" i="2" s="1"/>
  <c r="H69" i="2"/>
  <c r="AF69" i="2" s="1"/>
  <c r="AN69" i="2"/>
  <c r="AM69" i="2"/>
  <c r="O69" i="2"/>
  <c r="AP69" i="2" s="1"/>
  <c r="N69" i="2"/>
  <c r="AO69" i="2" s="1"/>
  <c r="AL129" i="2"/>
  <c r="AK129" i="2"/>
  <c r="AJ129" i="2"/>
  <c r="AI129" i="2"/>
  <c r="AH129" i="2"/>
  <c r="AE136" i="2"/>
  <c r="AN337" i="2"/>
  <c r="M337" i="2"/>
  <c r="Q337" i="2" s="1"/>
  <c r="AM337" i="2"/>
  <c r="P337" i="2"/>
  <c r="AQ337" i="2" s="1"/>
  <c r="K337" i="2"/>
  <c r="H337" i="2"/>
  <c r="AF337" i="2" s="1"/>
  <c r="O337" i="2"/>
  <c r="AP337" i="2" s="1"/>
  <c r="N337" i="2"/>
  <c r="AO337" i="2" s="1"/>
  <c r="AE260" i="2"/>
  <c r="AB114" i="2"/>
  <c r="E114" i="2"/>
  <c r="AC114" i="2"/>
  <c r="AD114" i="2"/>
  <c r="AE114" i="2" s="1"/>
  <c r="H48" i="1"/>
  <c r="I48" i="1"/>
  <c r="L48" i="1" s="1"/>
  <c r="AB18" i="2"/>
  <c r="AE81" i="2"/>
  <c r="N265" i="2"/>
  <c r="AO265" i="2" s="1"/>
  <c r="P265" i="2"/>
  <c r="AQ265" i="2" s="1"/>
  <c r="M265" i="2"/>
  <c r="Q265" i="2" s="1"/>
  <c r="AN265" i="2"/>
  <c r="AM265" i="2"/>
  <c r="O265" i="2"/>
  <c r="AP265" i="2" s="1"/>
  <c r="K265" i="2"/>
  <c r="H265" i="2"/>
  <c r="AF265" i="2" s="1"/>
  <c r="K48" i="1"/>
  <c r="AB58" i="2"/>
  <c r="E58" i="2"/>
  <c r="AD108" i="2"/>
  <c r="AE108" i="2" s="1"/>
  <c r="K127" i="2"/>
  <c r="M127" i="2"/>
  <c r="Q127" i="2" s="1"/>
  <c r="AN127" i="2"/>
  <c r="H127" i="2"/>
  <c r="AF127" i="2" s="1"/>
  <c r="N127" i="2"/>
  <c r="AO127" i="2" s="1"/>
  <c r="O127" i="2"/>
  <c r="AP127" i="2" s="1"/>
  <c r="AM127" i="2"/>
  <c r="K44" i="1"/>
  <c r="I44" i="1"/>
  <c r="M44" i="1" s="1"/>
  <c r="E44" i="1"/>
  <c r="O44" i="1"/>
  <c r="H44" i="1"/>
  <c r="E27" i="2"/>
  <c r="AD27" i="2"/>
  <c r="AE27" i="2" s="1"/>
  <c r="AC27" i="2"/>
  <c r="AB27" i="2"/>
  <c r="AB68" i="2"/>
  <c r="E68" i="2"/>
  <c r="AC68" i="2"/>
  <c r="AB127" i="2"/>
  <c r="AL55" i="2"/>
  <c r="AI55" i="2"/>
  <c r="AK55" i="2"/>
  <c r="K99" i="2"/>
  <c r="P99" i="2"/>
  <c r="AQ99" i="2" s="1"/>
  <c r="N99" i="2"/>
  <c r="AO99" i="2" s="1"/>
  <c r="AM99" i="2"/>
  <c r="O99" i="2"/>
  <c r="AP99" i="2" s="1"/>
  <c r="H99" i="2"/>
  <c r="AF99" i="2" s="1"/>
  <c r="M99" i="2"/>
  <c r="Q99" i="2" s="1"/>
  <c r="E231" i="2"/>
  <c r="AD231" i="2"/>
  <c r="AC231" i="2"/>
  <c r="AH218" i="2"/>
  <c r="AK218" i="2"/>
  <c r="AI218" i="2"/>
  <c r="AL218" i="2"/>
  <c r="AJ218" i="2"/>
  <c r="AC115" i="2"/>
  <c r="AB115" i="2"/>
  <c r="AD115" i="2"/>
  <c r="AE115" i="2" s="1"/>
  <c r="E115" i="2"/>
  <c r="N332" i="2"/>
  <c r="AO332" i="2" s="1"/>
  <c r="M332" i="2"/>
  <c r="Q332" i="2" s="1"/>
  <c r="AM332" i="2"/>
  <c r="H332" i="2"/>
  <c r="AF332" i="2" s="1"/>
  <c r="P332" i="2"/>
  <c r="AQ332" i="2" s="1"/>
  <c r="K332" i="2"/>
  <c r="AN332" i="2"/>
  <c r="AC57" i="2"/>
  <c r="AB57" i="2"/>
  <c r="AD57" i="2"/>
  <c r="AE57" i="2" s="1"/>
  <c r="E57" i="2"/>
  <c r="AL86" i="2"/>
  <c r="AD197" i="2"/>
  <c r="AC197" i="2"/>
  <c r="AB197" i="2"/>
  <c r="E26" i="2"/>
  <c r="AB26" i="2"/>
  <c r="AD26" i="2"/>
  <c r="AC26" i="2"/>
  <c r="AB32" i="2"/>
  <c r="K57" i="2"/>
  <c r="O57" i="2"/>
  <c r="AP57" i="2" s="1"/>
  <c r="P57" i="2"/>
  <c r="AQ57" i="2" s="1"/>
  <c r="N57" i="2"/>
  <c r="AO57" i="2" s="1"/>
  <c r="M57" i="2"/>
  <c r="Q57" i="2" s="1"/>
  <c r="H57" i="2"/>
  <c r="AF57" i="2" s="1"/>
  <c r="AN57" i="2"/>
  <c r="AM57" i="2"/>
  <c r="AJ118" i="2"/>
  <c r="AM143" i="2"/>
  <c r="K143" i="2"/>
  <c r="P143" i="2"/>
  <c r="AQ143" i="2" s="1"/>
  <c r="N143" i="2"/>
  <c r="AO143" i="2" s="1"/>
  <c r="O143" i="2"/>
  <c r="AP143" i="2" s="1"/>
  <c r="AN143" i="2"/>
  <c r="O197" i="2"/>
  <c r="AP197" i="2" s="1"/>
  <c r="P197" i="2"/>
  <c r="AQ197" i="2" s="1"/>
  <c r="M197" i="2"/>
  <c r="Q197" i="2" s="1"/>
  <c r="K197" i="2"/>
  <c r="H197" i="2"/>
  <c r="AF197" i="2" s="1"/>
  <c r="AM197" i="2"/>
  <c r="AN197" i="2"/>
  <c r="N197" i="2"/>
  <c r="AO197" i="2" s="1"/>
  <c r="AL324" i="2"/>
  <c r="AJ324" i="2"/>
  <c r="AI324" i="2"/>
  <c r="AH324" i="2"/>
  <c r="AL421" i="2"/>
  <c r="AJ421" i="2"/>
  <c r="AH421" i="2"/>
  <c r="L45" i="1"/>
  <c r="O10" i="2"/>
  <c r="AP10" i="2" s="1"/>
  <c r="N10" i="2"/>
  <c r="AO10" i="2" s="1"/>
  <c r="K10" i="2"/>
  <c r="AN10" i="2"/>
  <c r="X22" i="1" s="1"/>
  <c r="Z22" i="1" s="1"/>
  <c r="H10" i="2"/>
  <c r="S35" i="1" s="1"/>
  <c r="AM10" i="2"/>
  <c r="P10" i="2"/>
  <c r="AQ10" i="2" s="1"/>
  <c r="M10" i="2"/>
  <c r="Q10" i="2" s="1"/>
  <c r="Q8" i="4" s="1"/>
  <c r="Q48" i="4" s="1"/>
  <c r="AF24" i="2"/>
  <c r="O26" i="2"/>
  <c r="AP26" i="2" s="1"/>
  <c r="N26" i="2"/>
  <c r="AO26" i="2" s="1"/>
  <c r="AM26" i="2"/>
  <c r="P26" i="2"/>
  <c r="AQ26" i="2" s="1"/>
  <c r="M26" i="2"/>
  <c r="Q26" i="2" s="1"/>
  <c r="K26" i="2"/>
  <c r="H26" i="2"/>
  <c r="AN26" i="2"/>
  <c r="AE31" i="2"/>
  <c r="AC32" i="2"/>
  <c r="AE96" i="2"/>
  <c r="AL118" i="2"/>
  <c r="AE126" i="2"/>
  <c r="AH274" i="2"/>
  <c r="AL274" i="2"/>
  <c r="AJ274" i="2"/>
  <c r="AK274" i="2"/>
  <c r="AE283" i="2"/>
  <c r="AB56" i="2"/>
  <c r="E56" i="2"/>
  <c r="AD56" i="2"/>
  <c r="AC56" i="2"/>
  <c r="AB156" i="2"/>
  <c r="E156" i="2"/>
  <c r="AL224" i="2"/>
  <c r="AJ224" i="2"/>
  <c r="AI224" i="2"/>
  <c r="AH224" i="2"/>
  <c r="AK224" i="2"/>
  <c r="AL296" i="2"/>
  <c r="AI296" i="2"/>
  <c r="AL325" i="2"/>
  <c r="AK325" i="2"/>
  <c r="AH325" i="2"/>
  <c r="AJ325" i="2"/>
  <c r="AI325" i="2"/>
  <c r="N198" i="2"/>
  <c r="AO198" i="2" s="1"/>
  <c r="AN198" i="2"/>
  <c r="M198" i="2"/>
  <c r="Q198" i="2" s="1"/>
  <c r="AM198" i="2"/>
  <c r="K198" i="2"/>
  <c r="H198" i="2"/>
  <c r="AF198" i="2" s="1"/>
  <c r="P198" i="2"/>
  <c r="AQ198" i="2" s="1"/>
  <c r="O198" i="2"/>
  <c r="AP198" i="2" s="1"/>
  <c r="AE39" i="2"/>
  <c r="AE210" i="2"/>
  <c r="AN278" i="2"/>
  <c r="M278" i="2"/>
  <c r="Q278" i="2" s="1"/>
  <c r="AM278" i="2"/>
  <c r="O278" i="2"/>
  <c r="AP278" i="2" s="1"/>
  <c r="N278" i="2"/>
  <c r="AO278" i="2" s="1"/>
  <c r="K278" i="2"/>
  <c r="H278" i="2"/>
  <c r="AF278" i="2" s="1"/>
  <c r="AL278" i="2" s="1"/>
  <c r="P278" i="2"/>
  <c r="AQ278" i="2" s="1"/>
  <c r="AI396" i="2"/>
  <c r="AL396" i="2"/>
  <c r="AK396" i="2"/>
  <c r="AJ396" i="2"/>
  <c r="AH396" i="2"/>
  <c r="AL266" i="2"/>
  <c r="AH266" i="2"/>
  <c r="AJ266" i="2"/>
  <c r="AI266" i="2"/>
  <c r="AK488" i="2"/>
  <c r="AL488" i="2"/>
  <c r="AJ488" i="2"/>
  <c r="AH488" i="2"/>
  <c r="AI488" i="2"/>
  <c r="AC8" i="2"/>
  <c r="AD8" i="2"/>
  <c r="AE8" i="2" s="1"/>
  <c r="AB8" i="2"/>
  <c r="E8" i="2"/>
  <c r="P34" i="2"/>
  <c r="AQ34" i="2" s="1"/>
  <c r="H34" i="2"/>
  <c r="AN34" i="2"/>
  <c r="AM34" i="2"/>
  <c r="M34" i="2"/>
  <c r="Q34" i="2" s="1"/>
  <c r="K34" i="2"/>
  <c r="O18" i="2"/>
  <c r="AP18" i="2" s="1"/>
  <c r="N18" i="2"/>
  <c r="AO18" i="2" s="1"/>
  <c r="AN18" i="2"/>
  <c r="W12" i="3" s="1"/>
  <c r="AM18" i="2"/>
  <c r="AM108" i="2"/>
  <c r="O108" i="2"/>
  <c r="AP108" i="2" s="1"/>
  <c r="M108" i="2"/>
  <c r="Q108" i="2" s="1"/>
  <c r="N108" i="2"/>
  <c r="AO108" i="2" s="1"/>
  <c r="K108" i="2"/>
  <c r="AN108" i="2"/>
  <c r="E391" i="2"/>
  <c r="AC391" i="2"/>
  <c r="AD391" i="2"/>
  <c r="AE391" i="2" s="1"/>
  <c r="AB391" i="2"/>
  <c r="AC108" i="2"/>
  <c r="AC137" i="2"/>
  <c r="E137" i="2"/>
  <c r="AD137" i="2"/>
  <c r="AE137" i="2" s="1"/>
  <c r="AB137" i="2"/>
  <c r="AE232" i="2"/>
  <c r="V29" i="3"/>
  <c r="U29" i="3"/>
  <c r="O48" i="1"/>
  <c r="K45" i="2"/>
  <c r="AM45" i="2"/>
  <c r="H45" i="2"/>
  <c r="AF45" i="2" s="1"/>
  <c r="AC58" i="2"/>
  <c r="AM68" i="2"/>
  <c r="O68" i="2"/>
  <c r="AP68" i="2" s="1"/>
  <c r="N68" i="2"/>
  <c r="AO68" i="2" s="1"/>
  <c r="AN68" i="2"/>
  <c r="M68" i="2"/>
  <c r="Q68" i="2" s="1"/>
  <c r="H68" i="2"/>
  <c r="AF68" i="2" s="1"/>
  <c r="K68" i="2"/>
  <c r="AK78" i="2"/>
  <c r="AJ78" i="2"/>
  <c r="AI78" i="2"/>
  <c r="AH78" i="2"/>
  <c r="AF25" i="2"/>
  <c r="AE21" i="2"/>
  <c r="K33" i="2"/>
  <c r="N33" i="2"/>
  <c r="AO33" i="2" s="1"/>
  <c r="H33" i="2"/>
  <c r="AM33" i="2"/>
  <c r="AN33" i="2"/>
  <c r="X15" i="1" s="1"/>
  <c r="AM96" i="2"/>
  <c r="P96" i="2"/>
  <c r="AQ96" i="2" s="1"/>
  <c r="O96" i="2"/>
  <c r="AP96" i="2" s="1"/>
  <c r="N96" i="2"/>
  <c r="AO96" i="2" s="1"/>
  <c r="H96" i="2"/>
  <c r="AF96" i="2" s="1"/>
  <c r="M96" i="2"/>
  <c r="Q96" i="2" s="1"/>
  <c r="K96" i="2"/>
  <c r="AN96" i="2"/>
  <c r="AB44" i="2"/>
  <c r="E44" i="2"/>
  <c r="N98" i="2"/>
  <c r="AO98" i="2" s="1"/>
  <c r="AD217" i="2"/>
  <c r="AE217" i="2" s="1"/>
  <c r="E217" i="2"/>
  <c r="AC217" i="2"/>
  <c r="AB217" i="2"/>
  <c r="AF23" i="2"/>
  <c r="AJ23" i="2" s="1"/>
  <c r="H28" i="2"/>
  <c r="AE29" i="2"/>
  <c r="AN44" i="2"/>
  <c r="AM44" i="2"/>
  <c r="K44" i="2"/>
  <c r="H44" i="2"/>
  <c r="AF44" i="2" s="1"/>
  <c r="O44" i="2"/>
  <c r="AP44" i="2" s="1"/>
  <c r="N44" i="2"/>
  <c r="AO44" i="2" s="1"/>
  <c r="M44" i="2"/>
  <c r="Q44" i="2" s="1"/>
  <c r="AI62" i="2"/>
  <c r="AE110" i="2"/>
  <c r="E279" i="2"/>
  <c r="AD279" i="2"/>
  <c r="AC279" i="2"/>
  <c r="AH280" i="2"/>
  <c r="AI280" i="2"/>
  <c r="AL280" i="2"/>
  <c r="AJ280" i="2"/>
  <c r="AK280" i="2"/>
  <c r="P293" i="2"/>
  <c r="AQ293" i="2" s="1"/>
  <c r="AN293" i="2"/>
  <c r="AM293" i="2"/>
  <c r="N293" i="2"/>
  <c r="AO293" i="2" s="1"/>
  <c r="K293" i="2"/>
  <c r="H293" i="2"/>
  <c r="AF293" i="2" s="1"/>
  <c r="M293" i="2"/>
  <c r="Q293" i="2" s="1"/>
  <c r="AH459" i="2"/>
  <c r="AL459" i="2"/>
  <c r="AI459" i="2"/>
  <c r="AK459" i="2"/>
  <c r="AJ459" i="2"/>
  <c r="AB46" i="2"/>
  <c r="AC46" i="2"/>
  <c r="AE46" i="2" s="1"/>
  <c r="E46" i="2"/>
  <c r="AL250" i="2"/>
  <c r="AK250" i="2"/>
  <c r="AH250" i="2"/>
  <c r="AI250" i="2"/>
  <c r="AJ250" i="2"/>
  <c r="AE9" i="2"/>
  <c r="W9" i="3"/>
  <c r="AD59" i="2"/>
  <c r="AE59" i="2" s="1"/>
  <c r="AC59" i="2"/>
  <c r="E59" i="2"/>
  <c r="AI138" i="2"/>
  <c r="AE43" i="2"/>
  <c r="AK196" i="2"/>
  <c r="AL196" i="2"/>
  <c r="AJ196" i="2"/>
  <c r="AI196" i="2"/>
  <c r="AH196" i="2"/>
  <c r="AF11" i="2"/>
  <c r="Q17" i="4"/>
  <c r="AC99" i="2"/>
  <c r="AB99" i="2"/>
  <c r="AD99" i="2"/>
  <c r="AE99" i="2" s="1"/>
  <c r="E99" i="2"/>
  <c r="AJ166" i="2"/>
  <c r="AH166" i="2"/>
  <c r="AL166" i="2"/>
  <c r="AK166" i="2"/>
  <c r="AI166" i="2"/>
  <c r="O245" i="2"/>
  <c r="AP245" i="2" s="1"/>
  <c r="N245" i="2"/>
  <c r="AO245" i="2" s="1"/>
  <c r="M245" i="2"/>
  <c r="Q245" i="2" s="1"/>
  <c r="K245" i="2"/>
  <c r="AN245" i="2"/>
  <c r="H245" i="2"/>
  <c r="AF245" i="2" s="1"/>
  <c r="AM245" i="2"/>
  <c r="P245" i="2"/>
  <c r="AQ245" i="2" s="1"/>
  <c r="AE22" i="2"/>
  <c r="AH86" i="2"/>
  <c r="I40" i="1"/>
  <c r="L40" i="1" s="1"/>
  <c r="AI86" i="2"/>
  <c r="AL125" i="2"/>
  <c r="AJ125" i="2"/>
  <c r="AH125" i="2"/>
  <c r="AI125" i="2"/>
  <c r="AH118" i="2"/>
  <c r="AB124" i="2"/>
  <c r="AD124" i="2"/>
  <c r="AE124" i="2" s="1"/>
  <c r="E124" i="2"/>
  <c r="AB231" i="2"/>
  <c r="AE13" i="2"/>
  <c r="AH55" i="2"/>
  <c r="AI118" i="2"/>
  <c r="AD143" i="2"/>
  <c r="AC143" i="2"/>
  <c r="N172" i="2"/>
  <c r="AO172" i="2" s="1"/>
  <c r="AN172" i="2"/>
  <c r="M172" i="2"/>
  <c r="Q172" i="2" s="1"/>
  <c r="O172" i="2"/>
  <c r="AP172" i="2" s="1"/>
  <c r="K172" i="2"/>
  <c r="AM172" i="2"/>
  <c r="P172" i="2"/>
  <c r="AQ172" i="2" s="1"/>
  <c r="H172" i="2"/>
  <c r="AF172" i="2" s="1"/>
  <c r="AD191" i="2"/>
  <c r="AC191" i="2"/>
  <c r="AB191" i="2"/>
  <c r="E191" i="2"/>
  <c r="AD32" i="2"/>
  <c r="H46" i="1"/>
  <c r="O46" i="1"/>
  <c r="E46" i="1"/>
  <c r="K46" i="1"/>
  <c r="I46" i="1"/>
  <c r="M46" i="1" s="1"/>
  <c r="AI16" i="2"/>
  <c r="AJ16" i="2"/>
  <c r="AH16" i="2"/>
  <c r="AL16" i="2" s="1"/>
  <c r="W16" i="2" s="1"/>
  <c r="H18" i="2"/>
  <c r="AI20" i="2"/>
  <c r="AL20" i="2"/>
  <c r="AC44" i="2"/>
  <c r="K51" i="2"/>
  <c r="M51" i="2"/>
  <c r="Q51" i="2" s="1"/>
  <c r="AN51" i="2"/>
  <c r="N51" i="2"/>
  <c r="AO51" i="2" s="1"/>
  <c r="AM51" i="2"/>
  <c r="O51" i="2"/>
  <c r="AP51" i="2" s="1"/>
  <c r="H51" i="2"/>
  <c r="AF51" i="2" s="1"/>
  <c r="P51" i="2"/>
  <c r="AQ51" i="2" s="1"/>
  <c r="AJ62" i="2"/>
  <c r="P69" i="2"/>
  <c r="AQ69" i="2" s="1"/>
  <c r="K109" i="2"/>
  <c r="N109" i="2"/>
  <c r="AO109" i="2" s="1"/>
  <c r="H109" i="2"/>
  <c r="AF109" i="2" s="1"/>
  <c r="AK109" i="2" s="1"/>
  <c r="AN109" i="2"/>
  <c r="AM109" i="2"/>
  <c r="O109" i="2"/>
  <c r="AP109" i="2" s="1"/>
  <c r="M109" i="2"/>
  <c r="Q109" i="2" s="1"/>
  <c r="AC156" i="2"/>
  <c r="E273" i="2"/>
  <c r="AD273" i="2"/>
  <c r="AC273" i="2"/>
  <c r="AI274" i="2"/>
  <c r="AI416" i="2"/>
  <c r="AF14" i="2"/>
  <c r="AC69" i="2"/>
  <c r="AB69" i="2"/>
  <c r="E69" i="2"/>
  <c r="AM98" i="2"/>
  <c r="H98" i="2"/>
  <c r="AF98" i="2" s="1"/>
  <c r="O98" i="2"/>
  <c r="AP98" i="2" s="1"/>
  <c r="M98" i="2"/>
  <c r="Q98" i="2" s="1"/>
  <c r="K98" i="2"/>
  <c r="AN98" i="2"/>
  <c r="O46" i="2"/>
  <c r="AP46" i="2" s="1"/>
  <c r="N46" i="2"/>
  <c r="AO46" i="2" s="1"/>
  <c r="AN46" i="2"/>
  <c r="AM46" i="2"/>
  <c r="P46" i="2"/>
  <c r="AQ46" i="2" s="1"/>
  <c r="M46" i="2"/>
  <c r="Q46" i="2" s="1"/>
  <c r="K46" i="2"/>
  <c r="H46" i="2"/>
  <c r="AF46" i="2" s="1"/>
  <c r="AE70" i="2"/>
  <c r="K87" i="2"/>
  <c r="M87" i="2"/>
  <c r="Q87" i="2" s="1"/>
  <c r="AN87" i="2"/>
  <c r="AM87" i="2"/>
  <c r="N87" i="2"/>
  <c r="AO87" i="2" s="1"/>
  <c r="P87" i="2"/>
  <c r="AQ87" i="2" s="1"/>
  <c r="H87" i="2"/>
  <c r="AF87" i="2" s="1"/>
  <c r="AI87" i="2" s="1"/>
  <c r="O87" i="2"/>
  <c r="AP87" i="2" s="1"/>
  <c r="AD69" i="2"/>
  <c r="AE69" i="2" s="1"/>
  <c r="AB34" i="2"/>
  <c r="AD34" i="2"/>
  <c r="AC34" i="2"/>
  <c r="E34" i="2"/>
  <c r="AK240" i="2"/>
  <c r="AI240" i="2"/>
  <c r="AL240" i="2"/>
  <c r="AH240" i="2"/>
  <c r="AJ240" i="2"/>
  <c r="AC18" i="2"/>
  <c r="E18" i="2"/>
  <c r="AB59" i="2"/>
  <c r="E40" i="1"/>
  <c r="AD45" i="2"/>
  <c r="AE45" i="2" s="1"/>
  <c r="E45" i="2"/>
  <c r="K63" i="2"/>
  <c r="M63" i="2"/>
  <c r="Q63" i="2" s="1"/>
  <c r="P63" i="2"/>
  <c r="AQ63" i="2" s="1"/>
  <c r="O63" i="2"/>
  <c r="AP63" i="2" s="1"/>
  <c r="N63" i="2"/>
  <c r="AO63" i="2" s="1"/>
  <c r="H63" i="2"/>
  <c r="AF63" i="2" s="1"/>
  <c r="AM63" i="2"/>
  <c r="H40" i="1"/>
  <c r="K49" i="1"/>
  <c r="I49" i="1"/>
  <c r="L49" i="1" s="1"/>
  <c r="AB45" i="2"/>
  <c r="N220" i="2"/>
  <c r="AO220" i="2" s="1"/>
  <c r="AN220" i="2"/>
  <c r="M220" i="2"/>
  <c r="Q220" i="2" s="1"/>
  <c r="O220" i="2"/>
  <c r="AP220" i="2" s="1"/>
  <c r="K220" i="2"/>
  <c r="H220" i="2"/>
  <c r="AF220" i="2" s="1"/>
  <c r="AM220" i="2"/>
  <c r="P220" i="2"/>
  <c r="AQ220" i="2" s="1"/>
  <c r="AC41" i="2"/>
  <c r="AD41" i="2"/>
  <c r="AE41" i="2" s="1"/>
  <c r="AB41" i="2"/>
  <c r="K65" i="2"/>
  <c r="AN65" i="2"/>
  <c r="H65" i="2"/>
  <c r="AF65" i="2" s="1"/>
  <c r="P65" i="2"/>
  <c r="AQ65" i="2" s="1"/>
  <c r="N65" i="2"/>
  <c r="AO65" i="2" s="1"/>
  <c r="M65" i="2"/>
  <c r="Q65" i="2" s="1"/>
  <c r="AM65" i="2"/>
  <c r="E17" i="2"/>
  <c r="AB17" i="2"/>
  <c r="AD17" i="2"/>
  <c r="AE17" i="2" s="1"/>
  <c r="AC17" i="2"/>
  <c r="AH194" i="2"/>
  <c r="AL194" i="2"/>
  <c r="AK194" i="2"/>
  <c r="AJ194" i="2"/>
  <c r="AI194" i="2"/>
  <c r="M40" i="1"/>
  <c r="O49" i="1"/>
  <c r="AF15" i="2"/>
  <c r="K93" i="2"/>
  <c r="AN93" i="2"/>
  <c r="P93" i="2"/>
  <c r="AQ93" i="2" s="1"/>
  <c r="M93" i="2"/>
  <c r="Q93" i="2" s="1"/>
  <c r="O93" i="2"/>
  <c r="AP93" i="2" s="1"/>
  <c r="N93" i="2"/>
  <c r="AO93" i="2" s="1"/>
  <c r="H93" i="2"/>
  <c r="AF93" i="2" s="1"/>
  <c r="AK93" i="2" s="1"/>
  <c r="AD19" i="2"/>
  <c r="AE19" i="2" s="1"/>
  <c r="AB19" i="2"/>
  <c r="E19" i="2"/>
  <c r="AD44" i="2"/>
  <c r="AL52" i="2"/>
  <c r="AI52" i="2"/>
  <c r="AK52" i="2"/>
  <c r="AH52" i="2"/>
  <c r="AK62" i="2"/>
  <c r="AC67" i="2"/>
  <c r="AD67" i="2"/>
  <c r="AE67" i="2" s="1"/>
  <c r="E67" i="2"/>
  <c r="AB67" i="2"/>
  <c r="AI88" i="2"/>
  <c r="AH88" i="2"/>
  <c r="AJ88" i="2"/>
  <c r="AL88" i="2"/>
  <c r="AK88" i="2"/>
  <c r="E108" i="2"/>
  <c r="AB112" i="2"/>
  <c r="E112" i="2"/>
  <c r="AD112" i="2"/>
  <c r="AE112" i="2" s="1"/>
  <c r="AD156" i="2"/>
  <c r="AB279" i="2"/>
  <c r="K290" i="2"/>
  <c r="H290" i="2"/>
  <c r="AF290" i="2" s="1"/>
  <c r="AI290" i="2" s="1"/>
  <c r="AN290" i="2"/>
  <c r="AM290" i="2"/>
  <c r="N290" i="2"/>
  <c r="AO290" i="2" s="1"/>
  <c r="P290" i="2"/>
  <c r="AQ290" i="2" s="1"/>
  <c r="O290" i="2"/>
  <c r="AP290" i="2" s="1"/>
  <c r="M290" i="2"/>
  <c r="Q290" i="2" s="1"/>
  <c r="AJ293" i="2"/>
  <c r="AI293" i="2"/>
  <c r="AL293" i="2"/>
  <c r="AK293" i="2"/>
  <c r="AH293" i="2"/>
  <c r="AH296" i="2"/>
  <c r="AL298" i="2"/>
  <c r="AI298" i="2"/>
  <c r="O213" i="2"/>
  <c r="AP213" i="2" s="1"/>
  <c r="N213" i="2"/>
  <c r="AO213" i="2" s="1"/>
  <c r="AN213" i="2"/>
  <c r="P213" i="2"/>
  <c r="AQ213" i="2" s="1"/>
  <c r="M213" i="2"/>
  <c r="Q213" i="2" s="1"/>
  <c r="K213" i="2"/>
  <c r="AM213" i="2"/>
  <c r="AK282" i="2"/>
  <c r="AJ282" i="2"/>
  <c r="M48" i="1"/>
  <c r="O28" i="2"/>
  <c r="AP28" i="2" s="1"/>
  <c r="N28" i="2"/>
  <c r="AO28" i="2" s="1"/>
  <c r="P28" i="2"/>
  <c r="AQ28" i="2" s="1"/>
  <c r="AM28" i="2"/>
  <c r="AN28" i="2"/>
  <c r="K59" i="2"/>
  <c r="H59" i="2"/>
  <c r="AF59" i="2" s="1"/>
  <c r="P59" i="2"/>
  <c r="AQ59" i="2" s="1"/>
  <c r="AN59" i="2"/>
  <c r="AM59" i="2"/>
  <c r="M59" i="2"/>
  <c r="Q59" i="2" s="1"/>
  <c r="AJ246" i="2"/>
  <c r="AH246" i="2"/>
  <c r="AL246" i="2"/>
  <c r="AK246" i="2"/>
  <c r="E48" i="1"/>
  <c r="K232" i="2"/>
  <c r="P232" i="2"/>
  <c r="AQ232" i="2" s="1"/>
  <c r="O232" i="2"/>
  <c r="AP232" i="2" s="1"/>
  <c r="N232" i="2"/>
  <c r="AO232" i="2" s="1"/>
  <c r="M232" i="2"/>
  <c r="Q232" i="2" s="1"/>
  <c r="AN232" i="2"/>
  <c r="AM232" i="2"/>
  <c r="H232" i="2"/>
  <c r="AF232" i="2" s="1"/>
  <c r="AC127" i="2"/>
  <c r="E127" i="2"/>
  <c r="AL146" i="2"/>
  <c r="AK146" i="2"/>
  <c r="AJ146" i="2"/>
  <c r="AI146" i="2"/>
  <c r="AH146" i="2"/>
  <c r="AI246" i="2"/>
  <c r="AE66" i="2"/>
  <c r="P21" i="2"/>
  <c r="AQ21" i="2" s="1"/>
  <c r="M21" i="2"/>
  <c r="Q21" i="2" s="1"/>
  <c r="Q12" i="4" s="1"/>
  <c r="O21" i="2"/>
  <c r="AP21" i="2" s="1"/>
  <c r="N21" i="2"/>
  <c r="AO21" i="2" s="1"/>
  <c r="K21" i="2"/>
  <c r="AN21" i="2"/>
  <c r="W15" i="3" s="1"/>
  <c r="AM21" i="2"/>
  <c r="H21" i="2"/>
  <c r="AD58" i="2"/>
  <c r="AD68" i="2"/>
  <c r="AE68" i="2" s="1"/>
  <c r="K40" i="1"/>
  <c r="AK86" i="2"/>
  <c r="H49" i="1"/>
  <c r="AF35" i="2"/>
  <c r="AH35" i="2" s="1"/>
  <c r="K115" i="2"/>
  <c r="P115" i="2"/>
  <c r="AQ115" i="2" s="1"/>
  <c r="N115" i="2"/>
  <c r="AO115" i="2" s="1"/>
  <c r="AM115" i="2"/>
  <c r="O115" i="2"/>
  <c r="AP115" i="2" s="1"/>
  <c r="M115" i="2"/>
  <c r="Q115" i="2" s="1"/>
  <c r="H115" i="2"/>
  <c r="AF115" i="2" s="1"/>
  <c r="AM17" i="2"/>
  <c r="N17" i="2"/>
  <c r="AO17" i="2" s="1"/>
  <c r="K17" i="2"/>
  <c r="M17" i="2"/>
  <c r="Q17" i="2" s="1"/>
  <c r="H17" i="2"/>
  <c r="AN17" i="2"/>
  <c r="AF12" i="2"/>
  <c r="AN99" i="2"/>
  <c r="O9" i="2"/>
  <c r="AP9" i="2" s="1"/>
  <c r="M9" i="2"/>
  <c r="Q9" i="2" s="1"/>
  <c r="Q9" i="4" s="1"/>
  <c r="P9" i="2"/>
  <c r="AQ9" i="2" s="1"/>
  <c r="N9" i="2"/>
  <c r="AO9" i="2" s="1"/>
  <c r="K9" i="2"/>
  <c r="AN9" i="2"/>
  <c r="H9" i="2"/>
  <c r="K18" i="2"/>
  <c r="AF8" i="2"/>
  <c r="M28" i="2"/>
  <c r="Q28" i="2" s="1"/>
  <c r="Q15" i="4" s="1"/>
  <c r="AC51" i="2"/>
  <c r="O59" i="2"/>
  <c r="AP59" i="2" s="1"/>
  <c r="AM64" i="2"/>
  <c r="N64" i="2"/>
  <c r="AO64" i="2" s="1"/>
  <c r="P64" i="2"/>
  <c r="AQ64" i="2" s="1"/>
  <c r="O64" i="2"/>
  <c r="AP64" i="2" s="1"/>
  <c r="M64" i="2"/>
  <c r="Q64" i="2" s="1"/>
  <c r="H64" i="2"/>
  <c r="AF64" i="2" s="1"/>
  <c r="AN64" i="2"/>
  <c r="H108" i="2"/>
  <c r="AF108" i="2" s="1"/>
  <c r="AM112" i="2"/>
  <c r="P112" i="2"/>
  <c r="AQ112" i="2" s="1"/>
  <c r="K112" i="2"/>
  <c r="M112" i="2"/>
  <c r="Q112" i="2" s="1"/>
  <c r="AN112" i="2"/>
  <c r="N136" i="2"/>
  <c r="AO136" i="2" s="1"/>
  <c r="AM136" i="2"/>
  <c r="P136" i="2"/>
  <c r="AQ136" i="2" s="1"/>
  <c r="AN136" i="2"/>
  <c r="H136" i="2"/>
  <c r="AF136" i="2" s="1"/>
  <c r="O136" i="2"/>
  <c r="AP136" i="2" s="1"/>
  <c r="M136" i="2"/>
  <c r="Q136" i="2" s="1"/>
  <c r="AK139" i="2"/>
  <c r="AJ139" i="2"/>
  <c r="AH139" i="2"/>
  <c r="AD152" i="2"/>
  <c r="AC152" i="2"/>
  <c r="AH208" i="2"/>
  <c r="AL208" i="2"/>
  <c r="AK208" i="2"/>
  <c r="AJ208" i="2"/>
  <c r="AI208" i="2"/>
  <c r="AB273" i="2"/>
  <c r="AJ296" i="2"/>
  <c r="O24" i="2"/>
  <c r="AP24" i="2" s="1"/>
  <c r="N24" i="2"/>
  <c r="AO24" i="2" s="1"/>
  <c r="M24" i="2"/>
  <c r="Q24" i="2" s="1"/>
  <c r="Q14" i="4" s="1"/>
  <c r="H56" i="2"/>
  <c r="AF56" i="2" s="1"/>
  <c r="N56" i="2"/>
  <c r="AO56" i="2" s="1"/>
  <c r="P56" i="2"/>
  <c r="AQ56" i="2" s="1"/>
  <c r="O56" i="2"/>
  <c r="AP56" i="2" s="1"/>
  <c r="M56" i="2"/>
  <c r="Q56" i="2" s="1"/>
  <c r="AE104" i="2"/>
  <c r="P261" i="2"/>
  <c r="AQ261" i="2" s="1"/>
  <c r="AN261" i="2"/>
  <c r="AM261" i="2"/>
  <c r="O261" i="2"/>
  <c r="AP261" i="2" s="1"/>
  <c r="M261" i="2"/>
  <c r="Q261" i="2" s="1"/>
  <c r="K261" i="2"/>
  <c r="H261" i="2"/>
  <c r="AF261" i="2" s="1"/>
  <c r="N261" i="2"/>
  <c r="AO261" i="2" s="1"/>
  <c r="H485" i="2"/>
  <c r="AF485" i="2" s="1"/>
  <c r="P485" i="2"/>
  <c r="AQ485" i="2" s="1"/>
  <c r="N485" i="2"/>
  <c r="AO485" i="2" s="1"/>
  <c r="M485" i="2"/>
  <c r="Q485" i="2" s="1"/>
  <c r="AM485" i="2"/>
  <c r="K485" i="2"/>
  <c r="O485" i="2"/>
  <c r="AP485" i="2" s="1"/>
  <c r="AN485" i="2"/>
  <c r="AC61" i="2"/>
  <c r="AB61" i="2"/>
  <c r="AD61" i="2"/>
  <c r="AE61" i="2" s="1"/>
  <c r="E61" i="2"/>
  <c r="AH85" i="2"/>
  <c r="AC97" i="2"/>
  <c r="E97" i="2"/>
  <c r="AD97" i="2"/>
  <c r="AE97" i="2" s="1"/>
  <c r="K103" i="2"/>
  <c r="M103" i="2"/>
  <c r="Q103" i="2" s="1"/>
  <c r="AN103" i="2"/>
  <c r="H103" i="2"/>
  <c r="AF103" i="2" s="1"/>
  <c r="P103" i="2"/>
  <c r="AQ103" i="2" s="1"/>
  <c r="O103" i="2"/>
  <c r="AP103" i="2" s="1"/>
  <c r="N103" i="2"/>
  <c r="AO103" i="2" s="1"/>
  <c r="AH206" i="2"/>
  <c r="AL206" i="2"/>
  <c r="AJ206" i="2"/>
  <c r="AK206" i="2"/>
  <c r="AI206" i="2"/>
  <c r="H318" i="2"/>
  <c r="AF318" i="2" s="1"/>
  <c r="AM318" i="2"/>
  <c r="M318" i="2"/>
  <c r="Q318" i="2" s="1"/>
  <c r="K318" i="2"/>
  <c r="N318" i="2"/>
  <c r="AO318" i="2" s="1"/>
  <c r="O318" i="2"/>
  <c r="AP318" i="2" s="1"/>
  <c r="AN318" i="2"/>
  <c r="P318" i="2"/>
  <c r="AQ318" i="2" s="1"/>
  <c r="AL480" i="2"/>
  <c r="AH480" i="2"/>
  <c r="AJ480" i="2"/>
  <c r="AK480" i="2"/>
  <c r="AI480" i="2"/>
  <c r="O382" i="2"/>
  <c r="AP382" i="2" s="1"/>
  <c r="N382" i="2"/>
  <c r="AO382" i="2" s="1"/>
  <c r="M382" i="2"/>
  <c r="Q382" i="2" s="1"/>
  <c r="AN382" i="2"/>
  <c r="K382" i="2"/>
  <c r="P382" i="2"/>
  <c r="AQ382" i="2" s="1"/>
  <c r="H382" i="2"/>
  <c r="AF382" i="2" s="1"/>
  <c r="AH382" i="2" s="1"/>
  <c r="AM382" i="2"/>
  <c r="AB15" i="2"/>
  <c r="AD15" i="2"/>
  <c r="AE15" i="2" s="1"/>
  <c r="AC15" i="2"/>
  <c r="K67" i="2"/>
  <c r="P67" i="2"/>
  <c r="AQ67" i="2" s="1"/>
  <c r="M67" i="2"/>
  <c r="Q67" i="2" s="1"/>
  <c r="O67" i="2"/>
  <c r="AP67" i="2" s="1"/>
  <c r="H67" i="2"/>
  <c r="AF67" i="2" s="1"/>
  <c r="N67" i="2"/>
  <c r="AO67" i="2" s="1"/>
  <c r="AN67" i="2"/>
  <c r="AC103" i="2"/>
  <c r="E103" i="2"/>
  <c r="AD155" i="2"/>
  <c r="AE155" i="2" s="1"/>
  <c r="E155" i="2"/>
  <c r="AC155" i="2"/>
  <c r="AB155" i="2"/>
  <c r="AE186" i="2"/>
  <c r="L42" i="1"/>
  <c r="P59" i="6"/>
  <c r="P49" i="6"/>
  <c r="P39" i="6"/>
  <c r="P29" i="6"/>
  <c r="P56" i="6"/>
  <c r="P54" i="6"/>
  <c r="P44" i="6"/>
  <c r="P34" i="6"/>
  <c r="P51" i="6"/>
  <c r="P41" i="6"/>
  <c r="P31" i="6"/>
  <c r="P58" i="6"/>
  <c r="P48" i="6"/>
  <c r="P38" i="6"/>
  <c r="P28" i="6"/>
  <c r="P55" i="6"/>
  <c r="P45" i="6"/>
  <c r="P35" i="6"/>
  <c r="P25" i="6"/>
  <c r="P52" i="6"/>
  <c r="P42" i="6"/>
  <c r="P32" i="6"/>
  <c r="P50" i="6"/>
  <c r="P46" i="6"/>
  <c r="P27" i="6"/>
  <c r="P57" i="6"/>
  <c r="P43" i="6"/>
  <c r="P40" i="6"/>
  <c r="P33" i="6"/>
  <c r="P47" i="6"/>
  <c r="P30" i="6"/>
  <c r="P53" i="6"/>
  <c r="P36" i="6"/>
  <c r="P37" i="6"/>
  <c r="P26" i="6"/>
  <c r="AE25" i="2"/>
  <c r="AJ76" i="2"/>
  <c r="AI76" i="2"/>
  <c r="AH76" i="2"/>
  <c r="AI79" i="2"/>
  <c r="AL87" i="2"/>
  <c r="AJ87" i="2"/>
  <c r="K97" i="2"/>
  <c r="P97" i="2"/>
  <c r="AQ97" i="2" s="1"/>
  <c r="AN97" i="2"/>
  <c r="H97" i="2"/>
  <c r="AF97" i="2" s="1"/>
  <c r="M97" i="2"/>
  <c r="Q97" i="2" s="1"/>
  <c r="AM97" i="2"/>
  <c r="AB103" i="2"/>
  <c r="AC111" i="2"/>
  <c r="E111" i="2"/>
  <c r="AD111" i="2"/>
  <c r="AE111" i="2" s="1"/>
  <c r="AB111" i="2"/>
  <c r="AC123" i="2"/>
  <c r="AB123" i="2"/>
  <c r="AD123" i="2"/>
  <c r="E123" i="2"/>
  <c r="AE130" i="2"/>
  <c r="AD151" i="2"/>
  <c r="AE151" i="2" s="1"/>
  <c r="E151" i="2"/>
  <c r="AC151" i="2"/>
  <c r="AB151" i="2"/>
  <c r="AD171" i="2"/>
  <c r="E171" i="2"/>
  <c r="AB171" i="2"/>
  <c r="AC171" i="2"/>
  <c r="N190" i="2"/>
  <c r="AO190" i="2" s="1"/>
  <c r="AN190" i="2"/>
  <c r="M190" i="2"/>
  <c r="Q190" i="2" s="1"/>
  <c r="O190" i="2"/>
  <c r="AP190" i="2" s="1"/>
  <c r="K190" i="2"/>
  <c r="AM190" i="2"/>
  <c r="O209" i="2"/>
  <c r="AP209" i="2" s="1"/>
  <c r="N209" i="2"/>
  <c r="AO209" i="2" s="1"/>
  <c r="M209" i="2"/>
  <c r="Q209" i="2" s="1"/>
  <c r="K209" i="2"/>
  <c r="AN209" i="2"/>
  <c r="AM209" i="2"/>
  <c r="H209" i="2"/>
  <c r="AF209" i="2" s="1"/>
  <c r="AK252" i="2"/>
  <c r="AJ252" i="2"/>
  <c r="AI252" i="2"/>
  <c r="AH252" i="2"/>
  <c r="AL252" i="2"/>
  <c r="AE269" i="2"/>
  <c r="E321" i="2"/>
  <c r="AC321" i="2"/>
  <c r="AD321" i="2"/>
  <c r="AB321" i="2"/>
  <c r="AK329" i="2"/>
  <c r="AJ329" i="2"/>
  <c r="AH329" i="2"/>
  <c r="AL329" i="2"/>
  <c r="AI329" i="2"/>
  <c r="AK382" i="2"/>
  <c r="AI382" i="2"/>
  <c r="AJ382" i="2"/>
  <c r="AL382" i="2"/>
  <c r="AB53" i="2"/>
  <c r="AD53" i="2"/>
  <c r="AC53" i="2"/>
  <c r="AD103" i="2"/>
  <c r="AE103" i="2" s="1"/>
  <c r="K111" i="2"/>
  <c r="M111" i="2"/>
  <c r="Q111" i="2" s="1"/>
  <c r="AN111" i="2"/>
  <c r="H111" i="2"/>
  <c r="AF111" i="2" s="1"/>
  <c r="O111" i="2"/>
  <c r="AP111" i="2" s="1"/>
  <c r="N111" i="2"/>
  <c r="AO111" i="2" s="1"/>
  <c r="AM111" i="2"/>
  <c r="K123" i="2"/>
  <c r="P123" i="2"/>
  <c r="AQ123" i="2" s="1"/>
  <c r="N123" i="2"/>
  <c r="AO123" i="2" s="1"/>
  <c r="AM123" i="2"/>
  <c r="O123" i="2"/>
  <c r="AP123" i="2" s="1"/>
  <c r="AK168" i="2"/>
  <c r="AH168" i="2"/>
  <c r="AI168" i="2"/>
  <c r="O171" i="2"/>
  <c r="AP171" i="2" s="1"/>
  <c r="AM171" i="2"/>
  <c r="H171" i="2"/>
  <c r="AF171" i="2" s="1"/>
  <c r="P171" i="2"/>
  <c r="AQ171" i="2" s="1"/>
  <c r="N171" i="2"/>
  <c r="AO171" i="2" s="1"/>
  <c r="AN171" i="2"/>
  <c r="K171" i="2"/>
  <c r="AJ263" i="2"/>
  <c r="AI263" i="2"/>
  <c r="AL263" i="2"/>
  <c r="AH263" i="2"/>
  <c r="AJ268" i="2"/>
  <c r="AK268" i="2"/>
  <c r="AI268" i="2"/>
  <c r="AL268" i="2"/>
  <c r="AH268" i="2"/>
  <c r="P388" i="2"/>
  <c r="AQ388" i="2" s="1"/>
  <c r="N388" i="2"/>
  <c r="AO388" i="2" s="1"/>
  <c r="M388" i="2"/>
  <c r="Q388" i="2" s="1"/>
  <c r="H388" i="2"/>
  <c r="AF388" i="2" s="1"/>
  <c r="K388" i="2"/>
  <c r="AM388" i="2"/>
  <c r="AN388" i="2"/>
  <c r="O388" i="2"/>
  <c r="AP388" i="2" s="1"/>
  <c r="O14" i="2"/>
  <c r="AP14" i="2" s="1"/>
  <c r="N14" i="2"/>
  <c r="AO14" i="2" s="1"/>
  <c r="AM14" i="2"/>
  <c r="AF31" i="2"/>
  <c r="AK40" i="2"/>
  <c r="AJ40" i="2"/>
  <c r="AI40" i="2"/>
  <c r="K53" i="2"/>
  <c r="P53" i="2"/>
  <c r="AQ53" i="2" s="1"/>
  <c r="O53" i="2"/>
  <c r="AP53" i="2" s="1"/>
  <c r="AN53" i="2"/>
  <c r="AM53" i="2"/>
  <c r="AH62" i="2"/>
  <c r="AC71" i="2"/>
  <c r="AD71" i="2"/>
  <c r="AE71" i="2" s="1"/>
  <c r="AB71" i="2"/>
  <c r="AE120" i="2"/>
  <c r="N134" i="2"/>
  <c r="AO134" i="2" s="1"/>
  <c r="AM134" i="2"/>
  <c r="P134" i="2"/>
  <c r="AQ134" i="2" s="1"/>
  <c r="O134" i="2"/>
  <c r="AP134" i="2" s="1"/>
  <c r="M134" i="2"/>
  <c r="Q134" i="2" s="1"/>
  <c r="AN134" i="2"/>
  <c r="AD144" i="2"/>
  <c r="AE144" i="2" s="1"/>
  <c r="E144" i="2"/>
  <c r="AC209" i="2"/>
  <c r="AE209" i="2" s="1"/>
  <c r="E227" i="2"/>
  <c r="AD227" i="2"/>
  <c r="AB227" i="2"/>
  <c r="AC227" i="2"/>
  <c r="AI284" i="2"/>
  <c r="AH284" i="2"/>
  <c r="AL284" i="2"/>
  <c r="E311" i="2"/>
  <c r="AD311" i="2"/>
  <c r="AE311" i="2" s="1"/>
  <c r="AC311" i="2"/>
  <c r="AB311" i="2"/>
  <c r="P14" i="4"/>
  <c r="R14" i="4" s="1"/>
  <c r="AE28" i="2"/>
  <c r="AL79" i="2"/>
  <c r="AH79" i="2"/>
  <c r="AJ79" i="2"/>
  <c r="K137" i="2"/>
  <c r="AN137" i="2"/>
  <c r="H137" i="2"/>
  <c r="AF137" i="2" s="1"/>
  <c r="P137" i="2"/>
  <c r="AQ137" i="2" s="1"/>
  <c r="O137" i="2"/>
  <c r="AP137" i="2" s="1"/>
  <c r="N137" i="2"/>
  <c r="AO137" i="2" s="1"/>
  <c r="M137" i="2"/>
  <c r="Q137" i="2" s="1"/>
  <c r="AD14" i="2"/>
  <c r="AE14" i="2" s="1"/>
  <c r="AC14" i="2"/>
  <c r="M43" i="1"/>
  <c r="O43" i="1"/>
  <c r="L43" i="1"/>
  <c r="P9" i="4"/>
  <c r="R9" i="4" s="1"/>
  <c r="N13" i="2"/>
  <c r="AO13" i="2" s="1"/>
  <c r="K13" i="2"/>
  <c r="M13" i="2"/>
  <c r="Q13" i="2" s="1"/>
  <c r="Q11" i="4" s="1"/>
  <c r="AM13" i="2"/>
  <c r="AN13" i="2"/>
  <c r="W14" i="3" s="1"/>
  <c r="H13" i="2"/>
  <c r="AB14" i="2"/>
  <c r="AF19" i="2"/>
  <c r="W20" i="2"/>
  <c r="O22" i="2"/>
  <c r="AP22" i="2" s="1"/>
  <c r="N22" i="2"/>
  <c r="AO22" i="2" s="1"/>
  <c r="T10" i="3" s="1"/>
  <c r="H22" i="2"/>
  <c r="AM22" i="2"/>
  <c r="AN22" i="2"/>
  <c r="K39" i="2"/>
  <c r="O39" i="2"/>
  <c r="AP39" i="2" s="1"/>
  <c r="N39" i="2"/>
  <c r="AO39" i="2" s="1"/>
  <c r="P39" i="2"/>
  <c r="AQ39" i="2" s="1"/>
  <c r="AN39" i="2"/>
  <c r="AM39" i="2"/>
  <c r="AM56" i="2"/>
  <c r="AB60" i="2"/>
  <c r="E60" i="2"/>
  <c r="AC60" i="2"/>
  <c r="AE60" i="2" s="1"/>
  <c r="AB66" i="2"/>
  <c r="E66" i="2"/>
  <c r="K71" i="2"/>
  <c r="M71" i="2"/>
  <c r="Q71" i="2" s="1"/>
  <c r="O71" i="2"/>
  <c r="AP71" i="2" s="1"/>
  <c r="N71" i="2"/>
  <c r="AO71" i="2" s="1"/>
  <c r="H71" i="2"/>
  <c r="AF71" i="2" s="1"/>
  <c r="AN71" i="2"/>
  <c r="AM71" i="2"/>
  <c r="AK76" i="2"/>
  <c r="AM137" i="2"/>
  <c r="AN144" i="2"/>
  <c r="M144" i="2"/>
  <c r="Q144" i="2" s="1"/>
  <c r="P144" i="2"/>
  <c r="AQ144" i="2" s="1"/>
  <c r="N144" i="2"/>
  <c r="AO144" i="2" s="1"/>
  <c r="H144" i="2"/>
  <c r="AF144" i="2" s="1"/>
  <c r="AM144" i="2"/>
  <c r="O144" i="2"/>
  <c r="AP144" i="2" s="1"/>
  <c r="K144" i="2"/>
  <c r="AJ168" i="2"/>
  <c r="AK202" i="2"/>
  <c r="AI202" i="2"/>
  <c r="AH202" i="2"/>
  <c r="AL202" i="2"/>
  <c r="AJ202" i="2"/>
  <c r="P227" i="2"/>
  <c r="AQ227" i="2" s="1"/>
  <c r="AM227" i="2"/>
  <c r="H227" i="2"/>
  <c r="AF227" i="2" s="1"/>
  <c r="AN227" i="2"/>
  <c r="K227" i="2"/>
  <c r="N244" i="2"/>
  <c r="AO244" i="2" s="1"/>
  <c r="K244" i="2"/>
  <c r="H244" i="2"/>
  <c r="AF244" i="2" s="1"/>
  <c r="AL244" i="2" s="1"/>
  <c r="AN244" i="2"/>
  <c r="AM244" i="2"/>
  <c r="AB367" i="2"/>
  <c r="E367" i="2"/>
  <c r="AD367" i="2"/>
  <c r="AC367" i="2"/>
  <c r="AK373" i="2"/>
  <c r="AH373" i="2"/>
  <c r="AI373" i="2"/>
  <c r="AJ373" i="2"/>
  <c r="AE457" i="2"/>
  <c r="AB54" i="2"/>
  <c r="AD54" i="2"/>
  <c r="AE54" i="2" s="1"/>
  <c r="AC54" i="2"/>
  <c r="AM114" i="2"/>
  <c r="H114" i="2"/>
  <c r="AF114" i="2" s="1"/>
  <c r="AN114" i="2"/>
  <c r="M114" i="2"/>
  <c r="Q114" i="2" s="1"/>
  <c r="K114" i="2"/>
  <c r="K23" i="2"/>
  <c r="AM23" i="2"/>
  <c r="AB13" i="2"/>
  <c r="AB22" i="2"/>
  <c r="AH23" i="2"/>
  <c r="K37" i="2"/>
  <c r="AN37" i="2"/>
  <c r="Y19" i="1" s="1"/>
  <c r="AM37" i="2"/>
  <c r="H37" i="2"/>
  <c r="AF37" i="2" s="1"/>
  <c r="AL37" i="2" s="1"/>
  <c r="P37" i="2"/>
  <c r="AQ37" i="2" s="1"/>
  <c r="O37" i="2"/>
  <c r="AP37" i="2" s="1"/>
  <c r="N37" i="2"/>
  <c r="AO37" i="2" s="1"/>
  <c r="M37" i="2"/>
  <c r="Q37" i="2" s="1"/>
  <c r="AB38" i="2"/>
  <c r="AD38" i="2"/>
  <c r="AE38" i="2" s="1"/>
  <c r="E38" i="2"/>
  <c r="AL40" i="2"/>
  <c r="AB52" i="2"/>
  <c r="E52" i="2"/>
  <c r="AN56" i="2"/>
  <c r="AM66" i="2"/>
  <c r="H66" i="2"/>
  <c r="AF66" i="2" s="1"/>
  <c r="N66" i="2"/>
  <c r="AO66" i="2" s="1"/>
  <c r="M66" i="2"/>
  <c r="Q66" i="2" s="1"/>
  <c r="O66" i="2"/>
  <c r="AP66" i="2" s="1"/>
  <c r="K66" i="2"/>
  <c r="AL76" i="2"/>
  <c r="K113" i="2"/>
  <c r="P113" i="2"/>
  <c r="AQ113" i="2" s="1"/>
  <c r="AN113" i="2"/>
  <c r="H113" i="2"/>
  <c r="AF113" i="2" s="1"/>
  <c r="AH113" i="2" s="1"/>
  <c r="AM113" i="2"/>
  <c r="AN123" i="2"/>
  <c r="N128" i="2"/>
  <c r="AO128" i="2" s="1"/>
  <c r="AM128" i="2"/>
  <c r="K128" i="2"/>
  <c r="H128" i="2"/>
  <c r="AF128" i="2" s="1"/>
  <c r="AK128" i="2" s="1"/>
  <c r="AN128" i="2"/>
  <c r="O128" i="2"/>
  <c r="AP128" i="2" s="1"/>
  <c r="P128" i="2"/>
  <c r="AQ128" i="2" s="1"/>
  <c r="M128" i="2"/>
  <c r="Q128" i="2" s="1"/>
  <c r="AB154" i="2"/>
  <c r="AD154" i="2"/>
  <c r="AE154" i="2" s="1"/>
  <c r="AL168" i="2"/>
  <c r="AK263" i="2"/>
  <c r="E267" i="2"/>
  <c r="AD267" i="2"/>
  <c r="AE267" i="2" s="1"/>
  <c r="AC267" i="2"/>
  <c r="AB267" i="2"/>
  <c r="AM283" i="2"/>
  <c r="H283" i="2"/>
  <c r="AF283" i="2" s="1"/>
  <c r="K283" i="2"/>
  <c r="P283" i="2"/>
  <c r="AQ283" i="2" s="1"/>
  <c r="O283" i="2"/>
  <c r="AP283" i="2" s="1"/>
  <c r="N283" i="2"/>
  <c r="AO283" i="2" s="1"/>
  <c r="M283" i="2"/>
  <c r="Q283" i="2" s="1"/>
  <c r="E337" i="2"/>
  <c r="AB337" i="2"/>
  <c r="AD337" i="2"/>
  <c r="AE337" i="2" s="1"/>
  <c r="AE371" i="2"/>
  <c r="AJ230" i="2"/>
  <c r="AH230" i="2"/>
  <c r="AL230" i="2"/>
  <c r="AK230" i="2"/>
  <c r="M267" i="2"/>
  <c r="Q267" i="2" s="1"/>
  <c r="O267" i="2"/>
  <c r="AP267" i="2" s="1"/>
  <c r="P267" i="2"/>
  <c r="AQ267" i="2" s="1"/>
  <c r="N267" i="2"/>
  <c r="AO267" i="2" s="1"/>
  <c r="K267" i="2"/>
  <c r="H267" i="2"/>
  <c r="AF267" i="2" s="1"/>
  <c r="AI272" i="2"/>
  <c r="AH272" i="2"/>
  <c r="AL272" i="2"/>
  <c r="AK272" i="2"/>
  <c r="AJ272" i="2"/>
  <c r="AE299" i="2"/>
  <c r="AE388" i="2"/>
  <c r="K393" i="2"/>
  <c r="AN393" i="2"/>
  <c r="H393" i="2"/>
  <c r="AF393" i="2" s="1"/>
  <c r="AM393" i="2"/>
  <c r="O393" i="2"/>
  <c r="AP393" i="2" s="1"/>
  <c r="P393" i="2"/>
  <c r="AQ393" i="2" s="1"/>
  <c r="AH410" i="2"/>
  <c r="M40" i="2"/>
  <c r="Q40" i="2" s="1"/>
  <c r="AM40" i="2"/>
  <c r="H40" i="2"/>
  <c r="AF40" i="2" s="1"/>
  <c r="AH40" i="2" s="1"/>
  <c r="P60" i="2"/>
  <c r="AQ60" i="2" s="1"/>
  <c r="O60" i="2"/>
  <c r="AP60" i="2" s="1"/>
  <c r="AB72" i="2"/>
  <c r="E72" i="2"/>
  <c r="AC75" i="2"/>
  <c r="AD75" i="2"/>
  <c r="AE75" i="2" s="1"/>
  <c r="AC107" i="2"/>
  <c r="AB107" i="2"/>
  <c r="AD107" i="2"/>
  <c r="AE107" i="2" s="1"/>
  <c r="E107" i="2"/>
  <c r="AD158" i="2"/>
  <c r="AC158" i="2"/>
  <c r="AB158" i="2"/>
  <c r="AJ184" i="2"/>
  <c r="AH184" i="2"/>
  <c r="AD199" i="2"/>
  <c r="E199" i="2"/>
  <c r="AC212" i="2"/>
  <c r="E212" i="2"/>
  <c r="N216" i="2"/>
  <c r="AO216" i="2" s="1"/>
  <c r="AN216" i="2"/>
  <c r="M216" i="2"/>
  <c r="Q216" i="2" s="1"/>
  <c r="O216" i="2"/>
  <c r="AP216" i="2" s="1"/>
  <c r="AM216" i="2"/>
  <c r="AH228" i="2"/>
  <c r="AK228" i="2"/>
  <c r="AJ228" i="2"/>
  <c r="AL228" i="2"/>
  <c r="AI228" i="2"/>
  <c r="AJ229" i="2"/>
  <c r="AL229" i="2"/>
  <c r="AI229" i="2"/>
  <c r="AL238" i="2"/>
  <c r="AJ238" i="2"/>
  <c r="AK238" i="2"/>
  <c r="AI238" i="2"/>
  <c r="AH238" i="2"/>
  <c r="AH302" i="2"/>
  <c r="AK302" i="2"/>
  <c r="AL302" i="2"/>
  <c r="AJ302" i="2"/>
  <c r="K383" i="2"/>
  <c r="N383" i="2"/>
  <c r="AO383" i="2" s="1"/>
  <c r="M383" i="2"/>
  <c r="Q383" i="2" s="1"/>
  <c r="AM383" i="2"/>
  <c r="AN383" i="2"/>
  <c r="P383" i="2"/>
  <c r="AQ383" i="2" s="1"/>
  <c r="O383" i="2"/>
  <c r="AP383" i="2" s="1"/>
  <c r="H383" i="2"/>
  <c r="AF383" i="2" s="1"/>
  <c r="AM434" i="2"/>
  <c r="O434" i="2"/>
  <c r="AP434" i="2" s="1"/>
  <c r="P434" i="2"/>
  <c r="AQ434" i="2" s="1"/>
  <c r="N434" i="2"/>
  <c r="AO434" i="2" s="1"/>
  <c r="M434" i="2"/>
  <c r="Q434" i="2" s="1"/>
  <c r="K434" i="2"/>
  <c r="H434" i="2"/>
  <c r="AF434" i="2" s="1"/>
  <c r="E38" i="1"/>
  <c r="O29" i="2"/>
  <c r="AP29" i="2" s="1"/>
  <c r="H29" i="2"/>
  <c r="K73" i="2"/>
  <c r="AN73" i="2"/>
  <c r="H73" i="2"/>
  <c r="AF73" i="2" s="1"/>
  <c r="AH73" i="2" s="1"/>
  <c r="K75" i="2"/>
  <c r="P75" i="2"/>
  <c r="AQ75" i="2" s="1"/>
  <c r="N75" i="2"/>
  <c r="AO75" i="2" s="1"/>
  <c r="M75" i="2"/>
  <c r="Q75" i="2" s="1"/>
  <c r="AB76" i="2"/>
  <c r="E76" i="2"/>
  <c r="K107" i="2"/>
  <c r="P107" i="2"/>
  <c r="AQ107" i="2" s="1"/>
  <c r="N107" i="2"/>
  <c r="AO107" i="2" s="1"/>
  <c r="AN107" i="2"/>
  <c r="AM107" i="2"/>
  <c r="O107" i="2"/>
  <c r="AP107" i="2" s="1"/>
  <c r="E130" i="2"/>
  <c r="AB142" i="2"/>
  <c r="AD142" i="2"/>
  <c r="AC142" i="2"/>
  <c r="AH153" i="2"/>
  <c r="N188" i="2"/>
  <c r="AO188" i="2" s="1"/>
  <c r="AN188" i="2"/>
  <c r="M188" i="2"/>
  <c r="Q188" i="2" s="1"/>
  <c r="O199" i="2"/>
  <c r="AP199" i="2" s="1"/>
  <c r="P199" i="2"/>
  <c r="AQ199" i="2" s="1"/>
  <c r="H199" i="2"/>
  <c r="AF199" i="2" s="1"/>
  <c r="N199" i="2"/>
  <c r="AO199" i="2" s="1"/>
  <c r="M199" i="2"/>
  <c r="Q199" i="2" s="1"/>
  <c r="K199" i="2"/>
  <c r="AN199" i="2"/>
  <c r="E208" i="2"/>
  <c r="AB208" i="2"/>
  <c r="AE259" i="2"/>
  <c r="E204" i="2"/>
  <c r="AD204" i="2"/>
  <c r="AE204" i="2" s="1"/>
  <c r="AC204" i="2"/>
  <c r="AB204" i="2"/>
  <c r="AL270" i="2"/>
  <c r="AJ270" i="2"/>
  <c r="AK270" i="2"/>
  <c r="AI270" i="2"/>
  <c r="O8" i="2"/>
  <c r="AP8" i="2" s="1"/>
  <c r="N8" i="2"/>
  <c r="AO8" i="2" s="1"/>
  <c r="AC29" i="2"/>
  <c r="E180" i="2"/>
  <c r="AD180" i="2"/>
  <c r="AC180" i="2"/>
  <c r="AB180" i="2"/>
  <c r="AD212" i="2"/>
  <c r="AE212" i="2" s="1"/>
  <c r="AM267" i="2"/>
  <c r="O281" i="2"/>
  <c r="AP281" i="2" s="1"/>
  <c r="M281" i="2"/>
  <c r="Q281" i="2" s="1"/>
  <c r="N281" i="2"/>
  <c r="AO281" i="2" s="1"/>
  <c r="K281" i="2"/>
  <c r="AN281" i="2"/>
  <c r="H281" i="2"/>
  <c r="AF281" i="2" s="1"/>
  <c r="AI302" i="2"/>
  <c r="AJ444" i="2"/>
  <c r="AH444" i="2"/>
  <c r="AL444" i="2"/>
  <c r="AK444" i="2"/>
  <c r="AI444" i="2"/>
  <c r="H507" i="2"/>
  <c r="AF507" i="2" s="1"/>
  <c r="N507" i="2"/>
  <c r="AO507" i="2" s="1"/>
  <c r="AN507" i="2"/>
  <c r="M507" i="2"/>
  <c r="Q507" i="2" s="1"/>
  <c r="AM507" i="2"/>
  <c r="P507" i="2"/>
  <c r="AQ507" i="2" s="1"/>
  <c r="O507" i="2"/>
  <c r="AP507" i="2" s="1"/>
  <c r="K507" i="2"/>
  <c r="AM76" i="2"/>
  <c r="O76" i="2"/>
  <c r="AP76" i="2" s="1"/>
  <c r="N76" i="2"/>
  <c r="AO76" i="2" s="1"/>
  <c r="K76" i="2"/>
  <c r="AB84" i="2"/>
  <c r="AC84" i="2"/>
  <c r="AB122" i="2"/>
  <c r="E122" i="2"/>
  <c r="AC122" i="2"/>
  <c r="AI323" i="2"/>
  <c r="AH323" i="2"/>
  <c r="AK323" i="2"/>
  <c r="AJ323" i="2"/>
  <c r="P412" i="2"/>
  <c r="AQ412" i="2" s="1"/>
  <c r="M412" i="2"/>
  <c r="Q412" i="2" s="1"/>
  <c r="O412" i="2"/>
  <c r="AP412" i="2" s="1"/>
  <c r="N412" i="2"/>
  <c r="AO412" i="2" s="1"/>
  <c r="H412" i="2"/>
  <c r="AF412" i="2" s="1"/>
  <c r="K41" i="2"/>
  <c r="AM41" i="2"/>
  <c r="H41" i="2"/>
  <c r="AF41" i="2" s="1"/>
  <c r="AC47" i="2"/>
  <c r="AE47" i="2" s="1"/>
  <c r="AD72" i="2"/>
  <c r="AE72" i="2" s="1"/>
  <c r="AL73" i="2"/>
  <c r="AC77" i="2"/>
  <c r="AB77" i="2"/>
  <c r="E77" i="2"/>
  <c r="AC83" i="2"/>
  <c r="AD83" i="2"/>
  <c r="AE83" i="2" s="1"/>
  <c r="AM84" i="2"/>
  <c r="O84" i="2"/>
  <c r="AP84" i="2" s="1"/>
  <c r="N84" i="2"/>
  <c r="AO84" i="2" s="1"/>
  <c r="AM122" i="2"/>
  <c r="H122" i="2"/>
  <c r="AF122" i="2" s="1"/>
  <c r="AN122" i="2"/>
  <c r="AK184" i="2"/>
  <c r="AC199" i="2"/>
  <c r="AD211" i="2"/>
  <c r="E211" i="2"/>
  <c r="AH229" i="2"/>
  <c r="E235" i="2"/>
  <c r="AD235" i="2"/>
  <c r="AE235" i="2" s="1"/>
  <c r="AB235" i="2"/>
  <c r="AC235" i="2"/>
  <c r="N258" i="2"/>
  <c r="AO258" i="2" s="1"/>
  <c r="K258" i="2"/>
  <c r="AN258" i="2"/>
  <c r="H258" i="2"/>
  <c r="AF258" i="2" s="1"/>
  <c r="AM258" i="2"/>
  <c r="P258" i="2"/>
  <c r="AQ258" i="2" s="1"/>
  <c r="K38" i="1"/>
  <c r="E50" i="1"/>
  <c r="AD11" i="2"/>
  <c r="AE11" i="2" s="1"/>
  <c r="P12" i="4"/>
  <c r="R12" i="4" s="1"/>
  <c r="R8" i="1" s="1"/>
  <c r="R10" i="1" s="1"/>
  <c r="K83" i="2"/>
  <c r="P83" i="2"/>
  <c r="AQ83" i="2" s="1"/>
  <c r="N83" i="2"/>
  <c r="AO83" i="2" s="1"/>
  <c r="AD84" i="2"/>
  <c r="AE84" i="2" s="1"/>
  <c r="AC121" i="2"/>
  <c r="AD121" i="2"/>
  <c r="AE121" i="2" s="1"/>
  <c r="AD122" i="2"/>
  <c r="AE122" i="2" s="1"/>
  <c r="AI153" i="2"/>
  <c r="AL184" i="2"/>
  <c r="AK229" i="2"/>
  <c r="N233" i="2"/>
  <c r="AO233" i="2" s="1"/>
  <c r="O233" i="2"/>
  <c r="AP233" i="2" s="1"/>
  <c r="M233" i="2"/>
  <c r="Q233" i="2" s="1"/>
  <c r="AM233" i="2"/>
  <c r="K233" i="2"/>
  <c r="H233" i="2"/>
  <c r="AF233" i="2" s="1"/>
  <c r="E241" i="2"/>
  <c r="AD241" i="2"/>
  <c r="AE241" i="2" s="1"/>
  <c r="AB241" i="2"/>
  <c r="AN267" i="2"/>
  <c r="AJ287" i="2"/>
  <c r="AI287" i="2"/>
  <c r="AH287" i="2"/>
  <c r="AK287" i="2"/>
  <c r="AJ292" i="2"/>
  <c r="AI292" i="2"/>
  <c r="AL323" i="2"/>
  <c r="AN351" i="2"/>
  <c r="M351" i="2"/>
  <c r="Q351" i="2" s="1"/>
  <c r="AM351" i="2"/>
  <c r="O351" i="2"/>
  <c r="AP351" i="2" s="1"/>
  <c r="N351" i="2"/>
  <c r="AO351" i="2" s="1"/>
  <c r="H351" i="2"/>
  <c r="AF351" i="2" s="1"/>
  <c r="P351" i="2"/>
  <c r="AQ351" i="2" s="1"/>
  <c r="N364" i="2"/>
  <c r="AO364" i="2" s="1"/>
  <c r="M364" i="2"/>
  <c r="Q364" i="2" s="1"/>
  <c r="AN364" i="2"/>
  <c r="H364" i="2"/>
  <c r="AF364" i="2" s="1"/>
  <c r="AM364" i="2"/>
  <c r="P364" i="2"/>
  <c r="AQ364" i="2" s="1"/>
  <c r="O364" i="2"/>
  <c r="AP364" i="2" s="1"/>
  <c r="AL407" i="2"/>
  <c r="AJ407" i="2"/>
  <c r="AK407" i="2"/>
  <c r="AI407" i="2"/>
  <c r="E493" i="2"/>
  <c r="AC493" i="2"/>
  <c r="AD493" i="2"/>
  <c r="AB493" i="2"/>
  <c r="U17" i="3"/>
  <c r="V17" i="3"/>
  <c r="AD150" i="2"/>
  <c r="AE150" i="2" s="1"/>
  <c r="E150" i="2"/>
  <c r="AB150" i="2"/>
  <c r="L41" i="1"/>
  <c r="O20" i="2"/>
  <c r="AP20" i="2" s="1"/>
  <c r="N20" i="2"/>
  <c r="AO20" i="2" s="1"/>
  <c r="AI73" i="2"/>
  <c r="K79" i="2"/>
  <c r="M79" i="2"/>
  <c r="Q79" i="2" s="1"/>
  <c r="P79" i="2"/>
  <c r="AQ79" i="2" s="1"/>
  <c r="O79" i="2"/>
  <c r="AP79" i="2" s="1"/>
  <c r="AM80" i="2"/>
  <c r="P80" i="2"/>
  <c r="AQ80" i="2" s="1"/>
  <c r="O80" i="2"/>
  <c r="AP80" i="2" s="1"/>
  <c r="N80" i="2"/>
  <c r="AO80" i="2" s="1"/>
  <c r="AC81" i="2"/>
  <c r="E81" i="2"/>
  <c r="AB82" i="2"/>
  <c r="E82" i="2"/>
  <c r="AC82" i="2"/>
  <c r="K91" i="2"/>
  <c r="P91" i="2"/>
  <c r="AQ91" i="2" s="1"/>
  <c r="N91" i="2"/>
  <c r="AO91" i="2" s="1"/>
  <c r="O91" i="2"/>
  <c r="AP91" i="2" s="1"/>
  <c r="AB92" i="2"/>
  <c r="E92" i="2"/>
  <c r="AD92" i="2"/>
  <c r="K101" i="2"/>
  <c r="H101" i="2"/>
  <c r="AF101" i="2" s="1"/>
  <c r="AK101" i="2" s="1"/>
  <c r="AM106" i="2"/>
  <c r="H106" i="2"/>
  <c r="AF106" i="2" s="1"/>
  <c r="M106" i="2"/>
  <c r="Q106" i="2" s="1"/>
  <c r="AM116" i="2"/>
  <c r="O116" i="2"/>
  <c r="AP116" i="2" s="1"/>
  <c r="M116" i="2"/>
  <c r="Q116" i="2" s="1"/>
  <c r="N116" i="2"/>
  <c r="AO116" i="2" s="1"/>
  <c r="K116" i="2"/>
  <c r="AD145" i="2"/>
  <c r="AE145" i="2" s="1"/>
  <c r="AC145" i="2"/>
  <c r="E145" i="2"/>
  <c r="AK153" i="2"/>
  <c r="AN157" i="2"/>
  <c r="AM157" i="2"/>
  <c r="H157" i="2"/>
  <c r="AF157" i="2" s="1"/>
  <c r="P157" i="2"/>
  <c r="AQ157" i="2" s="1"/>
  <c r="AN169" i="2"/>
  <c r="K169" i="2"/>
  <c r="P169" i="2"/>
  <c r="AQ169" i="2" s="1"/>
  <c r="N169" i="2"/>
  <c r="AO169" i="2" s="1"/>
  <c r="H169" i="2"/>
  <c r="AF169" i="2" s="1"/>
  <c r="M169" i="2"/>
  <c r="Q169" i="2" s="1"/>
  <c r="AC211" i="2"/>
  <c r="E223" i="2"/>
  <c r="AC223" i="2"/>
  <c r="AD223" i="2"/>
  <c r="AC241" i="2"/>
  <c r="AL254" i="2"/>
  <c r="AH254" i="2"/>
  <c r="AL287" i="2"/>
  <c r="AN306" i="2"/>
  <c r="AM306" i="2"/>
  <c r="K306" i="2"/>
  <c r="N306" i="2"/>
  <c r="AO306" i="2" s="1"/>
  <c r="M306" i="2"/>
  <c r="Q306" i="2" s="1"/>
  <c r="O306" i="2"/>
  <c r="AP306" i="2" s="1"/>
  <c r="H306" i="2"/>
  <c r="AF306" i="2" s="1"/>
  <c r="AH320" i="2"/>
  <c r="AL320" i="2"/>
  <c r="AK320" i="2"/>
  <c r="AJ320" i="2"/>
  <c r="AI320" i="2"/>
  <c r="AH407" i="2"/>
  <c r="AM412" i="2"/>
  <c r="AB74" i="2"/>
  <c r="E74" i="2"/>
  <c r="AC74" i="2"/>
  <c r="AE74" i="2" s="1"/>
  <c r="AH236" i="2"/>
  <c r="AJ236" i="2"/>
  <c r="AL236" i="2"/>
  <c r="AK236" i="2"/>
  <c r="AI236" i="2"/>
  <c r="O30" i="2"/>
  <c r="AP30" i="2" s="1"/>
  <c r="N30" i="2"/>
  <c r="AO30" i="2" s="1"/>
  <c r="AK35" i="2"/>
  <c r="AB42" i="2"/>
  <c r="E42" i="2"/>
  <c r="AD42" i="2"/>
  <c r="AC42" i="2"/>
  <c r="AM48" i="2"/>
  <c r="K48" i="2"/>
  <c r="N48" i="2"/>
  <c r="AO48" i="2" s="1"/>
  <c r="AB83" i="2"/>
  <c r="K121" i="2"/>
  <c r="P121" i="2"/>
  <c r="AQ121" i="2" s="1"/>
  <c r="AN121" i="2"/>
  <c r="H121" i="2"/>
  <c r="AF121" i="2" s="1"/>
  <c r="AM121" i="2"/>
  <c r="K141" i="2"/>
  <c r="AN141" i="2"/>
  <c r="AM141" i="2"/>
  <c r="P141" i="2"/>
  <c r="AQ141" i="2" s="1"/>
  <c r="AB211" i="2"/>
  <c r="P226" i="2"/>
  <c r="AQ226" i="2" s="1"/>
  <c r="O226" i="2"/>
  <c r="AP226" i="2" s="1"/>
  <c r="M226" i="2"/>
  <c r="Q226" i="2" s="1"/>
  <c r="AN226" i="2"/>
  <c r="AM226" i="2"/>
  <c r="N226" i="2"/>
  <c r="AO226" i="2" s="1"/>
  <c r="AM241" i="2"/>
  <c r="K241" i="2"/>
  <c r="H241" i="2"/>
  <c r="AF241" i="2" s="1"/>
  <c r="AN241" i="2"/>
  <c r="P241" i="2"/>
  <c r="AQ241" i="2" s="1"/>
  <c r="O241" i="2"/>
  <c r="AP241" i="2" s="1"/>
  <c r="M241" i="2"/>
  <c r="Q241" i="2" s="1"/>
  <c r="AI316" i="2"/>
  <c r="AH316" i="2"/>
  <c r="AK316" i="2"/>
  <c r="E387" i="2"/>
  <c r="AC387" i="2"/>
  <c r="AD387" i="2"/>
  <c r="AE387" i="2" s="1"/>
  <c r="AJ415" i="2"/>
  <c r="AK415" i="2"/>
  <c r="AI415" i="2"/>
  <c r="AH415" i="2"/>
  <c r="AN434" i="2"/>
  <c r="H36" i="1"/>
  <c r="I50" i="1"/>
  <c r="M50" i="1" s="1"/>
  <c r="AF27" i="2"/>
  <c r="E34" i="1"/>
  <c r="O41" i="1"/>
  <c r="L47" i="1"/>
  <c r="K50" i="1"/>
  <c r="O12" i="2"/>
  <c r="AP12" i="2" s="1"/>
  <c r="N12" i="2"/>
  <c r="AO12" i="2" s="1"/>
  <c r="T9" i="3" s="1"/>
  <c r="O16" i="2"/>
  <c r="AP16" i="2" s="1"/>
  <c r="N16" i="2"/>
  <c r="AO16" i="2" s="1"/>
  <c r="M16" i="2"/>
  <c r="Q16" i="2" s="1"/>
  <c r="Q13" i="4" s="1"/>
  <c r="AB20" i="2"/>
  <c r="AB25" i="2"/>
  <c r="AC30" i="2"/>
  <c r="AE30" i="2" s="1"/>
  <c r="AD48" i="2"/>
  <c r="AE48" i="2" s="1"/>
  <c r="E49" i="2"/>
  <c r="AD49" i="2"/>
  <c r="AE49" i="2" s="1"/>
  <c r="AB49" i="2"/>
  <c r="AC80" i="2"/>
  <c r="K81" i="2"/>
  <c r="AN81" i="2"/>
  <c r="H81" i="2"/>
  <c r="AF81" i="2" s="1"/>
  <c r="AM81" i="2"/>
  <c r="AM82" i="2"/>
  <c r="H82" i="2"/>
  <c r="AF82" i="2" s="1"/>
  <c r="AN82" i="2"/>
  <c r="AB90" i="2"/>
  <c r="E90" i="2"/>
  <c r="AC90" i="2"/>
  <c r="AE90" i="2" s="1"/>
  <c r="AM92" i="2"/>
  <c r="O92" i="2"/>
  <c r="AP92" i="2" s="1"/>
  <c r="N92" i="2"/>
  <c r="AO92" i="2" s="1"/>
  <c r="K92" i="2"/>
  <c r="AB100" i="2"/>
  <c r="AD100" i="2"/>
  <c r="AE100" i="2" s="1"/>
  <c r="K105" i="2"/>
  <c r="P105" i="2"/>
  <c r="AQ105" i="2" s="1"/>
  <c r="AN105" i="2"/>
  <c r="H105" i="2"/>
  <c r="AF105" i="2" s="1"/>
  <c r="AM105" i="2"/>
  <c r="AC116" i="2"/>
  <c r="AL117" i="2"/>
  <c r="AJ117" i="2"/>
  <c r="AH117" i="2"/>
  <c r="AI117" i="2"/>
  <c r="N130" i="2"/>
  <c r="AO130" i="2" s="1"/>
  <c r="AM130" i="2"/>
  <c r="M130" i="2"/>
  <c r="Q130" i="2" s="1"/>
  <c r="K130" i="2"/>
  <c r="H130" i="2"/>
  <c r="AF130" i="2" s="1"/>
  <c r="AB140" i="2"/>
  <c r="AC140" i="2"/>
  <c r="AE140" i="2" s="1"/>
  <c r="AL153" i="2"/>
  <c r="AH170" i="2"/>
  <c r="AM188" i="2"/>
  <c r="AE195" i="2"/>
  <c r="E210" i="2"/>
  <c r="AC210" i="2"/>
  <c r="AB210" i="2"/>
  <c r="AB218" i="2"/>
  <c r="E225" i="2"/>
  <c r="AD225" i="2"/>
  <c r="AE225" i="2" s="1"/>
  <c r="AJ234" i="2"/>
  <c r="AH234" i="2"/>
  <c r="AL234" i="2"/>
  <c r="AK234" i="2"/>
  <c r="K300" i="2"/>
  <c r="AN300" i="2"/>
  <c r="H300" i="2"/>
  <c r="AF300" i="2" s="1"/>
  <c r="O300" i="2"/>
  <c r="AP300" i="2" s="1"/>
  <c r="M300" i="2"/>
  <c r="Q300" i="2" s="1"/>
  <c r="P300" i="2"/>
  <c r="AQ300" i="2" s="1"/>
  <c r="N300" i="2"/>
  <c r="AO300" i="2" s="1"/>
  <c r="AC319" i="2"/>
  <c r="AE319" i="2" s="1"/>
  <c r="AB319" i="2"/>
  <c r="E319" i="2"/>
  <c r="AB387" i="2"/>
  <c r="AN412" i="2"/>
  <c r="E281" i="2"/>
  <c r="AD281" i="2"/>
  <c r="AC281" i="2"/>
  <c r="AB281" i="2"/>
  <c r="I38" i="1"/>
  <c r="M38" i="1" s="1"/>
  <c r="L38" i="1"/>
  <c r="H50" i="1"/>
  <c r="AD77" i="2"/>
  <c r="AE77" i="2" s="1"/>
  <c r="AL85" i="2"/>
  <c r="AJ85" i="2"/>
  <c r="AI85" i="2"/>
  <c r="AC91" i="2"/>
  <c r="AD91" i="2"/>
  <c r="AE91" i="2" s="1"/>
  <c r="AB106" i="2"/>
  <c r="E106" i="2"/>
  <c r="AC106" i="2"/>
  <c r="AE106" i="2" s="1"/>
  <c r="AL242" i="2"/>
  <c r="AK242" i="2"/>
  <c r="AJ242" i="2"/>
  <c r="AH270" i="2"/>
  <c r="AK317" i="2"/>
  <c r="AJ317" i="2"/>
  <c r="AH317" i="2"/>
  <c r="AL390" i="2"/>
  <c r="I36" i="1"/>
  <c r="K32" i="1"/>
  <c r="M32" i="1" s="1"/>
  <c r="H34" i="1"/>
  <c r="E39" i="1"/>
  <c r="AH24" i="2"/>
  <c r="AC25" i="2"/>
  <c r="K49" i="2"/>
  <c r="H49" i="2"/>
  <c r="AF49" i="2" s="1"/>
  <c r="K55" i="2"/>
  <c r="AN55" i="2"/>
  <c r="AM55" i="2"/>
  <c r="H55" i="2"/>
  <c r="AF55" i="2" s="1"/>
  <c r="AJ55" i="2" s="1"/>
  <c r="AM60" i="2"/>
  <c r="AC63" i="2"/>
  <c r="E63" i="2"/>
  <c r="AD63" i="2"/>
  <c r="AE63" i="2" s="1"/>
  <c r="AK73" i="2"/>
  <c r="AM75" i="2"/>
  <c r="AL78" i="2"/>
  <c r="AD80" i="2"/>
  <c r="AE80" i="2" s="1"/>
  <c r="AB81" i="2"/>
  <c r="AD82" i="2"/>
  <c r="AE82" i="2" s="1"/>
  <c r="AM83" i="2"/>
  <c r="AN84" i="2"/>
  <c r="AK85" i="2"/>
  <c r="AM88" i="2"/>
  <c r="P88" i="2"/>
  <c r="AQ88" i="2" s="1"/>
  <c r="M88" i="2"/>
  <c r="Q88" i="2" s="1"/>
  <c r="K89" i="2"/>
  <c r="AN89" i="2"/>
  <c r="H89" i="2"/>
  <c r="AF89" i="2" s="1"/>
  <c r="AM90" i="2"/>
  <c r="H90" i="2"/>
  <c r="AF90" i="2" s="1"/>
  <c r="O90" i="2"/>
  <c r="AP90" i="2" s="1"/>
  <c r="AC92" i="2"/>
  <c r="AM100" i="2"/>
  <c r="O100" i="2"/>
  <c r="AP100" i="2" s="1"/>
  <c r="N100" i="2"/>
  <c r="AO100" i="2" s="1"/>
  <c r="H100" i="2"/>
  <c r="AF100" i="2" s="1"/>
  <c r="AM104" i="2"/>
  <c r="P104" i="2"/>
  <c r="AQ104" i="2" s="1"/>
  <c r="M104" i="2"/>
  <c r="Q104" i="2" s="1"/>
  <c r="H104" i="2"/>
  <c r="AF104" i="2" s="1"/>
  <c r="N104" i="2"/>
  <c r="AO104" i="2" s="1"/>
  <c r="AB105" i="2"/>
  <c r="AD116" i="2"/>
  <c r="AC130" i="2"/>
  <c r="N140" i="2"/>
  <c r="AO140" i="2" s="1"/>
  <c r="AM140" i="2"/>
  <c r="M140" i="2"/>
  <c r="Q140" i="2" s="1"/>
  <c r="K140" i="2"/>
  <c r="AN140" i="2"/>
  <c r="O140" i="2"/>
  <c r="AP140" i="2" s="1"/>
  <c r="AB145" i="2"/>
  <c r="E198" i="2"/>
  <c r="AC198" i="2"/>
  <c r="AD198" i="2"/>
  <c r="AM199" i="2"/>
  <c r="H221" i="2"/>
  <c r="AF221" i="2" s="1"/>
  <c r="AJ221" i="2" s="1"/>
  <c r="O221" i="2"/>
  <c r="AP221" i="2" s="1"/>
  <c r="M221" i="2"/>
  <c r="Q221" i="2" s="1"/>
  <c r="P221" i="2"/>
  <c r="AQ221" i="2" s="1"/>
  <c r="N221" i="2"/>
  <c r="AO221" i="2" s="1"/>
  <c r="K221" i="2"/>
  <c r="AM221" i="2"/>
  <c r="AB223" i="2"/>
  <c r="AL226" i="2"/>
  <c r="AJ226" i="2"/>
  <c r="AK226" i="2"/>
  <c r="AI226" i="2"/>
  <c r="AH226" i="2"/>
  <c r="AI242" i="2"/>
  <c r="AI248" i="2"/>
  <c r="AH248" i="2"/>
  <c r="AL248" i="2"/>
  <c r="AM281" i="2"/>
  <c r="AJ316" i="2"/>
  <c r="AL317" i="2"/>
  <c r="K77" i="2"/>
  <c r="AN77" i="2"/>
  <c r="K119" i="2"/>
  <c r="M119" i="2"/>
  <c r="Q119" i="2" s="1"/>
  <c r="AN119" i="2"/>
  <c r="H119" i="2"/>
  <c r="AF119" i="2" s="1"/>
  <c r="AL119" i="2" s="1"/>
  <c r="N119" i="2"/>
  <c r="AO119" i="2" s="1"/>
  <c r="AM120" i="2"/>
  <c r="P120" i="2"/>
  <c r="AQ120" i="2" s="1"/>
  <c r="K120" i="2"/>
  <c r="H120" i="2"/>
  <c r="AF120" i="2" s="1"/>
  <c r="AN120" i="2"/>
  <c r="N138" i="2"/>
  <c r="AO138" i="2" s="1"/>
  <c r="AM138" i="2"/>
  <c r="P138" i="2"/>
  <c r="AQ138" i="2" s="1"/>
  <c r="O138" i="2"/>
  <c r="AP138" i="2" s="1"/>
  <c r="M138" i="2"/>
  <c r="Q138" i="2" s="1"/>
  <c r="K138" i="2"/>
  <c r="AN158" i="2"/>
  <c r="M158" i="2"/>
  <c r="Q158" i="2" s="1"/>
  <c r="O158" i="2"/>
  <c r="AP158" i="2" s="1"/>
  <c r="H158" i="2"/>
  <c r="AF158" i="2" s="1"/>
  <c r="K158" i="2"/>
  <c r="E172" i="2"/>
  <c r="AC172" i="2"/>
  <c r="AE172" i="2" s="1"/>
  <c r="N180" i="2"/>
  <c r="AO180" i="2" s="1"/>
  <c r="AN180" i="2"/>
  <c r="M180" i="2"/>
  <c r="Q180" i="2" s="1"/>
  <c r="O180" i="2"/>
  <c r="AP180" i="2" s="1"/>
  <c r="K180" i="2"/>
  <c r="H180" i="2"/>
  <c r="AF180" i="2" s="1"/>
  <c r="AN230" i="2"/>
  <c r="AM230" i="2"/>
  <c r="K230" i="2"/>
  <c r="M230" i="2"/>
  <c r="Q230" i="2" s="1"/>
  <c r="H230" i="2"/>
  <c r="AF230" i="2" s="1"/>
  <c r="AI230" i="2" s="1"/>
  <c r="E245" i="2"/>
  <c r="AC245" i="2"/>
  <c r="AE245" i="2" s="1"/>
  <c r="AB245" i="2"/>
  <c r="E269" i="2"/>
  <c r="AC269" i="2"/>
  <c r="AB269" i="2"/>
  <c r="AN299" i="2"/>
  <c r="M299" i="2"/>
  <c r="Q299" i="2" s="1"/>
  <c r="AM299" i="2"/>
  <c r="K299" i="2"/>
  <c r="H299" i="2"/>
  <c r="AF299" i="2" s="1"/>
  <c r="N299" i="2"/>
  <c r="AO299" i="2" s="1"/>
  <c r="P299" i="2"/>
  <c r="AQ299" i="2" s="1"/>
  <c r="O299" i="2"/>
  <c r="AP299" i="2" s="1"/>
  <c r="AD314" i="2"/>
  <c r="E314" i="2"/>
  <c r="AB314" i="2"/>
  <c r="AC314" i="2"/>
  <c r="P322" i="2"/>
  <c r="AQ322" i="2" s="1"/>
  <c r="O322" i="2"/>
  <c r="AP322" i="2" s="1"/>
  <c r="AM322" i="2"/>
  <c r="N322" i="2"/>
  <c r="AO322" i="2" s="1"/>
  <c r="K322" i="2"/>
  <c r="H322" i="2"/>
  <c r="AF322" i="2" s="1"/>
  <c r="AN322" i="2"/>
  <c r="AN349" i="2"/>
  <c r="M349" i="2"/>
  <c r="Q349" i="2" s="1"/>
  <c r="AM349" i="2"/>
  <c r="P349" i="2"/>
  <c r="AQ349" i="2" s="1"/>
  <c r="H349" i="2"/>
  <c r="AF349" i="2" s="1"/>
  <c r="O349" i="2"/>
  <c r="AP349" i="2" s="1"/>
  <c r="N349" i="2"/>
  <c r="AO349" i="2" s="1"/>
  <c r="K349" i="2"/>
  <c r="AI408" i="2"/>
  <c r="AH408" i="2"/>
  <c r="AK408" i="2"/>
  <c r="AJ408" i="2"/>
  <c r="V44" i="3"/>
  <c r="U44" i="3"/>
  <c r="V47" i="3"/>
  <c r="U47" i="3"/>
  <c r="N292" i="2"/>
  <c r="AO292" i="2" s="1"/>
  <c r="AN292" i="2"/>
  <c r="M292" i="2"/>
  <c r="Q292" i="2" s="1"/>
  <c r="H292" i="2"/>
  <c r="AF292" i="2" s="1"/>
  <c r="AL292" i="2" s="1"/>
  <c r="P292" i="2"/>
  <c r="AQ292" i="2" s="1"/>
  <c r="AM292" i="2"/>
  <c r="AN314" i="2"/>
  <c r="AM314" i="2"/>
  <c r="O314" i="2"/>
  <c r="AP314" i="2" s="1"/>
  <c r="M314" i="2"/>
  <c r="Q314" i="2" s="1"/>
  <c r="E353" i="2"/>
  <c r="AC353" i="2"/>
  <c r="AB353" i="2"/>
  <c r="AD353" i="2"/>
  <c r="AE353" i="2" s="1"/>
  <c r="AN390" i="2"/>
  <c r="K390" i="2"/>
  <c r="AM390" i="2"/>
  <c r="H390" i="2"/>
  <c r="AF390" i="2" s="1"/>
  <c r="AJ390" i="2" s="1"/>
  <c r="P390" i="2"/>
  <c r="AQ390" i="2" s="1"/>
  <c r="M390" i="2"/>
  <c r="Q390" i="2" s="1"/>
  <c r="N390" i="2"/>
  <c r="AO390" i="2" s="1"/>
  <c r="O390" i="2"/>
  <c r="AP390" i="2" s="1"/>
  <c r="K95" i="2"/>
  <c r="M95" i="2"/>
  <c r="Q95" i="2" s="1"/>
  <c r="P95" i="2"/>
  <c r="AQ95" i="2" s="1"/>
  <c r="AL139" i="2"/>
  <c r="AL141" i="2"/>
  <c r="AK141" i="2"/>
  <c r="AI141" i="2"/>
  <c r="AJ141" i="2"/>
  <c r="AH141" i="2"/>
  <c r="P151" i="2"/>
  <c r="AQ151" i="2" s="1"/>
  <c r="N151" i="2"/>
  <c r="AO151" i="2" s="1"/>
  <c r="H151" i="2"/>
  <c r="AF151" i="2" s="1"/>
  <c r="AM151" i="2"/>
  <c r="AN151" i="2"/>
  <c r="O151" i="2"/>
  <c r="AP151" i="2" s="1"/>
  <c r="M151" i="2"/>
  <c r="Q151" i="2" s="1"/>
  <c r="K151" i="2"/>
  <c r="AN156" i="2"/>
  <c r="M156" i="2"/>
  <c r="Q156" i="2" s="1"/>
  <c r="N156" i="2"/>
  <c r="AO156" i="2" s="1"/>
  <c r="AM156" i="2"/>
  <c r="K156" i="2"/>
  <c r="P156" i="2"/>
  <c r="AQ156" i="2" s="1"/>
  <c r="AJ178" i="2"/>
  <c r="AH178" i="2"/>
  <c r="AD187" i="2"/>
  <c r="AE187" i="2" s="1"/>
  <c r="AC187" i="2"/>
  <c r="E187" i="2"/>
  <c r="AB187" i="2"/>
  <c r="AC216" i="2"/>
  <c r="AB216" i="2"/>
  <c r="AD216" i="2"/>
  <c r="AE216" i="2" s="1"/>
  <c r="AJ262" i="2"/>
  <c r="AI262" i="2"/>
  <c r="AH262" i="2"/>
  <c r="AE285" i="2"/>
  <c r="AB379" i="2"/>
  <c r="E379" i="2"/>
  <c r="AD379" i="2"/>
  <c r="AE379" i="2" s="1"/>
  <c r="AN150" i="2"/>
  <c r="M150" i="2"/>
  <c r="Q150" i="2" s="1"/>
  <c r="AM150" i="2"/>
  <c r="K150" i="2"/>
  <c r="P150" i="2"/>
  <c r="AQ150" i="2" s="1"/>
  <c r="N150" i="2"/>
  <c r="AO150" i="2" s="1"/>
  <c r="O150" i="2"/>
  <c r="AP150" i="2" s="1"/>
  <c r="H150" i="2"/>
  <c r="AF150" i="2" s="1"/>
  <c r="AN154" i="2"/>
  <c r="M154" i="2"/>
  <c r="Q154" i="2" s="1"/>
  <c r="H154" i="2"/>
  <c r="AF154" i="2" s="1"/>
  <c r="O154" i="2"/>
  <c r="AP154" i="2" s="1"/>
  <c r="N154" i="2"/>
  <c r="AO154" i="2" s="1"/>
  <c r="AM154" i="2"/>
  <c r="AC192" i="2"/>
  <c r="AD192" i="2"/>
  <c r="AB192" i="2"/>
  <c r="E200" i="2"/>
  <c r="AD200" i="2"/>
  <c r="AE200" i="2" s="1"/>
  <c r="AB200" i="2"/>
  <c r="N210" i="2"/>
  <c r="AO210" i="2" s="1"/>
  <c r="AN210" i="2"/>
  <c r="M210" i="2"/>
  <c r="Q210" i="2" s="1"/>
  <c r="K210" i="2"/>
  <c r="H210" i="2"/>
  <c r="AF210" i="2" s="1"/>
  <c r="AM210" i="2"/>
  <c r="O219" i="2"/>
  <c r="AP219" i="2" s="1"/>
  <c r="AN219" i="2"/>
  <c r="P219" i="2"/>
  <c r="AQ219" i="2" s="1"/>
  <c r="H219" i="2"/>
  <c r="AF219" i="2" s="1"/>
  <c r="AJ237" i="2"/>
  <c r="AH237" i="2"/>
  <c r="AL237" i="2"/>
  <c r="AK237" i="2"/>
  <c r="AJ244" i="2"/>
  <c r="AK244" i="2"/>
  <c r="AH244" i="2"/>
  <c r="P253" i="2"/>
  <c r="AQ253" i="2" s="1"/>
  <c r="K253" i="2"/>
  <c r="AN253" i="2"/>
  <c r="AM253" i="2"/>
  <c r="AL262" i="2"/>
  <c r="AJ277" i="2"/>
  <c r="AI277" i="2"/>
  <c r="AL277" i="2"/>
  <c r="AK277" i="2"/>
  <c r="E345" i="2"/>
  <c r="AC345" i="2"/>
  <c r="AB345" i="2"/>
  <c r="AD345" i="2"/>
  <c r="AE345" i="2" s="1"/>
  <c r="P362" i="2"/>
  <c r="AQ362" i="2" s="1"/>
  <c r="K362" i="2"/>
  <c r="AN362" i="2"/>
  <c r="O362" i="2"/>
  <c r="AP362" i="2" s="1"/>
  <c r="N362" i="2"/>
  <c r="AO362" i="2" s="1"/>
  <c r="AM362" i="2"/>
  <c r="M362" i="2"/>
  <c r="Q362" i="2" s="1"/>
  <c r="H362" i="2"/>
  <c r="AF362" i="2" s="1"/>
  <c r="AE378" i="2"/>
  <c r="AE386" i="2"/>
  <c r="K397" i="2"/>
  <c r="N397" i="2"/>
  <c r="AO397" i="2" s="1"/>
  <c r="AN397" i="2"/>
  <c r="H397" i="2"/>
  <c r="AF397" i="2" s="1"/>
  <c r="O397" i="2"/>
  <c r="AP397" i="2" s="1"/>
  <c r="P397" i="2"/>
  <c r="AQ397" i="2" s="1"/>
  <c r="M397" i="2"/>
  <c r="Q397" i="2" s="1"/>
  <c r="P419" i="2"/>
  <c r="AQ419" i="2" s="1"/>
  <c r="K419" i="2"/>
  <c r="H419" i="2"/>
  <c r="AF419" i="2" s="1"/>
  <c r="N419" i="2"/>
  <c r="AO419" i="2" s="1"/>
  <c r="AN419" i="2"/>
  <c r="N453" i="2"/>
  <c r="AO453" i="2" s="1"/>
  <c r="P453" i="2"/>
  <c r="AQ453" i="2" s="1"/>
  <c r="AM453" i="2"/>
  <c r="O453" i="2"/>
  <c r="AP453" i="2" s="1"/>
  <c r="K453" i="2"/>
  <c r="M453" i="2"/>
  <c r="Q453" i="2" s="1"/>
  <c r="H453" i="2"/>
  <c r="AF453" i="2" s="1"/>
  <c r="AN453" i="2"/>
  <c r="O32" i="2"/>
  <c r="AP32" i="2" s="1"/>
  <c r="N32" i="2"/>
  <c r="AO32" i="2" s="1"/>
  <c r="M32" i="2"/>
  <c r="Q32" i="2" s="1"/>
  <c r="M58" i="2"/>
  <c r="Q58" i="2" s="1"/>
  <c r="AN58" i="2"/>
  <c r="P58" i="2"/>
  <c r="AQ58" i="2" s="1"/>
  <c r="AM72" i="2"/>
  <c r="AN72" i="2"/>
  <c r="H72" i="2"/>
  <c r="AF72" i="2" s="1"/>
  <c r="AB98" i="2"/>
  <c r="E98" i="2"/>
  <c r="AC98" i="2"/>
  <c r="AE98" i="2" s="1"/>
  <c r="AM124" i="2"/>
  <c r="O124" i="2"/>
  <c r="AP124" i="2" s="1"/>
  <c r="M124" i="2"/>
  <c r="Q124" i="2" s="1"/>
  <c r="N124" i="2"/>
  <c r="AO124" i="2" s="1"/>
  <c r="AE134" i="2"/>
  <c r="AI139" i="2"/>
  <c r="AD149" i="2"/>
  <c r="AC149" i="2"/>
  <c r="AB149" i="2"/>
  <c r="AE167" i="2"/>
  <c r="AD169" i="2"/>
  <c r="E169" i="2"/>
  <c r="AC169" i="2"/>
  <c r="AB169" i="2"/>
  <c r="AK178" i="2"/>
  <c r="N192" i="2"/>
  <c r="AO192" i="2" s="1"/>
  <c r="AN192" i="2"/>
  <c r="M192" i="2"/>
  <c r="Q192" i="2" s="1"/>
  <c r="O192" i="2"/>
  <c r="AP192" i="2" s="1"/>
  <c r="H192" i="2"/>
  <c r="AF192" i="2" s="1"/>
  <c r="AM192" i="2"/>
  <c r="AD205" i="2"/>
  <c r="AC205" i="2"/>
  <c r="AB205" i="2"/>
  <c r="AD243" i="2"/>
  <c r="AE243" i="2" s="1"/>
  <c r="AD300" i="2"/>
  <c r="AC300" i="2"/>
  <c r="AB300" i="2"/>
  <c r="AD306" i="2"/>
  <c r="AE306" i="2" s="1"/>
  <c r="E306" i="2"/>
  <c r="AC306" i="2"/>
  <c r="AB306" i="2"/>
  <c r="N348" i="2"/>
  <c r="AO348" i="2" s="1"/>
  <c r="M348" i="2"/>
  <c r="Q348" i="2" s="1"/>
  <c r="AM348" i="2"/>
  <c r="H348" i="2"/>
  <c r="AF348" i="2" s="1"/>
  <c r="AN348" i="2"/>
  <c r="P348" i="2"/>
  <c r="AQ348" i="2" s="1"/>
  <c r="K348" i="2"/>
  <c r="O370" i="2"/>
  <c r="AP370" i="2" s="1"/>
  <c r="N370" i="2"/>
  <c r="AO370" i="2" s="1"/>
  <c r="AN370" i="2"/>
  <c r="K370" i="2"/>
  <c r="M370" i="2"/>
  <c r="Q370" i="2" s="1"/>
  <c r="H370" i="2"/>
  <c r="AF370" i="2" s="1"/>
  <c r="AI406" i="2"/>
  <c r="AH406" i="2"/>
  <c r="AK406" i="2"/>
  <c r="AJ406" i="2"/>
  <c r="AL406" i="2"/>
  <c r="AD177" i="2"/>
  <c r="AE177" i="2" s="1"/>
  <c r="AC177" i="2"/>
  <c r="AB177" i="2"/>
  <c r="O187" i="2"/>
  <c r="AP187" i="2" s="1"/>
  <c r="AN187" i="2"/>
  <c r="H187" i="2"/>
  <c r="AF187" i="2" s="1"/>
  <c r="K187" i="2"/>
  <c r="N204" i="2"/>
  <c r="AO204" i="2" s="1"/>
  <c r="AN204" i="2"/>
  <c r="M204" i="2"/>
  <c r="Q204" i="2" s="1"/>
  <c r="P204" i="2"/>
  <c r="AQ204" i="2" s="1"/>
  <c r="O204" i="2"/>
  <c r="AP204" i="2" s="1"/>
  <c r="K204" i="2"/>
  <c r="E257" i="2"/>
  <c r="AC257" i="2"/>
  <c r="AB257" i="2"/>
  <c r="AD257" i="2"/>
  <c r="AE257" i="2" s="1"/>
  <c r="AJ289" i="2"/>
  <c r="AI289" i="2"/>
  <c r="AD304" i="2"/>
  <c r="E304" i="2"/>
  <c r="AC304" i="2"/>
  <c r="AD336" i="2"/>
  <c r="AC336" i="2"/>
  <c r="E336" i="2"/>
  <c r="AN343" i="2"/>
  <c r="M343" i="2"/>
  <c r="Q343" i="2" s="1"/>
  <c r="AM343" i="2"/>
  <c r="K343" i="2"/>
  <c r="H343" i="2"/>
  <c r="AF343" i="2" s="1"/>
  <c r="N343" i="2"/>
  <c r="AO343" i="2" s="1"/>
  <c r="AE351" i="2"/>
  <c r="AD159" i="2"/>
  <c r="AC159" i="2"/>
  <c r="AC160" i="2"/>
  <c r="AD160" i="2"/>
  <c r="AE160" i="2" s="1"/>
  <c r="AD161" i="2"/>
  <c r="AE161" i="2" s="1"/>
  <c r="E161" i="2"/>
  <c r="AD176" i="2"/>
  <c r="AE176" i="2" s="1"/>
  <c r="AB176" i="2"/>
  <c r="AD183" i="2"/>
  <c r="AC183" i="2"/>
  <c r="AB183" i="2"/>
  <c r="N186" i="2"/>
  <c r="AO186" i="2" s="1"/>
  <c r="AN186" i="2"/>
  <c r="M186" i="2"/>
  <c r="Q186" i="2" s="1"/>
  <c r="O186" i="2"/>
  <c r="AP186" i="2" s="1"/>
  <c r="K186" i="2"/>
  <c r="H186" i="2"/>
  <c r="AF186" i="2" s="1"/>
  <c r="AM186" i="2"/>
  <c r="AE190" i="2"/>
  <c r="AD215" i="2"/>
  <c r="AC215" i="2"/>
  <c r="AB215" i="2"/>
  <c r="AL264" i="2"/>
  <c r="AJ264" i="2"/>
  <c r="AI264" i="2"/>
  <c r="AK264" i="2"/>
  <c r="AH264" i="2"/>
  <c r="E275" i="2"/>
  <c r="AC275" i="2"/>
  <c r="AD275" i="2"/>
  <c r="AE275" i="2" s="1"/>
  <c r="AB275" i="2"/>
  <c r="N288" i="2"/>
  <c r="AO288" i="2" s="1"/>
  <c r="M288" i="2"/>
  <c r="Q288" i="2" s="1"/>
  <c r="AM288" i="2"/>
  <c r="H288" i="2"/>
  <c r="AF288" i="2" s="1"/>
  <c r="AN368" i="2"/>
  <c r="AM368" i="2"/>
  <c r="K368" i="2"/>
  <c r="H368" i="2"/>
  <c r="AF368" i="2" s="1"/>
  <c r="AH368" i="2" s="1"/>
  <c r="P368" i="2"/>
  <c r="AQ368" i="2" s="1"/>
  <c r="M368" i="2"/>
  <c r="Q368" i="2" s="1"/>
  <c r="O368" i="2"/>
  <c r="AP368" i="2" s="1"/>
  <c r="N368" i="2"/>
  <c r="AO368" i="2" s="1"/>
  <c r="K408" i="2"/>
  <c r="AN408" i="2"/>
  <c r="H408" i="2"/>
  <c r="AF408" i="2" s="1"/>
  <c r="AL408" i="2" s="1"/>
  <c r="AM408" i="2"/>
  <c r="P408" i="2"/>
  <c r="AQ408" i="2" s="1"/>
  <c r="M408" i="2"/>
  <c r="Q408" i="2" s="1"/>
  <c r="O408" i="2"/>
  <c r="AP408" i="2" s="1"/>
  <c r="N408" i="2"/>
  <c r="AO408" i="2" s="1"/>
  <c r="P414" i="2"/>
  <c r="AQ414" i="2" s="1"/>
  <c r="O414" i="2"/>
  <c r="AP414" i="2" s="1"/>
  <c r="K414" i="2"/>
  <c r="N414" i="2"/>
  <c r="AO414" i="2" s="1"/>
  <c r="M414" i="2"/>
  <c r="Q414" i="2" s="1"/>
  <c r="AN414" i="2"/>
  <c r="AH424" i="2"/>
  <c r="AK424" i="2"/>
  <c r="AJ424" i="2"/>
  <c r="AI424" i="2"/>
  <c r="E447" i="2"/>
  <c r="AC447" i="2"/>
  <c r="AD447" i="2"/>
  <c r="AE447" i="2" s="1"/>
  <c r="AB447" i="2"/>
  <c r="AB132" i="2"/>
  <c r="AD132" i="2"/>
  <c r="AE132" i="2" s="1"/>
  <c r="AC132" i="2"/>
  <c r="AM161" i="2"/>
  <c r="K161" i="2"/>
  <c r="P161" i="2"/>
  <c r="AQ161" i="2" s="1"/>
  <c r="H161" i="2"/>
  <c r="AF161" i="2" s="1"/>
  <c r="E162" i="2"/>
  <c r="AD162" i="2"/>
  <c r="AB162" i="2"/>
  <c r="AD175" i="2"/>
  <c r="AE175" i="2" s="1"/>
  <c r="E175" i="2"/>
  <c r="AC175" i="2"/>
  <c r="N176" i="2"/>
  <c r="AO176" i="2" s="1"/>
  <c r="AN176" i="2"/>
  <c r="M176" i="2"/>
  <c r="Q176" i="2" s="1"/>
  <c r="P176" i="2"/>
  <c r="AQ176" i="2" s="1"/>
  <c r="O176" i="2"/>
  <c r="AP176" i="2" s="1"/>
  <c r="N179" i="2"/>
  <c r="AO179" i="2" s="1"/>
  <c r="O179" i="2"/>
  <c r="AP179" i="2" s="1"/>
  <c r="M179" i="2"/>
  <c r="Q179" i="2" s="1"/>
  <c r="N182" i="2"/>
  <c r="AO182" i="2" s="1"/>
  <c r="AN182" i="2"/>
  <c r="M182" i="2"/>
  <c r="Q182" i="2" s="1"/>
  <c r="AM182" i="2"/>
  <c r="H182" i="2"/>
  <c r="AF182" i="2" s="1"/>
  <c r="P182" i="2"/>
  <c r="AQ182" i="2" s="1"/>
  <c r="AD185" i="2"/>
  <c r="AC185" i="2"/>
  <c r="AB186" i="2"/>
  <c r="AD203" i="2"/>
  <c r="AB203" i="2"/>
  <c r="E214" i="2"/>
  <c r="AC214" i="2"/>
  <c r="AJ255" i="2"/>
  <c r="AI255" i="2"/>
  <c r="AK255" i="2"/>
  <c r="AH255" i="2"/>
  <c r="AL255" i="2"/>
  <c r="AK276" i="2"/>
  <c r="AJ276" i="2"/>
  <c r="E303" i="2"/>
  <c r="AD303" i="2"/>
  <c r="AB304" i="2"/>
  <c r="AL305" i="2"/>
  <c r="AJ305" i="2"/>
  <c r="AH305" i="2"/>
  <c r="AB336" i="2"/>
  <c r="AD338" i="2"/>
  <c r="AC338" i="2"/>
  <c r="E338" i="2"/>
  <c r="AB338" i="2"/>
  <c r="O354" i="2"/>
  <c r="AP354" i="2" s="1"/>
  <c r="N354" i="2"/>
  <c r="AO354" i="2" s="1"/>
  <c r="AN354" i="2"/>
  <c r="K354" i="2"/>
  <c r="P354" i="2"/>
  <c r="AQ354" i="2" s="1"/>
  <c r="M354" i="2"/>
  <c r="Q354" i="2" s="1"/>
  <c r="AM354" i="2"/>
  <c r="H354" i="2"/>
  <c r="AF354" i="2" s="1"/>
  <c r="AK394" i="2"/>
  <c r="AJ394" i="2"/>
  <c r="AH394" i="2"/>
  <c r="N449" i="2"/>
  <c r="AO449" i="2" s="1"/>
  <c r="P449" i="2"/>
  <c r="AQ449" i="2" s="1"/>
  <c r="K449" i="2"/>
  <c r="H449" i="2"/>
  <c r="AF449" i="2" s="1"/>
  <c r="O449" i="2"/>
  <c r="AP449" i="2" s="1"/>
  <c r="M449" i="2"/>
  <c r="Q449" i="2" s="1"/>
  <c r="AN449" i="2"/>
  <c r="AM449" i="2"/>
  <c r="AK467" i="2"/>
  <c r="AJ467" i="2"/>
  <c r="AH467" i="2"/>
  <c r="AL467" i="2"/>
  <c r="AM74" i="2"/>
  <c r="H74" i="2"/>
  <c r="AF74" i="2" s="1"/>
  <c r="AL131" i="2"/>
  <c r="AK131" i="2"/>
  <c r="AI131" i="2"/>
  <c r="AJ131" i="2"/>
  <c r="K133" i="2"/>
  <c r="P133" i="2"/>
  <c r="AQ133" i="2" s="1"/>
  <c r="N133" i="2"/>
  <c r="AO133" i="2" s="1"/>
  <c r="O133" i="2"/>
  <c r="AP133" i="2" s="1"/>
  <c r="AM133" i="2"/>
  <c r="H147" i="2"/>
  <c r="AF147" i="2" s="1"/>
  <c r="N147" i="2"/>
  <c r="AO147" i="2" s="1"/>
  <c r="M147" i="2"/>
  <c r="Q147" i="2" s="1"/>
  <c r="AN162" i="2"/>
  <c r="M162" i="2"/>
  <c r="Q162" i="2" s="1"/>
  <c r="H162" i="2"/>
  <c r="AF162" i="2" s="1"/>
  <c r="K162" i="2"/>
  <c r="AE164" i="2"/>
  <c r="N174" i="2"/>
  <c r="AO174" i="2" s="1"/>
  <c r="AN174" i="2"/>
  <c r="M174" i="2"/>
  <c r="Q174" i="2" s="1"/>
  <c r="O174" i="2"/>
  <c r="AP174" i="2" s="1"/>
  <c r="AM174" i="2"/>
  <c r="AC186" i="2"/>
  <c r="O203" i="2"/>
  <c r="AP203" i="2" s="1"/>
  <c r="P203" i="2"/>
  <c r="AQ203" i="2" s="1"/>
  <c r="M203" i="2"/>
  <c r="Q203" i="2" s="1"/>
  <c r="N214" i="2"/>
  <c r="AO214" i="2" s="1"/>
  <c r="AN214" i="2"/>
  <c r="M214" i="2"/>
  <c r="Q214" i="2" s="1"/>
  <c r="K214" i="2"/>
  <c r="AK290" i="2"/>
  <c r="AH290" i="2"/>
  <c r="AJ290" i="2"/>
  <c r="AN301" i="2"/>
  <c r="M301" i="2"/>
  <c r="Q301" i="2" s="1"/>
  <c r="O301" i="2"/>
  <c r="AP301" i="2" s="1"/>
  <c r="N301" i="2"/>
  <c r="AO301" i="2" s="1"/>
  <c r="H301" i="2"/>
  <c r="AF301" i="2" s="1"/>
  <c r="K301" i="2"/>
  <c r="AN303" i="2"/>
  <c r="M303" i="2"/>
  <c r="Q303" i="2" s="1"/>
  <c r="K303" i="2"/>
  <c r="H303" i="2"/>
  <c r="AF303" i="2" s="1"/>
  <c r="AD312" i="2"/>
  <c r="AB312" i="2"/>
  <c r="AC312" i="2"/>
  <c r="P338" i="2"/>
  <c r="AQ338" i="2" s="1"/>
  <c r="AM338" i="2"/>
  <c r="O338" i="2"/>
  <c r="AP338" i="2" s="1"/>
  <c r="N338" i="2"/>
  <c r="AO338" i="2" s="1"/>
  <c r="M338" i="2"/>
  <c r="Q338" i="2" s="1"/>
  <c r="K338" i="2"/>
  <c r="AE343" i="2"/>
  <c r="AJ368" i="2"/>
  <c r="AI368" i="2"/>
  <c r="AK368" i="2"/>
  <c r="E466" i="2"/>
  <c r="AC466" i="2"/>
  <c r="AD466" i="2"/>
  <c r="P13" i="4"/>
  <c r="R13" i="4" s="1"/>
  <c r="AB50" i="2"/>
  <c r="AC50" i="2"/>
  <c r="AE50" i="2" s="1"/>
  <c r="AD65" i="2"/>
  <c r="AE65" i="2" s="1"/>
  <c r="AD89" i="2"/>
  <c r="AE89" i="2" s="1"/>
  <c r="AB133" i="2"/>
  <c r="AC135" i="2"/>
  <c r="AD135" i="2"/>
  <c r="AE135" i="2" s="1"/>
  <c r="AB147" i="2"/>
  <c r="AC161" i="2"/>
  <c r="AC162" i="2"/>
  <c r="AN164" i="2"/>
  <c r="M164" i="2"/>
  <c r="Q164" i="2" s="1"/>
  <c r="H164" i="2"/>
  <c r="AF164" i="2" s="1"/>
  <c r="P164" i="2"/>
  <c r="AQ164" i="2" s="1"/>
  <c r="AN166" i="2"/>
  <c r="M166" i="2"/>
  <c r="Q166" i="2" s="1"/>
  <c r="P166" i="2"/>
  <c r="AQ166" i="2" s="1"/>
  <c r="N166" i="2"/>
  <c r="AO166" i="2" s="1"/>
  <c r="O166" i="2"/>
  <c r="AP166" i="2" s="1"/>
  <c r="AD173" i="2"/>
  <c r="AE173" i="2" s="1"/>
  <c r="AB173" i="2"/>
  <c r="E173" i="2"/>
  <c r="AB174" i="2"/>
  <c r="AB175" i="2"/>
  <c r="AE182" i="2"/>
  <c r="AB185" i="2"/>
  <c r="AC203" i="2"/>
  <c r="AB214" i="2"/>
  <c r="N252" i="2"/>
  <c r="AO252" i="2" s="1"/>
  <c r="AN252" i="2"/>
  <c r="Y22" i="1" s="1"/>
  <c r="M252" i="2"/>
  <c r="Q252" i="2" s="1"/>
  <c r="AM252" i="2"/>
  <c r="P274" i="2"/>
  <c r="AQ274" i="2" s="1"/>
  <c r="H274" i="2"/>
  <c r="AF274" i="2" s="1"/>
  <c r="O274" i="2"/>
  <c r="AP274" i="2" s="1"/>
  <c r="K274" i="2"/>
  <c r="AN274" i="2"/>
  <c r="AH276" i="2"/>
  <c r="AE288" i="2"/>
  <c r="AH289" i="2"/>
  <c r="E297" i="2"/>
  <c r="AC297" i="2"/>
  <c r="AE297" i="2" s="1"/>
  <c r="AB297" i="2"/>
  <c r="AB303" i="2"/>
  <c r="E335" i="2"/>
  <c r="AD335" i="2"/>
  <c r="AB335" i="2"/>
  <c r="AC335" i="2"/>
  <c r="AI418" i="2"/>
  <c r="AH418" i="2"/>
  <c r="AK418" i="2"/>
  <c r="AL418" i="2"/>
  <c r="AJ418" i="2"/>
  <c r="AD133" i="2"/>
  <c r="AE133" i="2" s="1"/>
  <c r="AB134" i="2"/>
  <c r="E134" i="2"/>
  <c r="AC134" i="2"/>
  <c r="K135" i="2"/>
  <c r="O135" i="2"/>
  <c r="AP135" i="2" s="1"/>
  <c r="AC147" i="2"/>
  <c r="AE147" i="2" s="1"/>
  <c r="AC148" i="2"/>
  <c r="AD148" i="2"/>
  <c r="AE148" i="2" s="1"/>
  <c r="AB164" i="2"/>
  <c r="P173" i="2"/>
  <c r="AQ173" i="2" s="1"/>
  <c r="N173" i="2"/>
  <c r="AO173" i="2" s="1"/>
  <c r="K173" i="2"/>
  <c r="H173" i="2"/>
  <c r="AF173" i="2" s="1"/>
  <c r="AC174" i="2"/>
  <c r="AE174" i="2" s="1"/>
  <c r="AE201" i="2"/>
  <c r="AD213" i="2"/>
  <c r="AE213" i="2" s="1"/>
  <c r="E213" i="2"/>
  <c r="AD214" i="2"/>
  <c r="O246" i="2"/>
  <c r="AP246" i="2" s="1"/>
  <c r="N246" i="2"/>
  <c r="AO246" i="2" s="1"/>
  <c r="AN246" i="2"/>
  <c r="AM246" i="2"/>
  <c r="K246" i="2"/>
  <c r="H246" i="2"/>
  <c r="AF246" i="2" s="1"/>
  <c r="M249" i="2"/>
  <c r="Q249" i="2" s="1"/>
  <c r="P249" i="2"/>
  <c r="AQ249" i="2" s="1"/>
  <c r="O249" i="2"/>
  <c r="AP249" i="2" s="1"/>
  <c r="AN249" i="2"/>
  <c r="AM249" i="2"/>
  <c r="AL256" i="2"/>
  <c r="AJ256" i="2"/>
  <c r="AH256" i="2"/>
  <c r="AK256" i="2"/>
  <c r="AI276" i="2"/>
  <c r="P286" i="2"/>
  <c r="AQ286" i="2" s="1"/>
  <c r="AN286" i="2"/>
  <c r="H286" i="2"/>
  <c r="AF286" i="2" s="1"/>
  <c r="AK286" i="2" s="1"/>
  <c r="O286" i="2"/>
  <c r="AP286" i="2" s="1"/>
  <c r="N286" i="2"/>
  <c r="AO286" i="2" s="1"/>
  <c r="M286" i="2"/>
  <c r="Q286" i="2" s="1"/>
  <c r="AM286" i="2"/>
  <c r="AN297" i="2"/>
  <c r="K297" i="2"/>
  <c r="AM297" i="2"/>
  <c r="H297" i="2"/>
  <c r="AF297" i="2" s="1"/>
  <c r="P297" i="2"/>
  <c r="AQ297" i="2" s="1"/>
  <c r="O297" i="2"/>
  <c r="AP297" i="2" s="1"/>
  <c r="N297" i="2"/>
  <c r="AO297" i="2" s="1"/>
  <c r="AC303" i="2"/>
  <c r="AI305" i="2"/>
  <c r="AN338" i="2"/>
  <c r="AL368" i="2"/>
  <c r="E383" i="2"/>
  <c r="AD383" i="2"/>
  <c r="AE383" i="2" s="1"/>
  <c r="AB383" i="2"/>
  <c r="AC383" i="2"/>
  <c r="AB466" i="2"/>
  <c r="K146" i="2"/>
  <c r="K153" i="2"/>
  <c r="N163" i="2"/>
  <c r="AO163" i="2" s="1"/>
  <c r="AN163" i="2"/>
  <c r="H165" i="2"/>
  <c r="AF165" i="2" s="1"/>
  <c r="E170" i="2"/>
  <c r="K177" i="2"/>
  <c r="AE181" i="2"/>
  <c r="AE188" i="2"/>
  <c r="AE189" i="2"/>
  <c r="E193" i="2"/>
  <c r="K205" i="2"/>
  <c r="E206" i="2"/>
  <c r="H222" i="2"/>
  <c r="AF222" i="2" s="1"/>
  <c r="AJ222" i="2" s="1"/>
  <c r="E251" i="2"/>
  <c r="AC251" i="2"/>
  <c r="AB251" i="2"/>
  <c r="AD251" i="2"/>
  <c r="AE251" i="2" s="1"/>
  <c r="M257" i="2"/>
  <c r="Q257" i="2" s="1"/>
  <c r="E261" i="2"/>
  <c r="AD261" i="2"/>
  <c r="AE261" i="2" s="1"/>
  <c r="AB261" i="2"/>
  <c r="E271" i="2"/>
  <c r="AD271" i="2"/>
  <c r="AE271" i="2" s="1"/>
  <c r="AB271" i="2"/>
  <c r="AN313" i="2"/>
  <c r="M313" i="2"/>
  <c r="Q313" i="2" s="1"/>
  <c r="AM313" i="2"/>
  <c r="K313" i="2"/>
  <c r="P313" i="2"/>
  <c r="AQ313" i="2" s="1"/>
  <c r="O313" i="2"/>
  <c r="AP313" i="2" s="1"/>
  <c r="H313" i="2"/>
  <c r="AF313" i="2" s="1"/>
  <c r="AN331" i="2"/>
  <c r="M331" i="2"/>
  <c r="Q331" i="2" s="1"/>
  <c r="AM331" i="2"/>
  <c r="O331" i="2"/>
  <c r="AP331" i="2" s="1"/>
  <c r="P331" i="2"/>
  <c r="AQ331" i="2" s="1"/>
  <c r="N331" i="2"/>
  <c r="AO331" i="2" s="1"/>
  <c r="O342" i="2"/>
  <c r="AP342" i="2" s="1"/>
  <c r="K342" i="2"/>
  <c r="AN342" i="2"/>
  <c r="H342" i="2"/>
  <c r="AF342" i="2" s="1"/>
  <c r="P342" i="2"/>
  <c r="AQ342" i="2" s="1"/>
  <c r="M342" i="2"/>
  <c r="Q342" i="2" s="1"/>
  <c r="AM430" i="2"/>
  <c r="O430" i="2"/>
  <c r="AP430" i="2" s="1"/>
  <c r="N430" i="2"/>
  <c r="AO430" i="2" s="1"/>
  <c r="K430" i="2"/>
  <c r="H430" i="2"/>
  <c r="AF430" i="2" s="1"/>
  <c r="P430" i="2"/>
  <c r="AQ430" i="2" s="1"/>
  <c r="AK469" i="2"/>
  <c r="AH469" i="2"/>
  <c r="AJ469" i="2"/>
  <c r="AI469" i="2"/>
  <c r="AL469" i="2"/>
  <c r="N43" i="2"/>
  <c r="AO43" i="2" s="1"/>
  <c r="AN152" i="2"/>
  <c r="M152" i="2"/>
  <c r="Q152" i="2" s="1"/>
  <c r="O152" i="2"/>
  <c r="AP152" i="2" s="1"/>
  <c r="AN168" i="2"/>
  <c r="M168" i="2"/>
  <c r="Q168" i="2" s="1"/>
  <c r="AM168" i="2"/>
  <c r="K168" i="2"/>
  <c r="O201" i="2"/>
  <c r="AP201" i="2" s="1"/>
  <c r="M201" i="2"/>
  <c r="Q201" i="2" s="1"/>
  <c r="K201" i="2"/>
  <c r="N218" i="2"/>
  <c r="AO218" i="2" s="1"/>
  <c r="AN218" i="2"/>
  <c r="M218" i="2"/>
  <c r="Q218" i="2" s="1"/>
  <c r="O218" i="2"/>
  <c r="AP218" i="2" s="1"/>
  <c r="K218" i="2"/>
  <c r="AD219" i="2"/>
  <c r="E219" i="2"/>
  <c r="AC219" i="2"/>
  <c r="M235" i="2"/>
  <c r="Q235" i="2" s="1"/>
  <c r="AM235" i="2"/>
  <c r="AE249" i="2"/>
  <c r="AE253" i="2"/>
  <c r="AI254" i="2"/>
  <c r="AK254" i="2"/>
  <c r="AJ254" i="2"/>
  <c r="AD346" i="2"/>
  <c r="AC346" i="2"/>
  <c r="E346" i="2"/>
  <c r="E351" i="2"/>
  <c r="AC351" i="2"/>
  <c r="AB351" i="2"/>
  <c r="AN376" i="2"/>
  <c r="K376" i="2"/>
  <c r="H376" i="2"/>
  <c r="AF376" i="2" s="1"/>
  <c r="AH376" i="2" s="1"/>
  <c r="N376" i="2"/>
  <c r="AO376" i="2" s="1"/>
  <c r="P376" i="2"/>
  <c r="AQ376" i="2" s="1"/>
  <c r="O376" i="2"/>
  <c r="AP376" i="2" s="1"/>
  <c r="E385" i="2"/>
  <c r="AB385" i="2"/>
  <c r="AD385" i="2"/>
  <c r="AC385" i="2"/>
  <c r="AI402" i="2"/>
  <c r="AH402" i="2"/>
  <c r="AK402" i="2"/>
  <c r="AJ402" i="2"/>
  <c r="AL402" i="2"/>
  <c r="AM440" i="2"/>
  <c r="N440" i="2"/>
  <c r="AO440" i="2" s="1"/>
  <c r="K440" i="2"/>
  <c r="O440" i="2"/>
  <c r="AP440" i="2" s="1"/>
  <c r="M440" i="2"/>
  <c r="Q440" i="2" s="1"/>
  <c r="H440" i="2"/>
  <c r="AF440" i="2" s="1"/>
  <c r="AN440" i="2"/>
  <c r="P440" i="2"/>
  <c r="AQ440" i="2" s="1"/>
  <c r="H487" i="2"/>
  <c r="AF487" i="2" s="1"/>
  <c r="P487" i="2"/>
  <c r="AQ487" i="2" s="1"/>
  <c r="N487" i="2"/>
  <c r="AO487" i="2" s="1"/>
  <c r="K487" i="2"/>
  <c r="AN487" i="2"/>
  <c r="O487" i="2"/>
  <c r="AP487" i="2" s="1"/>
  <c r="M487" i="2"/>
  <c r="Q487" i="2" s="1"/>
  <c r="H505" i="2"/>
  <c r="AF505" i="2" s="1"/>
  <c r="N505" i="2"/>
  <c r="AO505" i="2" s="1"/>
  <c r="AM505" i="2"/>
  <c r="K505" i="2"/>
  <c r="M505" i="2"/>
  <c r="Q505" i="2" s="1"/>
  <c r="AN505" i="2"/>
  <c r="O177" i="2"/>
  <c r="AP177" i="2" s="1"/>
  <c r="M177" i="2"/>
  <c r="Q177" i="2" s="1"/>
  <c r="M183" i="2"/>
  <c r="Q183" i="2" s="1"/>
  <c r="AN183" i="2"/>
  <c r="K183" i="2"/>
  <c r="AE193" i="2"/>
  <c r="O205" i="2"/>
  <c r="AP205" i="2" s="1"/>
  <c r="H205" i="2"/>
  <c r="AF205" i="2" s="1"/>
  <c r="AE220" i="2"/>
  <c r="K222" i="2"/>
  <c r="O222" i="2"/>
  <c r="AP222" i="2" s="1"/>
  <c r="AN222" i="2"/>
  <c r="AN238" i="2"/>
  <c r="AM238" i="2"/>
  <c r="K238" i="2"/>
  <c r="P238" i="2"/>
  <c r="AQ238" i="2" s="1"/>
  <c r="N238" i="2"/>
  <c r="AO238" i="2" s="1"/>
  <c r="E239" i="2"/>
  <c r="AD239" i="2"/>
  <c r="AE239" i="2" s="1"/>
  <c r="AN257" i="2"/>
  <c r="K257" i="2"/>
  <c r="AM257" i="2"/>
  <c r="H257" i="2"/>
  <c r="AF257" i="2" s="1"/>
  <c r="AK298" i="2"/>
  <c r="AJ298" i="2"/>
  <c r="AC315" i="2"/>
  <c r="AD315" i="2"/>
  <c r="AE315" i="2" s="1"/>
  <c r="E315" i="2"/>
  <c r="AN335" i="2"/>
  <c r="M335" i="2"/>
  <c r="Q335" i="2" s="1"/>
  <c r="AM335" i="2"/>
  <c r="K335" i="2"/>
  <c r="H335" i="2"/>
  <c r="AF335" i="2" s="1"/>
  <c r="P335" i="2"/>
  <c r="AQ335" i="2" s="1"/>
  <c r="O335" i="2"/>
  <c r="AP335" i="2" s="1"/>
  <c r="AN339" i="2"/>
  <c r="M339" i="2"/>
  <c r="Q339" i="2" s="1"/>
  <c r="AM339" i="2"/>
  <c r="O339" i="2"/>
  <c r="AP339" i="2" s="1"/>
  <c r="H339" i="2"/>
  <c r="AF339" i="2" s="1"/>
  <c r="AH341" i="2"/>
  <c r="AK341" i="2"/>
  <c r="AL341" i="2"/>
  <c r="AJ341" i="2"/>
  <c r="AI341" i="2"/>
  <c r="AL375" i="2"/>
  <c r="AH375" i="2"/>
  <c r="K381" i="2"/>
  <c r="O381" i="2"/>
  <c r="AP381" i="2" s="1"/>
  <c r="H381" i="2"/>
  <c r="AF381" i="2" s="1"/>
  <c r="M381" i="2"/>
  <c r="Q381" i="2" s="1"/>
  <c r="P381" i="2"/>
  <c r="AQ381" i="2" s="1"/>
  <c r="AN381" i="2"/>
  <c r="P392" i="2"/>
  <c r="AQ392" i="2" s="1"/>
  <c r="AN392" i="2"/>
  <c r="AM392" i="2"/>
  <c r="M392" i="2"/>
  <c r="Q392" i="2" s="1"/>
  <c r="O392" i="2"/>
  <c r="AP392" i="2" s="1"/>
  <c r="K392" i="2"/>
  <c r="H392" i="2"/>
  <c r="AF392" i="2" s="1"/>
  <c r="AL392" i="2" s="1"/>
  <c r="AI400" i="2"/>
  <c r="AK400" i="2"/>
  <c r="AJ400" i="2"/>
  <c r="AH400" i="2"/>
  <c r="E409" i="2"/>
  <c r="AD409" i="2"/>
  <c r="AC409" i="2"/>
  <c r="AM448" i="2"/>
  <c r="H448" i="2"/>
  <c r="AF448" i="2" s="1"/>
  <c r="AN448" i="2"/>
  <c r="K448" i="2"/>
  <c r="N448" i="2"/>
  <c r="AO448" i="2" s="1"/>
  <c r="O448" i="2"/>
  <c r="AP448" i="2" s="1"/>
  <c r="E478" i="2"/>
  <c r="AD478" i="2"/>
  <c r="AE478" i="2" s="1"/>
  <c r="AC478" i="2"/>
  <c r="N170" i="2"/>
  <c r="AO170" i="2" s="1"/>
  <c r="AN170" i="2"/>
  <c r="M170" i="2"/>
  <c r="Q170" i="2" s="1"/>
  <c r="P170" i="2"/>
  <c r="AQ170" i="2" s="1"/>
  <c r="O193" i="2"/>
  <c r="AP193" i="2" s="1"/>
  <c r="P193" i="2"/>
  <c r="AQ193" i="2" s="1"/>
  <c r="AN193" i="2"/>
  <c r="H193" i="2"/>
  <c r="AF193" i="2" s="1"/>
  <c r="AE207" i="2"/>
  <c r="AN235" i="2"/>
  <c r="O239" i="2"/>
  <c r="AP239" i="2" s="1"/>
  <c r="K239" i="2"/>
  <c r="P242" i="2"/>
  <c r="AQ242" i="2" s="1"/>
  <c r="N242" i="2"/>
  <c r="AO242" i="2" s="1"/>
  <c r="M242" i="2"/>
  <c r="Q242" i="2" s="1"/>
  <c r="AN284" i="2"/>
  <c r="M284" i="2"/>
  <c r="Q284" i="2" s="1"/>
  <c r="O284" i="2"/>
  <c r="AP284" i="2" s="1"/>
  <c r="O289" i="2"/>
  <c r="AP289" i="2" s="1"/>
  <c r="AM289" i="2"/>
  <c r="H289" i="2"/>
  <c r="AF289" i="2" s="1"/>
  <c r="AK289" i="2" s="1"/>
  <c r="N289" i="2"/>
  <c r="AO289" i="2" s="1"/>
  <c r="K289" i="2"/>
  <c r="AD308" i="2"/>
  <c r="AE308" i="2" s="1"/>
  <c r="AC308" i="2"/>
  <c r="AD310" i="2"/>
  <c r="AC310" i="2"/>
  <c r="AN315" i="2"/>
  <c r="M315" i="2"/>
  <c r="Q315" i="2" s="1"/>
  <c r="P315" i="2"/>
  <c r="AQ315" i="2" s="1"/>
  <c r="O315" i="2"/>
  <c r="AP315" i="2" s="1"/>
  <c r="N315" i="2"/>
  <c r="AO315" i="2" s="1"/>
  <c r="K315" i="2"/>
  <c r="H315" i="2"/>
  <c r="AF315" i="2" s="1"/>
  <c r="AM315" i="2"/>
  <c r="AN317" i="2"/>
  <c r="M317" i="2"/>
  <c r="Q317" i="2" s="1"/>
  <c r="AM317" i="2"/>
  <c r="K317" i="2"/>
  <c r="N317" i="2"/>
  <c r="AO317" i="2" s="1"/>
  <c r="O317" i="2"/>
  <c r="AP317" i="2" s="1"/>
  <c r="H317" i="2"/>
  <c r="AF317" i="2" s="1"/>
  <c r="AI317" i="2" s="1"/>
  <c r="AN361" i="2"/>
  <c r="M361" i="2"/>
  <c r="Q361" i="2" s="1"/>
  <c r="AM361" i="2"/>
  <c r="P361" i="2"/>
  <c r="AQ361" i="2" s="1"/>
  <c r="O361" i="2"/>
  <c r="AP361" i="2" s="1"/>
  <c r="K361" i="2"/>
  <c r="H361" i="2"/>
  <c r="AF361" i="2" s="1"/>
  <c r="AI392" i="2"/>
  <c r="AK392" i="2"/>
  <c r="AH392" i="2"/>
  <c r="AJ392" i="2"/>
  <c r="K409" i="2"/>
  <c r="AM409" i="2"/>
  <c r="P409" i="2"/>
  <c r="AQ409" i="2" s="1"/>
  <c r="M409" i="2"/>
  <c r="Q409" i="2" s="1"/>
  <c r="O409" i="2"/>
  <c r="AP409" i="2" s="1"/>
  <c r="H409" i="2"/>
  <c r="AF409" i="2" s="1"/>
  <c r="N409" i="2"/>
  <c r="AO409" i="2" s="1"/>
  <c r="AN409" i="2"/>
  <c r="N450" i="2"/>
  <c r="AO450" i="2" s="1"/>
  <c r="AM450" i="2"/>
  <c r="O450" i="2"/>
  <c r="AP450" i="2" s="1"/>
  <c r="K450" i="2"/>
  <c r="P450" i="2"/>
  <c r="AQ450" i="2" s="1"/>
  <c r="M450" i="2"/>
  <c r="Q450" i="2" s="1"/>
  <c r="AN450" i="2"/>
  <c r="H450" i="2"/>
  <c r="AF450" i="2" s="1"/>
  <c r="AM487" i="2"/>
  <c r="N132" i="2"/>
  <c r="AO132" i="2" s="1"/>
  <c r="AM132" i="2"/>
  <c r="N142" i="2"/>
  <c r="AO142" i="2" s="1"/>
  <c r="AM142" i="2"/>
  <c r="AN146" i="2"/>
  <c r="M146" i="2"/>
  <c r="Q146" i="2" s="1"/>
  <c r="AD165" i="2"/>
  <c r="AC165" i="2"/>
  <c r="AE157" i="2"/>
  <c r="AM159" i="2"/>
  <c r="AB165" i="2"/>
  <c r="AB170" i="2"/>
  <c r="N184" i="2"/>
  <c r="AO184" i="2" s="1"/>
  <c r="AN184" i="2"/>
  <c r="M184" i="2"/>
  <c r="Q184" i="2" s="1"/>
  <c r="AB193" i="2"/>
  <c r="N194" i="2"/>
  <c r="AO194" i="2" s="1"/>
  <c r="AN194" i="2"/>
  <c r="M194" i="2"/>
  <c r="Q194" i="2" s="1"/>
  <c r="K194" i="2"/>
  <c r="AM194" i="2"/>
  <c r="O207" i="2"/>
  <c r="AP207" i="2" s="1"/>
  <c r="N207" i="2"/>
  <c r="AO207" i="2" s="1"/>
  <c r="AB239" i="2"/>
  <c r="P287" i="2"/>
  <c r="AQ287" i="2" s="1"/>
  <c r="O287" i="2"/>
  <c r="AP287" i="2" s="1"/>
  <c r="K287" i="2"/>
  <c r="N287" i="2"/>
  <c r="AO287" i="2" s="1"/>
  <c r="M291" i="2"/>
  <c r="Q291" i="2" s="1"/>
  <c r="N291" i="2"/>
  <c r="AO291" i="2" s="1"/>
  <c r="AN291" i="2"/>
  <c r="AM291" i="2"/>
  <c r="AH298" i="2"/>
  <c r="AM310" i="2"/>
  <c r="K310" i="2"/>
  <c r="H310" i="2"/>
  <c r="AF310" i="2" s="1"/>
  <c r="O310" i="2"/>
  <c r="AP310" i="2" s="1"/>
  <c r="AB315" i="2"/>
  <c r="AD328" i="2"/>
  <c r="AB328" i="2"/>
  <c r="AC328" i="2"/>
  <c r="AD333" i="2"/>
  <c r="AE333" i="2" s="1"/>
  <c r="AB333" i="2"/>
  <c r="E333" i="2"/>
  <c r="AM376" i="2"/>
  <c r="AL400" i="2"/>
  <c r="AB409" i="2"/>
  <c r="E439" i="2"/>
  <c r="AC439" i="2"/>
  <c r="AD439" i="2"/>
  <c r="AB439" i="2"/>
  <c r="H473" i="2"/>
  <c r="AF473" i="2" s="1"/>
  <c r="N473" i="2"/>
  <c r="AO473" i="2" s="1"/>
  <c r="AN473" i="2"/>
  <c r="AM473" i="2"/>
  <c r="M473" i="2"/>
  <c r="Q473" i="2" s="1"/>
  <c r="P473" i="2"/>
  <c r="AQ473" i="2" s="1"/>
  <c r="AB478" i="2"/>
  <c r="AN148" i="2"/>
  <c r="M148" i="2"/>
  <c r="Q148" i="2" s="1"/>
  <c r="N178" i="2"/>
  <c r="AO178" i="2" s="1"/>
  <c r="AN178" i="2"/>
  <c r="M178" i="2"/>
  <c r="Q178" i="2" s="1"/>
  <c r="K196" i="2"/>
  <c r="N202" i="2"/>
  <c r="AO202" i="2" s="1"/>
  <c r="AN202" i="2"/>
  <c r="M202" i="2"/>
  <c r="Q202" i="2" s="1"/>
  <c r="N206" i="2"/>
  <c r="AO206" i="2" s="1"/>
  <c r="AN206" i="2"/>
  <c r="M206" i="2"/>
  <c r="Q206" i="2" s="1"/>
  <c r="K212" i="2"/>
  <c r="E247" i="2"/>
  <c r="AC247" i="2"/>
  <c r="AE247" i="2" s="1"/>
  <c r="E265" i="2"/>
  <c r="AD265" i="2"/>
  <c r="AC265" i="2"/>
  <c r="K275" i="2"/>
  <c r="O282" i="2"/>
  <c r="AP282" i="2" s="1"/>
  <c r="H282" i="2"/>
  <c r="AF282" i="2" s="1"/>
  <c r="AL282" i="2" s="1"/>
  <c r="AM282" i="2"/>
  <c r="E291" i="2"/>
  <c r="AC291" i="2"/>
  <c r="AE291" i="2" s="1"/>
  <c r="AB291" i="2"/>
  <c r="E323" i="2"/>
  <c r="E357" i="2"/>
  <c r="AC357" i="2"/>
  <c r="AE357" i="2" s="1"/>
  <c r="K365" i="2"/>
  <c r="N365" i="2"/>
  <c r="AO365" i="2" s="1"/>
  <c r="AN365" i="2"/>
  <c r="AM365" i="2"/>
  <c r="P365" i="2"/>
  <c r="AQ365" i="2" s="1"/>
  <c r="O398" i="2"/>
  <c r="AP398" i="2" s="1"/>
  <c r="N398" i="2"/>
  <c r="AO398" i="2" s="1"/>
  <c r="H398" i="2"/>
  <c r="AF398" i="2" s="1"/>
  <c r="M398" i="2"/>
  <c r="Q398" i="2" s="1"/>
  <c r="AN398" i="2"/>
  <c r="O404" i="2"/>
  <c r="AP404" i="2" s="1"/>
  <c r="N404" i="2"/>
  <c r="AO404" i="2" s="1"/>
  <c r="P404" i="2"/>
  <c r="AQ404" i="2" s="1"/>
  <c r="M404" i="2"/>
  <c r="Q404" i="2" s="1"/>
  <c r="H404" i="2"/>
  <c r="AF404" i="2" s="1"/>
  <c r="K404" i="2"/>
  <c r="AN404" i="2"/>
  <c r="AN160" i="2"/>
  <c r="M160" i="2"/>
  <c r="Q160" i="2" s="1"/>
  <c r="N185" i="2"/>
  <c r="AO185" i="2" s="1"/>
  <c r="O260" i="2"/>
  <c r="AP260" i="2" s="1"/>
  <c r="N260" i="2"/>
  <c r="AO260" i="2" s="1"/>
  <c r="AN271" i="2"/>
  <c r="K271" i="2"/>
  <c r="O273" i="2"/>
  <c r="AP273" i="2" s="1"/>
  <c r="N273" i="2"/>
  <c r="AO273" i="2" s="1"/>
  <c r="AN273" i="2"/>
  <c r="K273" i="2"/>
  <c r="P273" i="2"/>
  <c r="AQ273" i="2" s="1"/>
  <c r="N276" i="2"/>
  <c r="AO276" i="2" s="1"/>
  <c r="E283" i="2"/>
  <c r="AB283" i="2"/>
  <c r="P294" i="2"/>
  <c r="AQ294" i="2" s="1"/>
  <c r="AN294" i="2"/>
  <c r="M294" i="2"/>
  <c r="Q294" i="2" s="1"/>
  <c r="O294" i="2"/>
  <c r="AP294" i="2" s="1"/>
  <c r="AE313" i="2"/>
  <c r="AC331" i="2"/>
  <c r="AE331" i="2" s="1"/>
  <c r="AB331" i="2"/>
  <c r="E331" i="2"/>
  <c r="AB384" i="2"/>
  <c r="E384" i="2"/>
  <c r="AD384" i="2"/>
  <c r="AE384" i="2" s="1"/>
  <c r="AI414" i="2"/>
  <c r="AH414" i="2"/>
  <c r="AK414" i="2"/>
  <c r="AJ414" i="2"/>
  <c r="AL428" i="2"/>
  <c r="AK428" i="2"/>
  <c r="AJ428" i="2"/>
  <c r="AI428" i="2"/>
  <c r="AH428" i="2"/>
  <c r="AH472" i="2"/>
  <c r="AL472" i="2"/>
  <c r="AK472" i="2"/>
  <c r="AJ472" i="2"/>
  <c r="H497" i="2"/>
  <c r="AF497" i="2" s="1"/>
  <c r="N497" i="2"/>
  <c r="AO497" i="2" s="1"/>
  <c r="P497" i="2"/>
  <c r="AQ497" i="2" s="1"/>
  <c r="M497" i="2"/>
  <c r="Q497" i="2" s="1"/>
  <c r="K497" i="2"/>
  <c r="AM497" i="2"/>
  <c r="O497" i="2"/>
  <c r="AP497" i="2" s="1"/>
  <c r="AN497" i="2"/>
  <c r="AE179" i="2"/>
  <c r="N196" i="2"/>
  <c r="AO196" i="2" s="1"/>
  <c r="AN196" i="2"/>
  <c r="M196" i="2"/>
  <c r="Q196" i="2" s="1"/>
  <c r="N212" i="2"/>
  <c r="AO212" i="2" s="1"/>
  <c r="AN212" i="2"/>
  <c r="M212" i="2"/>
  <c r="Q212" i="2" s="1"/>
  <c r="N275" i="2"/>
  <c r="AO275" i="2" s="1"/>
  <c r="AN275" i="2"/>
  <c r="AD330" i="2"/>
  <c r="AC330" i="2"/>
  <c r="E330" i="2"/>
  <c r="AE395" i="2"/>
  <c r="O255" i="2"/>
  <c r="AP255" i="2" s="1"/>
  <c r="M255" i="2"/>
  <c r="Q255" i="2" s="1"/>
  <c r="AN324" i="2"/>
  <c r="N324" i="2"/>
  <c r="AO324" i="2" s="1"/>
  <c r="O324" i="2"/>
  <c r="AP324" i="2" s="1"/>
  <c r="M330" i="2"/>
  <c r="Q330" i="2" s="1"/>
  <c r="P330" i="2"/>
  <c r="AQ330" i="2" s="1"/>
  <c r="O330" i="2"/>
  <c r="AP330" i="2" s="1"/>
  <c r="N330" i="2"/>
  <c r="AO330" i="2" s="1"/>
  <c r="E355" i="2"/>
  <c r="AC355" i="2"/>
  <c r="AE355" i="2" s="1"/>
  <c r="K389" i="2"/>
  <c r="AM389" i="2"/>
  <c r="M389" i="2"/>
  <c r="Q389" i="2" s="1"/>
  <c r="O389" i="2"/>
  <c r="AP389" i="2" s="1"/>
  <c r="N389" i="2"/>
  <c r="AO389" i="2" s="1"/>
  <c r="P389" i="2"/>
  <c r="AQ389" i="2" s="1"/>
  <c r="H389" i="2"/>
  <c r="AF389" i="2" s="1"/>
  <c r="AI389" i="2" s="1"/>
  <c r="AN389" i="2"/>
  <c r="K403" i="2"/>
  <c r="M403" i="2"/>
  <c r="Q403" i="2" s="1"/>
  <c r="O403" i="2"/>
  <c r="AP403" i="2" s="1"/>
  <c r="H403" i="2"/>
  <c r="AF403" i="2" s="1"/>
  <c r="AJ434" i="2"/>
  <c r="AH434" i="2"/>
  <c r="AK434" i="2"/>
  <c r="AL434" i="2"/>
  <c r="AI434" i="2"/>
  <c r="AK460" i="2"/>
  <c r="AI460" i="2"/>
  <c r="AJ460" i="2"/>
  <c r="AH460" i="2"/>
  <c r="X50" i="3"/>
  <c r="Y50" i="3"/>
  <c r="W50" i="3"/>
  <c r="T50" i="3"/>
  <c r="AB163" i="2"/>
  <c r="AB179" i="2"/>
  <c r="N200" i="2"/>
  <c r="AO200" i="2" s="1"/>
  <c r="AN200" i="2"/>
  <c r="M200" i="2"/>
  <c r="Q200" i="2" s="1"/>
  <c r="N208" i="2"/>
  <c r="AO208" i="2" s="1"/>
  <c r="AN208" i="2"/>
  <c r="M208" i="2"/>
  <c r="Q208" i="2" s="1"/>
  <c r="N225" i="2"/>
  <c r="AO225" i="2" s="1"/>
  <c r="AN225" i="2"/>
  <c r="K225" i="2"/>
  <c r="E229" i="2"/>
  <c r="AB229" i="2"/>
  <c r="M243" i="2"/>
  <c r="Q243" i="2" s="1"/>
  <c r="AN243" i="2"/>
  <c r="O243" i="2"/>
  <c r="AP243" i="2" s="1"/>
  <c r="N243" i="2"/>
  <c r="AO243" i="2" s="1"/>
  <c r="E285" i="2"/>
  <c r="AB285" i="2"/>
  <c r="AE295" i="2"/>
  <c r="AD301" i="2"/>
  <c r="AC301" i="2"/>
  <c r="AB301" i="2"/>
  <c r="AN329" i="2"/>
  <c r="M329" i="2"/>
  <c r="Q329" i="2" s="1"/>
  <c r="AM329" i="2"/>
  <c r="P329" i="2"/>
  <c r="AQ329" i="2" s="1"/>
  <c r="O329" i="2"/>
  <c r="AP329" i="2" s="1"/>
  <c r="K329" i="2"/>
  <c r="N329" i="2"/>
  <c r="AO329" i="2" s="1"/>
  <c r="AB330" i="2"/>
  <c r="AN347" i="2"/>
  <c r="M347" i="2"/>
  <c r="Q347" i="2" s="1"/>
  <c r="AM347" i="2"/>
  <c r="O347" i="2"/>
  <c r="AP347" i="2" s="1"/>
  <c r="N347" i="2"/>
  <c r="AO347" i="2" s="1"/>
  <c r="AM438" i="2"/>
  <c r="H438" i="2"/>
  <c r="AF438" i="2" s="1"/>
  <c r="AI438" i="2" s="1"/>
  <c r="AN438" i="2"/>
  <c r="K438" i="2"/>
  <c r="O438" i="2"/>
  <c r="AP438" i="2" s="1"/>
  <c r="M438" i="2"/>
  <c r="Q438" i="2" s="1"/>
  <c r="AK475" i="2"/>
  <c r="AH475" i="2"/>
  <c r="AI475" i="2"/>
  <c r="AL475" i="2"/>
  <c r="AJ475" i="2"/>
  <c r="V27" i="3"/>
  <c r="U27" i="3"/>
  <c r="E233" i="2"/>
  <c r="AC233" i="2"/>
  <c r="AE233" i="2" s="1"/>
  <c r="AM264" i="2"/>
  <c r="K264" i="2"/>
  <c r="E293" i="2"/>
  <c r="AB293" i="2"/>
  <c r="AN311" i="2"/>
  <c r="M311" i="2"/>
  <c r="Q311" i="2" s="1"/>
  <c r="M320" i="2"/>
  <c r="Q320" i="2" s="1"/>
  <c r="AN320" i="2"/>
  <c r="O320" i="2"/>
  <c r="AP320" i="2" s="1"/>
  <c r="AM320" i="2"/>
  <c r="AC347" i="2"/>
  <c r="AE347" i="2" s="1"/>
  <c r="AB347" i="2"/>
  <c r="E347" i="2"/>
  <c r="AD348" i="2"/>
  <c r="AC348" i="2"/>
  <c r="E348" i="2"/>
  <c r="E349" i="2"/>
  <c r="AB349" i="2"/>
  <c r="AC349" i="2"/>
  <c r="H373" i="2"/>
  <c r="AF373" i="2" s="1"/>
  <c r="AL373" i="2" s="1"/>
  <c r="K387" i="2"/>
  <c r="M387" i="2"/>
  <c r="Q387" i="2" s="1"/>
  <c r="AN387" i="2"/>
  <c r="P387" i="2"/>
  <c r="AQ387" i="2" s="1"/>
  <c r="O387" i="2"/>
  <c r="AP387" i="2" s="1"/>
  <c r="H387" i="2"/>
  <c r="AF387" i="2" s="1"/>
  <c r="N427" i="2"/>
  <c r="AO427" i="2" s="1"/>
  <c r="M427" i="2"/>
  <c r="Q427" i="2" s="1"/>
  <c r="E433" i="2"/>
  <c r="AC433" i="2"/>
  <c r="AD433" i="2"/>
  <c r="AE433" i="2" s="1"/>
  <c r="AB433" i="2"/>
  <c r="M441" i="2"/>
  <c r="Q441" i="2" s="1"/>
  <c r="K441" i="2"/>
  <c r="N441" i="2"/>
  <c r="AO441" i="2" s="1"/>
  <c r="H441" i="2"/>
  <c r="AF441" i="2" s="1"/>
  <c r="P441" i="2"/>
  <c r="AQ441" i="2" s="1"/>
  <c r="AM441" i="2"/>
  <c r="E503" i="2"/>
  <c r="AB503" i="2"/>
  <c r="AD503" i="2"/>
  <c r="P236" i="2"/>
  <c r="AQ236" i="2" s="1"/>
  <c r="O236" i="2"/>
  <c r="AP236" i="2" s="1"/>
  <c r="K250" i="2"/>
  <c r="H250" i="2"/>
  <c r="AF250" i="2" s="1"/>
  <c r="P280" i="2"/>
  <c r="AQ280" i="2" s="1"/>
  <c r="O280" i="2"/>
  <c r="AP280" i="2" s="1"/>
  <c r="AM280" i="2"/>
  <c r="AN321" i="2"/>
  <c r="M321" i="2"/>
  <c r="Q321" i="2" s="1"/>
  <c r="N321" i="2"/>
  <c r="AO321" i="2" s="1"/>
  <c r="AM321" i="2"/>
  <c r="AD322" i="2"/>
  <c r="AE322" i="2" s="1"/>
  <c r="E322" i="2"/>
  <c r="AB322" i="2"/>
  <c r="AD344" i="2"/>
  <c r="AE344" i="2" s="1"/>
  <c r="AC344" i="2"/>
  <c r="AB344" i="2"/>
  <c r="AN345" i="2"/>
  <c r="M345" i="2"/>
  <c r="Q345" i="2" s="1"/>
  <c r="AM345" i="2"/>
  <c r="P345" i="2"/>
  <c r="AQ345" i="2" s="1"/>
  <c r="H345" i="2"/>
  <c r="AF345" i="2" s="1"/>
  <c r="P346" i="2"/>
  <c r="AQ346" i="2" s="1"/>
  <c r="M346" i="2"/>
  <c r="Q346" i="2" s="1"/>
  <c r="AE349" i="2"/>
  <c r="AN353" i="2"/>
  <c r="M353" i="2"/>
  <c r="Q353" i="2" s="1"/>
  <c r="AM353" i="2"/>
  <c r="O353" i="2"/>
  <c r="AP353" i="2" s="1"/>
  <c r="AN355" i="2"/>
  <c r="M355" i="2"/>
  <c r="Q355" i="2" s="1"/>
  <c r="AM355" i="2"/>
  <c r="K355" i="2"/>
  <c r="O356" i="2"/>
  <c r="AP356" i="2" s="1"/>
  <c r="H356" i="2"/>
  <c r="AF356" i="2" s="1"/>
  <c r="AN356" i="2"/>
  <c r="AN359" i="2"/>
  <c r="M359" i="2"/>
  <c r="Q359" i="2" s="1"/>
  <c r="AM359" i="2"/>
  <c r="P359" i="2"/>
  <c r="AQ359" i="2" s="1"/>
  <c r="E361" i="2"/>
  <c r="AD361" i="2"/>
  <c r="AE361" i="2" s="1"/>
  <c r="AE365" i="2"/>
  <c r="AB368" i="2"/>
  <c r="E368" i="2"/>
  <c r="AB370" i="2"/>
  <c r="AD370" i="2"/>
  <c r="AE370" i="2" s="1"/>
  <c r="AC370" i="2"/>
  <c r="K401" i="2"/>
  <c r="O401" i="2"/>
  <c r="AP401" i="2" s="1"/>
  <c r="N401" i="2"/>
  <c r="AO401" i="2" s="1"/>
  <c r="H401" i="2"/>
  <c r="AF401" i="2" s="1"/>
  <c r="AJ401" i="2" s="1"/>
  <c r="AM401" i="2"/>
  <c r="M401" i="2"/>
  <c r="Q401" i="2" s="1"/>
  <c r="E437" i="2"/>
  <c r="AC437" i="2"/>
  <c r="AD437" i="2"/>
  <c r="AE437" i="2" s="1"/>
  <c r="AB437" i="2"/>
  <c r="AE442" i="2"/>
  <c r="AD464" i="2"/>
  <c r="AC464" i="2"/>
  <c r="E464" i="2"/>
  <c r="AK498" i="2"/>
  <c r="AL498" i="2"/>
  <c r="AJ498" i="2"/>
  <c r="AI498" i="2"/>
  <c r="AH498" i="2"/>
  <c r="AC503" i="2"/>
  <c r="K373" i="2"/>
  <c r="M373" i="2"/>
  <c r="Q373" i="2" s="1"/>
  <c r="AB374" i="2"/>
  <c r="AD374" i="2"/>
  <c r="AC374" i="2"/>
  <c r="K391" i="2"/>
  <c r="P391" i="2"/>
  <c r="AQ391" i="2" s="1"/>
  <c r="M391" i="2"/>
  <c r="Q391" i="2" s="1"/>
  <c r="AN391" i="2"/>
  <c r="AM391" i="2"/>
  <c r="AE398" i="2"/>
  <c r="P415" i="2"/>
  <c r="AQ415" i="2" s="1"/>
  <c r="K415" i="2"/>
  <c r="H415" i="2"/>
  <c r="AF415" i="2" s="1"/>
  <c r="AL415" i="2" s="1"/>
  <c r="M415" i="2"/>
  <c r="Q415" i="2" s="1"/>
  <c r="AM415" i="2"/>
  <c r="AC431" i="2"/>
  <c r="E431" i="2"/>
  <c r="AB431" i="2"/>
  <c r="AK463" i="2"/>
  <c r="AL463" i="2"/>
  <c r="AJ463" i="2"/>
  <c r="AI463" i="2"/>
  <c r="AH463" i="2"/>
  <c r="AD483" i="2"/>
  <c r="AC483" i="2"/>
  <c r="AN234" i="2"/>
  <c r="M234" i="2"/>
  <c r="Q234" i="2" s="1"/>
  <c r="E277" i="2"/>
  <c r="AB277" i="2"/>
  <c r="AN325" i="2"/>
  <c r="M325" i="2"/>
  <c r="Q325" i="2" s="1"/>
  <c r="H325" i="2"/>
  <c r="AF325" i="2" s="1"/>
  <c r="K325" i="2"/>
  <c r="E327" i="2"/>
  <c r="AC327" i="2"/>
  <c r="AE327" i="2" s="1"/>
  <c r="AM346" i="2"/>
  <c r="AC377" i="2"/>
  <c r="AE377" i="2" s="1"/>
  <c r="AB377" i="2"/>
  <c r="AB380" i="2"/>
  <c r="E380" i="2"/>
  <c r="E422" i="2"/>
  <c r="AC422" i="2"/>
  <c r="AB422" i="2"/>
  <c r="AD422" i="2"/>
  <c r="AE422" i="2" s="1"/>
  <c r="P431" i="2"/>
  <c r="AQ431" i="2" s="1"/>
  <c r="O431" i="2"/>
  <c r="AP431" i="2" s="1"/>
  <c r="N431" i="2"/>
  <c r="AO431" i="2" s="1"/>
  <c r="AM431" i="2"/>
  <c r="H431" i="2"/>
  <c r="AF431" i="2" s="1"/>
  <c r="AN431" i="2"/>
  <c r="AL455" i="2"/>
  <c r="AK455" i="2"/>
  <c r="AJ455" i="2"/>
  <c r="X16" i="3"/>
  <c r="Y16" i="3" s="1"/>
  <c r="O39" i="1" s="1"/>
  <c r="W16" i="3"/>
  <c r="T16" i="3"/>
  <c r="N259" i="2"/>
  <c r="AO259" i="2" s="1"/>
  <c r="M259" i="2"/>
  <c r="Q259" i="2" s="1"/>
  <c r="O266" i="2"/>
  <c r="AP266" i="2" s="1"/>
  <c r="N266" i="2"/>
  <c r="AO266" i="2" s="1"/>
  <c r="AE307" i="2"/>
  <c r="AK324" i="2"/>
  <c r="AB325" i="2"/>
  <c r="AD326" i="2"/>
  <c r="AE326" i="2" s="1"/>
  <c r="AC326" i="2"/>
  <c r="AB326" i="2"/>
  <c r="AN327" i="2"/>
  <c r="M327" i="2"/>
  <c r="Q327" i="2" s="1"/>
  <c r="N327" i="2"/>
  <c r="AO327" i="2" s="1"/>
  <c r="AN346" i="2"/>
  <c r="AM356" i="2"/>
  <c r="AJ372" i="2"/>
  <c r="AL372" i="2"/>
  <c r="AH372" i="2"/>
  <c r="K377" i="2"/>
  <c r="AM377" i="2"/>
  <c r="P377" i="2"/>
  <c r="AQ377" i="2" s="1"/>
  <c r="M377" i="2"/>
  <c r="Q377" i="2" s="1"/>
  <c r="AN380" i="2"/>
  <c r="AM380" i="2"/>
  <c r="K380" i="2"/>
  <c r="N380" i="2"/>
  <c r="AO380" i="2" s="1"/>
  <c r="M380" i="2"/>
  <c r="Q380" i="2" s="1"/>
  <c r="H380" i="2"/>
  <c r="AF380" i="2" s="1"/>
  <c r="AJ380" i="2" s="1"/>
  <c r="E397" i="2"/>
  <c r="AD397" i="2"/>
  <c r="AC397" i="2"/>
  <c r="AN421" i="2"/>
  <c r="H421" i="2"/>
  <c r="AF421" i="2" s="1"/>
  <c r="AI421" i="2" s="1"/>
  <c r="N421" i="2"/>
  <c r="AO421" i="2" s="1"/>
  <c r="P421" i="2"/>
  <c r="AQ421" i="2" s="1"/>
  <c r="O421" i="2"/>
  <c r="AP421" i="2" s="1"/>
  <c r="K421" i="2"/>
  <c r="AD431" i="2"/>
  <c r="AH440" i="2"/>
  <c r="AL440" i="2"/>
  <c r="AI440" i="2"/>
  <c r="AI462" i="2"/>
  <c r="AJ462" i="2"/>
  <c r="E473" i="2"/>
  <c r="AB473" i="2"/>
  <c r="AC473" i="2"/>
  <c r="AD473" i="2"/>
  <c r="AE473" i="2" s="1"/>
  <c r="AB483" i="2"/>
  <c r="AN307" i="2"/>
  <c r="M307" i="2"/>
  <c r="Q307" i="2" s="1"/>
  <c r="AD318" i="2"/>
  <c r="AE318" i="2" s="1"/>
  <c r="E318" i="2"/>
  <c r="AD332" i="2"/>
  <c r="AC332" i="2"/>
  <c r="AN357" i="2"/>
  <c r="M357" i="2"/>
  <c r="Q357" i="2" s="1"/>
  <c r="AM357" i="2"/>
  <c r="P357" i="2"/>
  <c r="AQ357" i="2" s="1"/>
  <c r="O357" i="2"/>
  <c r="AP357" i="2" s="1"/>
  <c r="K357" i="2"/>
  <c r="AB364" i="2"/>
  <c r="AD364" i="2"/>
  <c r="AE364" i="2" s="1"/>
  <c r="K416" i="2"/>
  <c r="H416" i="2"/>
  <c r="AF416" i="2" s="1"/>
  <c r="AJ416" i="2" s="1"/>
  <c r="AM416" i="2"/>
  <c r="N416" i="2"/>
  <c r="AO416" i="2" s="1"/>
  <c r="AC485" i="2"/>
  <c r="AE485" i="2" s="1"/>
  <c r="E485" i="2"/>
  <c r="AB485" i="2"/>
  <c r="H495" i="2"/>
  <c r="AF495" i="2" s="1"/>
  <c r="P495" i="2"/>
  <c r="AQ495" i="2" s="1"/>
  <c r="AN495" i="2"/>
  <c r="K495" i="2"/>
  <c r="AM495" i="2"/>
  <c r="O495" i="2"/>
  <c r="AP495" i="2" s="1"/>
  <c r="AH501" i="2"/>
  <c r="AL501" i="2"/>
  <c r="AI501" i="2"/>
  <c r="AJ501" i="2"/>
  <c r="O48" i="4"/>
  <c r="O308" i="2"/>
  <c r="AP308" i="2" s="1"/>
  <c r="N308" i="2"/>
  <c r="AO308" i="2" s="1"/>
  <c r="AN319" i="2"/>
  <c r="M319" i="2"/>
  <c r="Q319" i="2" s="1"/>
  <c r="O319" i="2"/>
  <c r="AP319" i="2" s="1"/>
  <c r="AN323" i="2"/>
  <c r="M323" i="2"/>
  <c r="Q323" i="2" s="1"/>
  <c r="AC339" i="2"/>
  <c r="AE339" i="2" s="1"/>
  <c r="AB339" i="2"/>
  <c r="N374" i="2"/>
  <c r="AO374" i="2" s="1"/>
  <c r="O374" i="2"/>
  <c r="AP374" i="2" s="1"/>
  <c r="AD452" i="2"/>
  <c r="AC452" i="2"/>
  <c r="AB452" i="2"/>
  <c r="AE461" i="2"/>
  <c r="U38" i="3"/>
  <c r="V38" i="3"/>
  <c r="AD340" i="2"/>
  <c r="AC340" i="2"/>
  <c r="K411" i="2"/>
  <c r="N411" i="2"/>
  <c r="AO411" i="2" s="1"/>
  <c r="M411" i="2"/>
  <c r="Q411" i="2" s="1"/>
  <c r="AN411" i="2"/>
  <c r="P411" i="2"/>
  <c r="AQ411" i="2" s="1"/>
  <c r="H411" i="2"/>
  <c r="AF411" i="2" s="1"/>
  <c r="AE412" i="2"/>
  <c r="AN416" i="2"/>
  <c r="O439" i="2"/>
  <c r="AP439" i="2" s="1"/>
  <c r="P439" i="2"/>
  <c r="AQ439" i="2" s="1"/>
  <c r="N439" i="2"/>
  <c r="AO439" i="2" s="1"/>
  <c r="K439" i="2"/>
  <c r="H439" i="2"/>
  <c r="AF439" i="2" s="1"/>
  <c r="AM439" i="2"/>
  <c r="AM326" i="2"/>
  <c r="N340" i="2"/>
  <c r="AO340" i="2" s="1"/>
  <c r="M340" i="2"/>
  <c r="Q340" i="2" s="1"/>
  <c r="AM340" i="2"/>
  <c r="H340" i="2"/>
  <c r="AF340" i="2" s="1"/>
  <c r="P360" i="2"/>
  <c r="AQ360" i="2" s="1"/>
  <c r="O360" i="2"/>
  <c r="AP360" i="2" s="1"/>
  <c r="AB376" i="2"/>
  <c r="E376" i="2"/>
  <c r="E393" i="2"/>
  <c r="AC393" i="2"/>
  <c r="AD393" i="2"/>
  <c r="AB393" i="2"/>
  <c r="N394" i="2"/>
  <c r="AO394" i="2" s="1"/>
  <c r="P394" i="2"/>
  <c r="AQ394" i="2" s="1"/>
  <c r="AD484" i="2"/>
  <c r="AB484" i="2"/>
  <c r="E484" i="2"/>
  <c r="AC484" i="2"/>
  <c r="H491" i="2"/>
  <c r="AF491" i="2" s="1"/>
  <c r="AN491" i="2"/>
  <c r="N491" i="2"/>
  <c r="AO491" i="2" s="1"/>
  <c r="M491" i="2"/>
  <c r="Q491" i="2" s="1"/>
  <c r="V19" i="3"/>
  <c r="U19" i="3"/>
  <c r="V22" i="3"/>
  <c r="U22" i="3"/>
  <c r="AN309" i="2"/>
  <c r="M309" i="2"/>
  <c r="Q309" i="2" s="1"/>
  <c r="AN333" i="2"/>
  <c r="M333" i="2"/>
  <c r="Q333" i="2" s="1"/>
  <c r="AM333" i="2"/>
  <c r="AN341" i="2"/>
  <c r="M341" i="2"/>
  <c r="Q341" i="2" s="1"/>
  <c r="AM341" i="2"/>
  <c r="AE369" i="2"/>
  <c r="AN447" i="2"/>
  <c r="K447" i="2"/>
  <c r="P447" i="2"/>
  <c r="AQ447" i="2" s="1"/>
  <c r="O447" i="2"/>
  <c r="AP447" i="2" s="1"/>
  <c r="AM447" i="2"/>
  <c r="N447" i="2"/>
  <c r="AO447" i="2" s="1"/>
  <c r="AE458" i="2"/>
  <c r="AK470" i="2"/>
  <c r="AL470" i="2"/>
  <c r="AJ470" i="2"/>
  <c r="AH470" i="2"/>
  <c r="AC477" i="2"/>
  <c r="AD477" i="2"/>
  <c r="AE477" i="2" s="1"/>
  <c r="AD491" i="2"/>
  <c r="AB491" i="2"/>
  <c r="AC491" i="2"/>
  <c r="AH504" i="2"/>
  <c r="AK504" i="2"/>
  <c r="W20" i="3"/>
  <c r="T20" i="3"/>
  <c r="Y20" i="3"/>
  <c r="X20" i="3"/>
  <c r="AB366" i="2"/>
  <c r="E366" i="2"/>
  <c r="E403" i="2"/>
  <c r="AD403" i="2"/>
  <c r="AC403" i="2"/>
  <c r="E419" i="2"/>
  <c r="AD419" i="2"/>
  <c r="AK438" i="2"/>
  <c r="AL438" i="2"/>
  <c r="AJ438" i="2"/>
  <c r="AB490" i="2"/>
  <c r="AD490" i="2"/>
  <c r="AE490" i="2" s="1"/>
  <c r="E490" i="2"/>
  <c r="AI492" i="2"/>
  <c r="AH492" i="2"/>
  <c r="AK492" i="2"/>
  <c r="AL492" i="2"/>
  <c r="T15" i="3"/>
  <c r="X15" i="3"/>
  <c r="Y15" i="3" s="1"/>
  <c r="O38" i="1" s="1"/>
  <c r="U37" i="3"/>
  <c r="V37" i="3"/>
  <c r="AN305" i="2"/>
  <c r="M305" i="2"/>
  <c r="Q305" i="2" s="1"/>
  <c r="AC359" i="2"/>
  <c r="AD366" i="2"/>
  <c r="AE366" i="2" s="1"/>
  <c r="AB386" i="2"/>
  <c r="AC386" i="2"/>
  <c r="AE404" i="2"/>
  <c r="AC419" i="2"/>
  <c r="AI420" i="2"/>
  <c r="AH420" i="2"/>
  <c r="AJ420" i="2"/>
  <c r="AB474" i="2"/>
  <c r="AD474" i="2"/>
  <c r="AE474" i="2" s="1"/>
  <c r="E489" i="2"/>
  <c r="AB489" i="2"/>
  <c r="AD489" i="2"/>
  <c r="AE489" i="2" s="1"/>
  <c r="AD334" i="2"/>
  <c r="AC334" i="2"/>
  <c r="AD342" i="2"/>
  <c r="AC342" i="2"/>
  <c r="AD359" i="2"/>
  <c r="K363" i="2"/>
  <c r="O363" i="2"/>
  <c r="AP363" i="2" s="1"/>
  <c r="N363" i="2"/>
  <c r="AO363" i="2" s="1"/>
  <c r="AM363" i="2"/>
  <c r="H363" i="2"/>
  <c r="AF363" i="2" s="1"/>
  <c r="AK363" i="2" s="1"/>
  <c r="N406" i="2"/>
  <c r="AO406" i="2" s="1"/>
  <c r="P406" i="2"/>
  <c r="AQ406" i="2" s="1"/>
  <c r="O406" i="2"/>
  <c r="AP406" i="2" s="1"/>
  <c r="K406" i="2"/>
  <c r="K407" i="2"/>
  <c r="N407" i="2"/>
  <c r="AO407" i="2" s="1"/>
  <c r="AM407" i="2"/>
  <c r="H407" i="2"/>
  <c r="AF407" i="2" s="1"/>
  <c r="AN407" i="2"/>
  <c r="K413" i="2"/>
  <c r="M413" i="2"/>
  <c r="Q413" i="2" s="1"/>
  <c r="P413" i="2"/>
  <c r="AQ413" i="2" s="1"/>
  <c r="O413" i="2"/>
  <c r="AP413" i="2" s="1"/>
  <c r="H413" i="2"/>
  <c r="AF413" i="2" s="1"/>
  <c r="P417" i="2"/>
  <c r="AQ417" i="2" s="1"/>
  <c r="K417" i="2"/>
  <c r="AN417" i="2"/>
  <c r="P418" i="2"/>
  <c r="AQ418" i="2" s="1"/>
  <c r="O418" i="2"/>
  <c r="AP418" i="2" s="1"/>
  <c r="AE423" i="2"/>
  <c r="N435" i="2"/>
  <c r="AO435" i="2" s="1"/>
  <c r="AN435" i="2"/>
  <c r="AM435" i="2"/>
  <c r="M435" i="2"/>
  <c r="Q435" i="2" s="1"/>
  <c r="AH438" i="2"/>
  <c r="H489" i="2"/>
  <c r="AF489" i="2" s="1"/>
  <c r="O489" i="2"/>
  <c r="AP489" i="2" s="1"/>
  <c r="M489" i="2"/>
  <c r="Q489" i="2" s="1"/>
  <c r="AM489" i="2"/>
  <c r="P489" i="2"/>
  <c r="AQ489" i="2" s="1"/>
  <c r="N489" i="2"/>
  <c r="AO489" i="2" s="1"/>
  <c r="AN489" i="2"/>
  <c r="V33" i="3"/>
  <c r="U33" i="3"/>
  <c r="X43" i="3"/>
  <c r="W43" i="3"/>
  <c r="T43" i="3"/>
  <c r="Y43" i="3"/>
  <c r="U53" i="3"/>
  <c r="O410" i="2"/>
  <c r="AP410" i="2" s="1"/>
  <c r="AN410" i="2"/>
  <c r="H410" i="2"/>
  <c r="AF410" i="2" s="1"/>
  <c r="AJ410" i="2" s="1"/>
  <c r="AD430" i="2"/>
  <c r="AE430" i="2" s="1"/>
  <c r="AC430" i="2"/>
  <c r="E430" i="2"/>
  <c r="AM446" i="2"/>
  <c r="O446" i="2"/>
  <c r="AP446" i="2" s="1"/>
  <c r="AH476" i="2"/>
  <c r="AJ476" i="2"/>
  <c r="AC497" i="2"/>
  <c r="AE497" i="2" s="1"/>
  <c r="E497" i="2"/>
  <c r="AB497" i="2"/>
  <c r="AC350" i="2"/>
  <c r="AE350" i="2" s="1"/>
  <c r="AC352" i="2"/>
  <c r="AE352" i="2" s="1"/>
  <c r="AC354" i="2"/>
  <c r="AE354" i="2" s="1"/>
  <c r="AC356" i="2"/>
  <c r="AE356" i="2" s="1"/>
  <c r="AC358" i="2"/>
  <c r="AE358" i="2" s="1"/>
  <c r="AC360" i="2"/>
  <c r="AE360" i="2" s="1"/>
  <c r="AD362" i="2"/>
  <c r="AE362" i="2" s="1"/>
  <c r="AC381" i="2"/>
  <c r="AE381" i="2" s="1"/>
  <c r="AI394" i="2"/>
  <c r="AC399" i="2"/>
  <c r="E405" i="2"/>
  <c r="AC405" i="2"/>
  <c r="AE405" i="2" s="1"/>
  <c r="AC411" i="2"/>
  <c r="N422" i="2"/>
  <c r="AO422" i="2" s="1"/>
  <c r="H422" i="2"/>
  <c r="AF422" i="2" s="1"/>
  <c r="M422" i="2"/>
  <c r="Q422" i="2" s="1"/>
  <c r="AC423" i="2"/>
  <c r="AB423" i="2"/>
  <c r="AD425" i="2"/>
  <c r="E425" i="2"/>
  <c r="AC425" i="2"/>
  <c r="AC426" i="2"/>
  <c r="AC429" i="2"/>
  <c r="E429" i="2"/>
  <c r="AD429" i="2"/>
  <c r="E445" i="2"/>
  <c r="AC445" i="2"/>
  <c r="AE445" i="2" s="1"/>
  <c r="AB445" i="2"/>
  <c r="AJ446" i="2"/>
  <c r="AI446" i="2"/>
  <c r="AH446" i="2"/>
  <c r="AI476" i="2"/>
  <c r="V39" i="3"/>
  <c r="U39" i="3"/>
  <c r="AM372" i="2"/>
  <c r="K372" i="2"/>
  <c r="K375" i="2"/>
  <c r="N375" i="2"/>
  <c r="AO375" i="2" s="1"/>
  <c r="AB378" i="2"/>
  <c r="E378" i="2"/>
  <c r="K395" i="2"/>
  <c r="P395" i="2"/>
  <c r="AQ395" i="2" s="1"/>
  <c r="AD399" i="2"/>
  <c r="K405" i="2"/>
  <c r="AN405" i="2"/>
  <c r="AM405" i="2"/>
  <c r="AD411" i="2"/>
  <c r="AE411" i="2" s="1"/>
  <c r="N424" i="2"/>
  <c r="AO424" i="2" s="1"/>
  <c r="M424" i="2"/>
  <c r="Q424" i="2" s="1"/>
  <c r="AN424" i="2"/>
  <c r="AM424" i="2"/>
  <c r="K424" i="2"/>
  <c r="H424" i="2"/>
  <c r="AF424" i="2" s="1"/>
  <c r="AL424" i="2" s="1"/>
  <c r="P425" i="2"/>
  <c r="AQ425" i="2" s="1"/>
  <c r="H425" i="2"/>
  <c r="AF425" i="2" s="1"/>
  <c r="AN425" i="2"/>
  <c r="AM425" i="2"/>
  <c r="AD426" i="2"/>
  <c r="AN429" i="2"/>
  <c r="K429" i="2"/>
  <c r="AM429" i="2"/>
  <c r="H429" i="2"/>
  <c r="AF429" i="2" s="1"/>
  <c r="O429" i="2"/>
  <c r="AP429" i="2" s="1"/>
  <c r="N429" i="2"/>
  <c r="AO429" i="2" s="1"/>
  <c r="M429" i="2"/>
  <c r="Q429" i="2" s="1"/>
  <c r="AJ432" i="2"/>
  <c r="AI432" i="2"/>
  <c r="AH432" i="2"/>
  <c r="AL432" i="2"/>
  <c r="AK432" i="2"/>
  <c r="AM444" i="2"/>
  <c r="O444" i="2"/>
  <c r="AP444" i="2" s="1"/>
  <c r="P444" i="2"/>
  <c r="AQ444" i="2" s="1"/>
  <c r="N444" i="2"/>
  <c r="AO444" i="2" s="1"/>
  <c r="M444" i="2"/>
  <c r="Q444" i="2" s="1"/>
  <c r="AN444" i="2"/>
  <c r="N445" i="2"/>
  <c r="AO445" i="2" s="1"/>
  <c r="AN445" i="2"/>
  <c r="AM445" i="2"/>
  <c r="H467" i="2"/>
  <c r="AF467" i="2" s="1"/>
  <c r="AI467" i="2" s="1"/>
  <c r="N467" i="2"/>
  <c r="AO467" i="2" s="1"/>
  <c r="K467" i="2"/>
  <c r="O467" i="2"/>
  <c r="AP467" i="2" s="1"/>
  <c r="M467" i="2"/>
  <c r="Q467" i="2" s="1"/>
  <c r="P467" i="2"/>
  <c r="AQ467" i="2" s="1"/>
  <c r="E468" i="2"/>
  <c r="AD468" i="2"/>
  <c r="AE468" i="2" s="1"/>
  <c r="AB468" i="2"/>
  <c r="AD471" i="2"/>
  <c r="AE471" i="2" s="1"/>
  <c r="E471" i="2"/>
  <c r="AB471" i="2"/>
  <c r="AK476" i="2"/>
  <c r="E507" i="2"/>
  <c r="AD507" i="2"/>
  <c r="AE507" i="2" s="1"/>
  <c r="AN379" i="2"/>
  <c r="N426" i="2"/>
  <c r="AO426" i="2" s="1"/>
  <c r="P426" i="2"/>
  <c r="AQ426" i="2" s="1"/>
  <c r="O426" i="2"/>
  <c r="AP426" i="2" s="1"/>
  <c r="H471" i="2"/>
  <c r="AF471" i="2" s="1"/>
  <c r="AN471" i="2"/>
  <c r="P471" i="2"/>
  <c r="AQ471" i="2" s="1"/>
  <c r="O471" i="2"/>
  <c r="AP471" i="2" s="1"/>
  <c r="N471" i="2"/>
  <c r="AO471" i="2" s="1"/>
  <c r="M471" i="2"/>
  <c r="Q471" i="2" s="1"/>
  <c r="AM471" i="2"/>
  <c r="AD496" i="2"/>
  <c r="AC496" i="2"/>
  <c r="E496" i="2"/>
  <c r="AC499" i="2"/>
  <c r="AD499" i="2"/>
  <c r="AE499" i="2" s="1"/>
  <c r="AE505" i="2"/>
  <c r="X30" i="3"/>
  <c r="W30" i="3"/>
  <c r="Y30" i="3"/>
  <c r="T30" i="3"/>
  <c r="E435" i="2"/>
  <c r="AC435" i="2"/>
  <c r="AE435" i="2" s="1"/>
  <c r="AB435" i="2"/>
  <c r="AM436" i="2"/>
  <c r="O436" i="2"/>
  <c r="AP436" i="2" s="1"/>
  <c r="AB450" i="2"/>
  <c r="E450" i="2"/>
  <c r="AD450" i="2"/>
  <c r="AC450" i="2"/>
  <c r="N451" i="2"/>
  <c r="AO451" i="2" s="1"/>
  <c r="AN451" i="2"/>
  <c r="H451" i="2"/>
  <c r="AF451" i="2" s="1"/>
  <c r="K451" i="2"/>
  <c r="AM451" i="2"/>
  <c r="P452" i="2"/>
  <c r="AQ452" i="2" s="1"/>
  <c r="M452" i="2"/>
  <c r="Q452" i="2" s="1"/>
  <c r="K452" i="2"/>
  <c r="E453" i="2"/>
  <c r="AD453" i="2"/>
  <c r="AE453" i="2" s="1"/>
  <c r="AB453" i="2"/>
  <c r="H477" i="2"/>
  <c r="AF477" i="2" s="1"/>
  <c r="N477" i="2"/>
  <c r="AO477" i="2" s="1"/>
  <c r="AM477" i="2"/>
  <c r="P477" i="2"/>
  <c r="AQ477" i="2" s="1"/>
  <c r="O477" i="2"/>
  <c r="AP477" i="2" s="1"/>
  <c r="M477" i="2"/>
  <c r="Q477" i="2" s="1"/>
  <c r="AC479" i="2"/>
  <c r="AB479" i="2"/>
  <c r="AD479" i="2"/>
  <c r="AE479" i="2" s="1"/>
  <c r="X13" i="3"/>
  <c r="Y13" i="3" s="1"/>
  <c r="O36" i="1" s="1"/>
  <c r="T13" i="3"/>
  <c r="K36" i="1" s="1"/>
  <c r="L36" i="1" s="1"/>
  <c r="W13" i="3"/>
  <c r="W45" i="3"/>
  <c r="Y45" i="3"/>
  <c r="X45" i="3"/>
  <c r="AN437" i="2"/>
  <c r="K437" i="2"/>
  <c r="P437" i="2"/>
  <c r="AQ437" i="2" s="1"/>
  <c r="O437" i="2"/>
  <c r="AP437" i="2" s="1"/>
  <c r="AM437" i="2"/>
  <c r="AD454" i="2"/>
  <c r="AC454" i="2"/>
  <c r="AB454" i="2"/>
  <c r="X40" i="3"/>
  <c r="T40" i="3"/>
  <c r="W40" i="3"/>
  <c r="AC413" i="2"/>
  <c r="AC417" i="2"/>
  <c r="AE427" i="2"/>
  <c r="AK448" i="2"/>
  <c r="AL448" i="2"/>
  <c r="AJ448" i="2"/>
  <c r="AE451" i="2"/>
  <c r="AD456" i="2"/>
  <c r="AE456" i="2" s="1"/>
  <c r="E456" i="2"/>
  <c r="AC457" i="2"/>
  <c r="E457" i="2"/>
  <c r="N459" i="2"/>
  <c r="AO459" i="2" s="1"/>
  <c r="P459" i="2"/>
  <c r="AQ459" i="2" s="1"/>
  <c r="M459" i="2"/>
  <c r="Q459" i="2" s="1"/>
  <c r="O459" i="2"/>
  <c r="AP459" i="2" s="1"/>
  <c r="AD413" i="2"/>
  <c r="AD417" i="2"/>
  <c r="N455" i="2"/>
  <c r="AO455" i="2" s="1"/>
  <c r="AM455" i="2"/>
  <c r="K455" i="2"/>
  <c r="P455" i="2"/>
  <c r="AQ455" i="2" s="1"/>
  <c r="H456" i="2"/>
  <c r="AF456" i="2" s="1"/>
  <c r="AN456" i="2"/>
  <c r="N456" i="2"/>
  <c r="AO456" i="2" s="1"/>
  <c r="M456" i="2"/>
  <c r="Q456" i="2" s="1"/>
  <c r="N457" i="2"/>
  <c r="AO457" i="2" s="1"/>
  <c r="O457" i="2"/>
  <c r="AP457" i="2" s="1"/>
  <c r="AN457" i="2"/>
  <c r="H457" i="2"/>
  <c r="AF457" i="2" s="1"/>
  <c r="AM457" i="2"/>
  <c r="AB459" i="2"/>
  <c r="N461" i="2"/>
  <c r="AO461" i="2" s="1"/>
  <c r="AM461" i="2"/>
  <c r="P461" i="2"/>
  <c r="AQ461" i="2" s="1"/>
  <c r="O461" i="2"/>
  <c r="AP461" i="2" s="1"/>
  <c r="M461" i="2"/>
  <c r="Q461" i="2" s="1"/>
  <c r="AN461" i="2"/>
  <c r="AN462" i="2"/>
  <c r="H462" i="2"/>
  <c r="AF462" i="2" s="1"/>
  <c r="AL462" i="2" s="1"/>
  <c r="K462" i="2"/>
  <c r="AC481" i="2"/>
  <c r="AD481" i="2"/>
  <c r="AE481" i="2" s="1"/>
  <c r="E481" i="2"/>
  <c r="AB481" i="2"/>
  <c r="X24" i="3"/>
  <c r="T24" i="3"/>
  <c r="Y24" i="3"/>
  <c r="W24" i="3"/>
  <c r="T45" i="3"/>
  <c r="U57" i="3"/>
  <c r="V57" i="3"/>
  <c r="M423" i="2"/>
  <c r="Q423" i="2" s="1"/>
  <c r="M433" i="2"/>
  <c r="Q433" i="2" s="1"/>
  <c r="E486" i="2"/>
  <c r="AD486" i="2"/>
  <c r="AE486" i="2" s="1"/>
  <c r="H499" i="2"/>
  <c r="AF499" i="2" s="1"/>
  <c r="M499" i="2"/>
  <c r="Q499" i="2" s="1"/>
  <c r="N499" i="2"/>
  <c r="AO499" i="2" s="1"/>
  <c r="K499" i="2"/>
  <c r="E500" i="2"/>
  <c r="AC500" i="2"/>
  <c r="AE500" i="2" s="1"/>
  <c r="X10" i="3"/>
  <c r="Y53" i="3"/>
  <c r="X53" i="3"/>
  <c r="AN428" i="2"/>
  <c r="AM442" i="2"/>
  <c r="K442" i="2"/>
  <c r="E449" i="2"/>
  <c r="AD449" i="2"/>
  <c r="AE449" i="2" s="1"/>
  <c r="H469" i="2"/>
  <c r="AF469" i="2" s="1"/>
  <c r="AM469" i="2"/>
  <c r="H475" i="2"/>
  <c r="AF475" i="2" s="1"/>
  <c r="P475" i="2"/>
  <c r="AQ475" i="2" s="1"/>
  <c r="AN475" i="2"/>
  <c r="AB486" i="2"/>
  <c r="AB500" i="2"/>
  <c r="AB501" i="2"/>
  <c r="AM433" i="2"/>
  <c r="H433" i="2"/>
  <c r="AF433" i="2" s="1"/>
  <c r="E443" i="2"/>
  <c r="AC443" i="2"/>
  <c r="AE443" i="2" s="1"/>
  <c r="AC465" i="2"/>
  <c r="AD465" i="2"/>
  <c r="AE465" i="2" s="1"/>
  <c r="W21" i="3"/>
  <c r="T21" i="3"/>
  <c r="U49" i="3"/>
  <c r="V49" i="3"/>
  <c r="AM443" i="2"/>
  <c r="H443" i="2"/>
  <c r="AF443" i="2" s="1"/>
  <c r="P460" i="2"/>
  <c r="AQ460" i="2" s="1"/>
  <c r="O460" i="2"/>
  <c r="AP460" i="2" s="1"/>
  <c r="AM460" i="2"/>
  <c r="H465" i="2"/>
  <c r="AF465" i="2" s="1"/>
  <c r="P465" i="2"/>
  <c r="AQ465" i="2" s="1"/>
  <c r="AM465" i="2"/>
  <c r="AN465" i="2"/>
  <c r="AE487" i="2"/>
  <c r="U41" i="3"/>
  <c r="AB443" i="2"/>
  <c r="AB460" i="2"/>
  <c r="AB465" i="2"/>
  <c r="E482" i="2"/>
  <c r="AD482" i="2"/>
  <c r="AE482" i="2" s="1"/>
  <c r="AC494" i="2"/>
  <c r="AE494" i="2" s="1"/>
  <c r="E495" i="2"/>
  <c r="AD495" i="2"/>
  <c r="AE495" i="2" s="1"/>
  <c r="AB504" i="2"/>
  <c r="AC506" i="2"/>
  <c r="AE506" i="2" s="1"/>
  <c r="E506" i="2"/>
  <c r="T28" i="3"/>
  <c r="Y28" i="3"/>
  <c r="X28" i="3"/>
  <c r="W46" i="3"/>
  <c r="T46" i="3"/>
  <c r="E441" i="2"/>
  <c r="AC441" i="2"/>
  <c r="AE441" i="2" s="1"/>
  <c r="E502" i="2"/>
  <c r="AC502" i="2"/>
  <c r="AE502" i="2" s="1"/>
  <c r="T26" i="3"/>
  <c r="Y26" i="3"/>
  <c r="Y51" i="3"/>
  <c r="T51" i="3"/>
  <c r="Y22" i="3"/>
  <c r="W22" i="3"/>
  <c r="H481" i="2"/>
  <c r="AF481" i="2" s="1"/>
  <c r="M481" i="2"/>
  <c r="Q481" i="2" s="1"/>
  <c r="H493" i="2"/>
  <c r="AF493" i="2" s="1"/>
  <c r="N493" i="2"/>
  <c r="AO493" i="2" s="1"/>
  <c r="W41" i="3"/>
  <c r="Y41" i="3"/>
  <c r="X41" i="3"/>
  <c r="H501" i="2"/>
  <c r="AF501" i="2" s="1"/>
  <c r="AK501" i="2" s="1"/>
  <c r="P501" i="2"/>
  <c r="AQ501" i="2" s="1"/>
  <c r="AB505" i="2"/>
  <c r="T14" i="3"/>
  <c r="Y14" i="3"/>
  <c r="O37" i="1" s="1"/>
  <c r="Y39" i="3"/>
  <c r="X39" i="3"/>
  <c r="AM493" i="2"/>
  <c r="W55" i="3"/>
  <c r="Y55" i="3"/>
  <c r="O463" i="2"/>
  <c r="AP463" i="2" s="1"/>
  <c r="K479" i="2"/>
  <c r="AM479" i="2"/>
  <c r="O483" i="2"/>
  <c r="AP483" i="2" s="1"/>
  <c r="P479" i="2"/>
  <c r="AQ479" i="2" s="1"/>
  <c r="W34" i="3"/>
  <c r="AM503" i="2"/>
  <c r="T8" i="3"/>
  <c r="P7" i="6"/>
  <c r="AJ297" i="2" l="1"/>
  <c r="AI297" i="2"/>
  <c r="AH297" i="2"/>
  <c r="AK297" i="2"/>
  <c r="AL297" i="2"/>
  <c r="AK50" i="2"/>
  <c r="AL50" i="2"/>
  <c r="AI50" i="2"/>
  <c r="AJ50" i="2"/>
  <c r="AH50" i="2"/>
  <c r="AK506" i="2"/>
  <c r="AL506" i="2"/>
  <c r="AI506" i="2"/>
  <c r="AH506" i="2"/>
  <c r="AJ506" i="2"/>
  <c r="AL90" i="2"/>
  <c r="AK90" i="2"/>
  <c r="AJ90" i="2"/>
  <c r="AI90" i="2"/>
  <c r="AH90" i="2"/>
  <c r="AL74" i="2"/>
  <c r="AK74" i="2"/>
  <c r="AJ74" i="2"/>
  <c r="AI74" i="2"/>
  <c r="AH74" i="2"/>
  <c r="AL381" i="2"/>
  <c r="AK381" i="2"/>
  <c r="AJ381" i="2"/>
  <c r="AH381" i="2"/>
  <c r="AI381" i="2"/>
  <c r="AJ445" i="2"/>
  <c r="AI445" i="2"/>
  <c r="AL445" i="2"/>
  <c r="AK445" i="2"/>
  <c r="AH445" i="2"/>
  <c r="V10" i="3"/>
  <c r="U10" i="3"/>
  <c r="K33" i="1"/>
  <c r="AL209" i="2"/>
  <c r="AJ209" i="2"/>
  <c r="AK209" i="2"/>
  <c r="AI209" i="2"/>
  <c r="AH209" i="2"/>
  <c r="AL106" i="2"/>
  <c r="AJ106" i="2"/>
  <c r="AK106" i="2"/>
  <c r="AI106" i="2"/>
  <c r="AH106" i="2"/>
  <c r="AL98" i="2"/>
  <c r="AJ98" i="2"/>
  <c r="AK98" i="2"/>
  <c r="AI98" i="2"/>
  <c r="AH98" i="2"/>
  <c r="AL47" i="2"/>
  <c r="AH47" i="2"/>
  <c r="AI47" i="2"/>
  <c r="AK47" i="2"/>
  <c r="AJ47" i="2"/>
  <c r="AJ46" i="2"/>
  <c r="AL46" i="2"/>
  <c r="AK46" i="2"/>
  <c r="AI46" i="2"/>
  <c r="AH46" i="2"/>
  <c r="AK356" i="2"/>
  <c r="AL356" i="2"/>
  <c r="AJ356" i="2"/>
  <c r="AH356" i="2"/>
  <c r="AI356" i="2"/>
  <c r="AJ443" i="2"/>
  <c r="AK443" i="2"/>
  <c r="AL443" i="2"/>
  <c r="AH443" i="2"/>
  <c r="AI443" i="2"/>
  <c r="AK500" i="2"/>
  <c r="AH500" i="2"/>
  <c r="AL500" i="2"/>
  <c r="AJ500" i="2"/>
  <c r="AI500" i="2"/>
  <c r="AK60" i="2"/>
  <c r="AI60" i="2"/>
  <c r="AH60" i="2"/>
  <c r="AL60" i="2"/>
  <c r="AJ60" i="2"/>
  <c r="AI30" i="2"/>
  <c r="AH30" i="2"/>
  <c r="AL30" i="2" s="1"/>
  <c r="W30" i="2" s="1"/>
  <c r="AJ30" i="2"/>
  <c r="AK30" i="2"/>
  <c r="AJ494" i="2"/>
  <c r="AK494" i="2"/>
  <c r="AL494" i="2"/>
  <c r="AI494" i="2"/>
  <c r="AH494" i="2"/>
  <c r="AK497" i="2"/>
  <c r="AL497" i="2"/>
  <c r="AI497" i="2"/>
  <c r="AJ497" i="2"/>
  <c r="AH497" i="2"/>
  <c r="AI339" i="2"/>
  <c r="AL339" i="2"/>
  <c r="AK339" i="2"/>
  <c r="AJ339" i="2"/>
  <c r="AH339" i="2"/>
  <c r="AJ331" i="2"/>
  <c r="AK331" i="2"/>
  <c r="AI331" i="2"/>
  <c r="AH331" i="2"/>
  <c r="AL331" i="2"/>
  <c r="AJ245" i="2"/>
  <c r="AH245" i="2"/>
  <c r="AL245" i="2"/>
  <c r="AI245" i="2"/>
  <c r="AK245" i="2"/>
  <c r="AI140" i="2"/>
  <c r="AL140" i="2"/>
  <c r="AK140" i="2"/>
  <c r="AJ140" i="2"/>
  <c r="AH140" i="2"/>
  <c r="AL358" i="2"/>
  <c r="AK358" i="2"/>
  <c r="AH358" i="2"/>
  <c r="AI358" i="2"/>
  <c r="AJ358" i="2"/>
  <c r="AL172" i="2"/>
  <c r="AJ172" i="2"/>
  <c r="AI172" i="2"/>
  <c r="AH172" i="2"/>
  <c r="AK172" i="2"/>
  <c r="AJ233" i="2"/>
  <c r="AK233" i="2"/>
  <c r="AI233" i="2"/>
  <c r="AH233" i="2"/>
  <c r="AL233" i="2"/>
  <c r="AJ435" i="2"/>
  <c r="AI435" i="2"/>
  <c r="AL435" i="2"/>
  <c r="AK435" i="2"/>
  <c r="AH435" i="2"/>
  <c r="Z15" i="1"/>
  <c r="AK495" i="2"/>
  <c r="AH495" i="2"/>
  <c r="AL495" i="2"/>
  <c r="AI495" i="2"/>
  <c r="AJ495" i="2"/>
  <c r="AL451" i="2"/>
  <c r="AK451" i="2"/>
  <c r="AJ451" i="2"/>
  <c r="AH451" i="2"/>
  <c r="AI451" i="2"/>
  <c r="AK505" i="2"/>
  <c r="AL505" i="2"/>
  <c r="AJ505" i="2"/>
  <c r="AH505" i="2"/>
  <c r="AI505" i="2"/>
  <c r="AL405" i="2"/>
  <c r="AJ405" i="2"/>
  <c r="AI405" i="2"/>
  <c r="AK405" i="2"/>
  <c r="AH405" i="2"/>
  <c r="AE393" i="2"/>
  <c r="AI344" i="2"/>
  <c r="AH344" i="2"/>
  <c r="AL344" i="2"/>
  <c r="AK344" i="2"/>
  <c r="AJ344" i="2"/>
  <c r="AK384" i="2"/>
  <c r="AJ384" i="2"/>
  <c r="AI384" i="2"/>
  <c r="AL384" i="2"/>
  <c r="AH384" i="2"/>
  <c r="AI157" i="2"/>
  <c r="AH157" i="2"/>
  <c r="AL157" i="2"/>
  <c r="AK157" i="2"/>
  <c r="AJ157" i="2"/>
  <c r="AL164" i="2"/>
  <c r="AK164" i="2"/>
  <c r="AJ164" i="2"/>
  <c r="AI164" i="2"/>
  <c r="AH164" i="2"/>
  <c r="AL306" i="2"/>
  <c r="AH306" i="2"/>
  <c r="AK306" i="2"/>
  <c r="AJ306" i="2"/>
  <c r="AI306" i="2"/>
  <c r="AJ100" i="2"/>
  <c r="AH100" i="2"/>
  <c r="AL100" i="2"/>
  <c r="AK100" i="2"/>
  <c r="AI100" i="2"/>
  <c r="AH292" i="2"/>
  <c r="AH204" i="2"/>
  <c r="AL204" i="2"/>
  <c r="AK204" i="2"/>
  <c r="AJ204" i="2"/>
  <c r="AI204" i="2"/>
  <c r="AK410" i="2"/>
  <c r="AJ267" i="2"/>
  <c r="AI267" i="2"/>
  <c r="AK267" i="2"/>
  <c r="AL267" i="2"/>
  <c r="AH267" i="2"/>
  <c r="AI54" i="2"/>
  <c r="AH54" i="2"/>
  <c r="AL54" i="2"/>
  <c r="AK54" i="2"/>
  <c r="AJ54" i="2"/>
  <c r="AF22" i="2"/>
  <c r="AI22" i="2" s="1"/>
  <c r="AI14" i="2"/>
  <c r="AH14" i="2"/>
  <c r="AK14" i="2"/>
  <c r="AJ14" i="2"/>
  <c r="AL14" i="2" s="1"/>
  <c r="W14" i="2" s="1"/>
  <c r="N25" i="6" s="1"/>
  <c r="AL380" i="2"/>
  <c r="L33" i="6"/>
  <c r="I33" i="6"/>
  <c r="H33" i="6"/>
  <c r="G33" i="6"/>
  <c r="F33" i="6"/>
  <c r="E33" i="6"/>
  <c r="D33" i="6"/>
  <c r="C33" i="6"/>
  <c r="B33" i="6"/>
  <c r="N33" i="6"/>
  <c r="J33" i="6"/>
  <c r="M33" i="6"/>
  <c r="K33" i="6"/>
  <c r="G51" i="6"/>
  <c r="F51" i="6"/>
  <c r="N51" i="6"/>
  <c r="M51" i="6"/>
  <c r="L51" i="6"/>
  <c r="K51" i="6"/>
  <c r="J51" i="6"/>
  <c r="I51" i="6"/>
  <c r="H51" i="6"/>
  <c r="C51" i="6"/>
  <c r="B51" i="6"/>
  <c r="D51" i="6"/>
  <c r="E51" i="6"/>
  <c r="X19" i="1"/>
  <c r="Z19" i="1" s="1"/>
  <c r="W11" i="3"/>
  <c r="AH416" i="2"/>
  <c r="AJ283" i="2"/>
  <c r="AI283" i="2"/>
  <c r="AL283" i="2"/>
  <c r="AK283" i="2"/>
  <c r="AH283" i="2"/>
  <c r="AK24" i="2"/>
  <c r="AJ24" i="2"/>
  <c r="AL401" i="2"/>
  <c r="J46" i="6"/>
  <c r="G46" i="6"/>
  <c r="F46" i="6"/>
  <c r="E46" i="6"/>
  <c r="D46" i="6"/>
  <c r="C46" i="6"/>
  <c r="B46" i="6"/>
  <c r="N46" i="6"/>
  <c r="M46" i="6"/>
  <c r="L46" i="6"/>
  <c r="K46" i="6"/>
  <c r="I46" i="6"/>
  <c r="H46" i="6"/>
  <c r="AL360" i="2"/>
  <c r="AI360" i="2"/>
  <c r="AH360" i="2"/>
  <c r="AK360" i="2"/>
  <c r="AJ360" i="2"/>
  <c r="AH313" i="2"/>
  <c r="AL313" i="2"/>
  <c r="AK313" i="2"/>
  <c r="AJ313" i="2"/>
  <c r="AI313" i="2"/>
  <c r="AL182" i="2"/>
  <c r="AK182" i="2"/>
  <c r="AI182" i="2"/>
  <c r="AJ182" i="2"/>
  <c r="AH182" i="2"/>
  <c r="AL290" i="2"/>
  <c r="AE338" i="2"/>
  <c r="AE215" i="2"/>
  <c r="AJ351" i="2"/>
  <c r="AI351" i="2"/>
  <c r="AK351" i="2"/>
  <c r="AL351" i="2"/>
  <c r="AH351" i="2"/>
  <c r="AJ285" i="2"/>
  <c r="AI285" i="2"/>
  <c r="AL285" i="2"/>
  <c r="AK285" i="2"/>
  <c r="AH285" i="2"/>
  <c r="AH390" i="2"/>
  <c r="AL77" i="2"/>
  <c r="AJ77" i="2"/>
  <c r="AI77" i="2"/>
  <c r="AK77" i="2"/>
  <c r="AH77" i="2"/>
  <c r="AI35" i="2"/>
  <c r="AH212" i="2"/>
  <c r="AJ212" i="2"/>
  <c r="AL212" i="2"/>
  <c r="AK212" i="2"/>
  <c r="AI212" i="2"/>
  <c r="AK23" i="2"/>
  <c r="AE53" i="2"/>
  <c r="N50" i="6"/>
  <c r="K50" i="6"/>
  <c r="J50" i="6"/>
  <c r="I50" i="6"/>
  <c r="H50" i="6"/>
  <c r="G50" i="6"/>
  <c r="F50" i="6"/>
  <c r="E50" i="6"/>
  <c r="D50" i="6"/>
  <c r="C50" i="6"/>
  <c r="M50" i="6"/>
  <c r="B50" i="6"/>
  <c r="L50" i="6"/>
  <c r="N39" i="6"/>
  <c r="H39" i="6"/>
  <c r="E39" i="6"/>
  <c r="D39" i="6"/>
  <c r="C39" i="6"/>
  <c r="B39" i="6"/>
  <c r="M39" i="6"/>
  <c r="L39" i="6"/>
  <c r="K39" i="6"/>
  <c r="I39" i="6"/>
  <c r="G39" i="6"/>
  <c r="F39" i="6"/>
  <c r="J39" i="6"/>
  <c r="Y24" i="1"/>
  <c r="AE34" i="2"/>
  <c r="AK21" i="2"/>
  <c r="AI21" i="2"/>
  <c r="AI126" i="2"/>
  <c r="AL126" i="2"/>
  <c r="AK126" i="2"/>
  <c r="AJ126" i="2"/>
  <c r="AH126" i="2"/>
  <c r="AJ502" i="2"/>
  <c r="AI502" i="2"/>
  <c r="AH502" i="2"/>
  <c r="AK502" i="2"/>
  <c r="AL502" i="2"/>
  <c r="AE450" i="2"/>
  <c r="AE429" i="2"/>
  <c r="AK366" i="2"/>
  <c r="AJ366" i="2"/>
  <c r="AH366" i="2"/>
  <c r="AL366" i="2"/>
  <c r="AI366" i="2"/>
  <c r="AE419" i="2"/>
  <c r="AE340" i="2"/>
  <c r="AJ291" i="2"/>
  <c r="AI291" i="2"/>
  <c r="AL291" i="2"/>
  <c r="AH291" i="2"/>
  <c r="AK291" i="2"/>
  <c r="AH333" i="2"/>
  <c r="AI333" i="2"/>
  <c r="AK333" i="2"/>
  <c r="AL333" i="2"/>
  <c r="AJ333" i="2"/>
  <c r="AI448" i="2"/>
  <c r="AH448" i="2"/>
  <c r="AH220" i="2"/>
  <c r="AI220" i="2"/>
  <c r="AJ220" i="2"/>
  <c r="AL220" i="2"/>
  <c r="AK220" i="2"/>
  <c r="AE219" i="2"/>
  <c r="AL89" i="2"/>
  <c r="AK89" i="2"/>
  <c r="AJ89" i="2"/>
  <c r="AI89" i="2"/>
  <c r="AH89" i="2"/>
  <c r="AJ190" i="2"/>
  <c r="AH190" i="2"/>
  <c r="AI190" i="2"/>
  <c r="AL190" i="2"/>
  <c r="AK190" i="2"/>
  <c r="AE205" i="2"/>
  <c r="AI244" i="2"/>
  <c r="AE192" i="2"/>
  <c r="AE198" i="2"/>
  <c r="AK390" i="2"/>
  <c r="AJ35" i="2"/>
  <c r="AL35" i="2" s="1"/>
  <c r="W35" i="2" s="1"/>
  <c r="AE92" i="2"/>
  <c r="AL371" i="2"/>
  <c r="AI371" i="2"/>
  <c r="AH371" i="2"/>
  <c r="AJ371" i="2"/>
  <c r="AK371" i="2"/>
  <c r="AI23" i="2"/>
  <c r="AF13" i="2"/>
  <c r="AH144" i="2"/>
  <c r="AK144" i="2"/>
  <c r="AJ144" i="2"/>
  <c r="AI144" i="2"/>
  <c r="AL144" i="2"/>
  <c r="AH87" i="2"/>
  <c r="M32" i="6"/>
  <c r="L32" i="6"/>
  <c r="F32" i="6"/>
  <c r="C32" i="6"/>
  <c r="B32" i="6"/>
  <c r="K32" i="6"/>
  <c r="J32" i="6"/>
  <c r="H32" i="6"/>
  <c r="G32" i="6"/>
  <c r="E32" i="6"/>
  <c r="I32" i="6"/>
  <c r="N32" i="6"/>
  <c r="D32" i="6"/>
  <c r="N49" i="6"/>
  <c r="H49" i="6"/>
  <c r="E49" i="6"/>
  <c r="D49" i="6"/>
  <c r="C49" i="6"/>
  <c r="B49" i="6"/>
  <c r="M49" i="6"/>
  <c r="L49" i="6"/>
  <c r="F49" i="6"/>
  <c r="K49" i="6"/>
  <c r="J49" i="6"/>
  <c r="I49" i="6"/>
  <c r="G49" i="6"/>
  <c r="Y15" i="1"/>
  <c r="AF18" i="2"/>
  <c r="AI18" i="2" s="1"/>
  <c r="W18" i="2"/>
  <c r="AI319" i="2"/>
  <c r="AK319" i="2"/>
  <c r="AL319" i="2"/>
  <c r="AJ319" i="2"/>
  <c r="AH319" i="2"/>
  <c r="AH380" i="2"/>
  <c r="AK378" i="2"/>
  <c r="AJ378" i="2"/>
  <c r="AL378" i="2"/>
  <c r="AI378" i="2"/>
  <c r="AH378" i="2"/>
  <c r="L43" i="6"/>
  <c r="I43" i="6"/>
  <c r="H43" i="6"/>
  <c r="G43" i="6"/>
  <c r="F43" i="6"/>
  <c r="E43" i="6"/>
  <c r="D43" i="6"/>
  <c r="C43" i="6"/>
  <c r="B43" i="6"/>
  <c r="M43" i="6"/>
  <c r="K43" i="6"/>
  <c r="N43" i="6"/>
  <c r="J43" i="6"/>
  <c r="F8" i="1"/>
  <c r="AK465" i="2"/>
  <c r="AJ465" i="2"/>
  <c r="AI465" i="2"/>
  <c r="AH465" i="2"/>
  <c r="AL465" i="2"/>
  <c r="AK423" i="2"/>
  <c r="AL423" i="2"/>
  <c r="AJ423" i="2"/>
  <c r="AI423" i="2"/>
  <c r="AH423" i="2"/>
  <c r="V26" i="3"/>
  <c r="U26" i="3"/>
  <c r="AL395" i="2"/>
  <c r="AJ395" i="2"/>
  <c r="AI395" i="2"/>
  <c r="AH395" i="2"/>
  <c r="AK395" i="2"/>
  <c r="N59" i="6"/>
  <c r="M59" i="6"/>
  <c r="H59" i="6"/>
  <c r="E59" i="6"/>
  <c r="D59" i="6"/>
  <c r="C59" i="6"/>
  <c r="B59" i="6"/>
  <c r="L59" i="6"/>
  <c r="G59" i="6"/>
  <c r="K59" i="6"/>
  <c r="J59" i="6"/>
  <c r="I59" i="6"/>
  <c r="F59" i="6"/>
  <c r="AI222" i="2"/>
  <c r="AH216" i="2"/>
  <c r="AL216" i="2"/>
  <c r="AK216" i="2"/>
  <c r="AJ216" i="2"/>
  <c r="AI216" i="2"/>
  <c r="AJ93" i="2"/>
  <c r="AI486" i="2"/>
  <c r="AK486" i="2"/>
  <c r="AH486" i="2"/>
  <c r="AL486" i="2"/>
  <c r="AJ486" i="2"/>
  <c r="AE454" i="2"/>
  <c r="AE342" i="2"/>
  <c r="AI461" i="2"/>
  <c r="AK461" i="2"/>
  <c r="AJ461" i="2"/>
  <c r="AL461" i="2"/>
  <c r="AH461" i="2"/>
  <c r="AL365" i="2"/>
  <c r="AK365" i="2"/>
  <c r="AJ365" i="2"/>
  <c r="AI365" i="2"/>
  <c r="AH365" i="2"/>
  <c r="AI288" i="2"/>
  <c r="AH288" i="2"/>
  <c r="AL288" i="2"/>
  <c r="AK288" i="2"/>
  <c r="AJ288" i="2"/>
  <c r="AE466" i="2"/>
  <c r="AE312" i="2"/>
  <c r="AE303" i="2"/>
  <c r="AE185" i="2"/>
  <c r="AI376" i="2"/>
  <c r="AK28" i="2"/>
  <c r="AJ28" i="2"/>
  <c r="AH28" i="2"/>
  <c r="AJ286" i="2"/>
  <c r="AE123" i="2"/>
  <c r="K45" i="6"/>
  <c r="J45" i="6"/>
  <c r="D45" i="6"/>
  <c r="N45" i="6"/>
  <c r="M45" i="6"/>
  <c r="F45" i="6"/>
  <c r="L45" i="6"/>
  <c r="I45" i="6"/>
  <c r="H45" i="6"/>
  <c r="C45" i="6"/>
  <c r="G45" i="6"/>
  <c r="B45" i="6"/>
  <c r="E45" i="6"/>
  <c r="AL286" i="2"/>
  <c r="S31" i="1"/>
  <c r="AF17" i="2"/>
  <c r="AF21" i="2"/>
  <c r="AJ21" i="2" s="1"/>
  <c r="AL222" i="2"/>
  <c r="AE143" i="2"/>
  <c r="T12" i="3"/>
  <c r="AF26" i="2"/>
  <c r="AK421" i="2"/>
  <c r="AL93" i="2"/>
  <c r="U24" i="3"/>
  <c r="V24" i="3"/>
  <c r="AK473" i="2"/>
  <c r="AL473" i="2"/>
  <c r="AJ473" i="2"/>
  <c r="AH473" i="2"/>
  <c r="AI473" i="2"/>
  <c r="AK161" i="2"/>
  <c r="AL161" i="2"/>
  <c r="AI161" i="2"/>
  <c r="AJ161" i="2"/>
  <c r="AH161" i="2"/>
  <c r="AL48" i="2"/>
  <c r="AI48" i="2"/>
  <c r="AK48" i="2"/>
  <c r="AJ48" i="2"/>
  <c r="AH48" i="2"/>
  <c r="AL422" i="2"/>
  <c r="AK422" i="2"/>
  <c r="AJ422" i="2"/>
  <c r="AI422" i="2"/>
  <c r="AH422" i="2"/>
  <c r="AJ259" i="2"/>
  <c r="AI259" i="2"/>
  <c r="AL259" i="2"/>
  <c r="AK259" i="2"/>
  <c r="AH259" i="2"/>
  <c r="AI410" i="2"/>
  <c r="AI380" i="2"/>
  <c r="V13" i="3"/>
  <c r="U13" i="3"/>
  <c r="AK322" i="2"/>
  <c r="AL322" i="2"/>
  <c r="AH322" i="2"/>
  <c r="AJ322" i="2"/>
  <c r="AI322" i="2"/>
  <c r="AE158" i="2"/>
  <c r="E54" i="6"/>
  <c r="D54" i="6"/>
  <c r="N54" i="6"/>
  <c r="M54" i="6"/>
  <c r="L54" i="6"/>
  <c r="K54" i="6"/>
  <c r="J54" i="6"/>
  <c r="I54" i="6"/>
  <c r="H54" i="6"/>
  <c r="G54" i="6"/>
  <c r="C54" i="6"/>
  <c r="B54" i="6"/>
  <c r="F54" i="6"/>
  <c r="AL307" i="2"/>
  <c r="AK307" i="2"/>
  <c r="AH307" i="2"/>
  <c r="AJ307" i="2"/>
  <c r="AI307" i="2"/>
  <c r="AL200" i="2"/>
  <c r="AK200" i="2"/>
  <c r="AJ200" i="2"/>
  <c r="AH200" i="2"/>
  <c r="AI200" i="2"/>
  <c r="AJ84" i="2"/>
  <c r="AH84" i="2"/>
  <c r="AK84" i="2"/>
  <c r="AL84" i="2"/>
  <c r="AI84" i="2"/>
  <c r="AL154" i="2"/>
  <c r="AJ154" i="2"/>
  <c r="AI154" i="2"/>
  <c r="AK154" i="2"/>
  <c r="AH154" i="2"/>
  <c r="AL67" i="2"/>
  <c r="AH67" i="2"/>
  <c r="AK67" i="2"/>
  <c r="AJ67" i="2"/>
  <c r="AI67" i="2"/>
  <c r="AL115" i="2"/>
  <c r="AK115" i="2"/>
  <c r="AI115" i="2"/>
  <c r="AH115" i="2"/>
  <c r="AJ115" i="2"/>
  <c r="AK479" i="2"/>
  <c r="AL479" i="2"/>
  <c r="AI479" i="2"/>
  <c r="AJ479" i="2"/>
  <c r="AH479" i="2"/>
  <c r="AL69" i="2"/>
  <c r="AJ69" i="2"/>
  <c r="AI69" i="2"/>
  <c r="AH69" i="2"/>
  <c r="AK69" i="2"/>
  <c r="AL217" i="2"/>
  <c r="AK217" i="2"/>
  <c r="AJ217" i="2"/>
  <c r="AI217" i="2"/>
  <c r="AH217" i="2"/>
  <c r="U16" i="3"/>
  <c r="V16" i="3"/>
  <c r="AE203" i="2"/>
  <c r="AI388" i="2"/>
  <c r="AK388" i="2"/>
  <c r="AJ388" i="2"/>
  <c r="AH388" i="2"/>
  <c r="AL388" i="2"/>
  <c r="AI119" i="2"/>
  <c r="V14" i="3"/>
  <c r="U14" i="3"/>
  <c r="K37" i="1"/>
  <c r="AE417" i="2"/>
  <c r="AE359" i="2"/>
  <c r="AJ295" i="2"/>
  <c r="AI295" i="2"/>
  <c r="AK295" i="2"/>
  <c r="AH295" i="2"/>
  <c r="AL295" i="2"/>
  <c r="K25" i="6"/>
  <c r="J25" i="6"/>
  <c r="D25" i="6"/>
  <c r="M25" i="6"/>
  <c r="I25" i="6"/>
  <c r="H25" i="6"/>
  <c r="L25" i="6"/>
  <c r="G25" i="6"/>
  <c r="F25" i="6"/>
  <c r="E25" i="6"/>
  <c r="C25" i="6"/>
  <c r="B25" i="6"/>
  <c r="S32" i="1"/>
  <c r="AI93" i="2"/>
  <c r="AK173" i="2"/>
  <c r="AI173" i="2"/>
  <c r="AH173" i="2"/>
  <c r="AL173" i="2"/>
  <c r="AJ173" i="2"/>
  <c r="AJ361" i="2"/>
  <c r="AL361" i="2"/>
  <c r="AK361" i="2"/>
  <c r="AI361" i="2"/>
  <c r="AH361" i="2"/>
  <c r="AL38" i="2"/>
  <c r="AJ38" i="2"/>
  <c r="AI38" i="2"/>
  <c r="AK38" i="2"/>
  <c r="AH38" i="2"/>
  <c r="AK260" i="2"/>
  <c r="AI260" i="2"/>
  <c r="AJ260" i="2"/>
  <c r="AH260" i="2"/>
  <c r="AL260" i="2"/>
  <c r="I28" i="6"/>
  <c r="H28" i="6"/>
  <c r="B28" i="6"/>
  <c r="N28" i="6"/>
  <c r="M28" i="6"/>
  <c r="L28" i="6"/>
  <c r="K28" i="6"/>
  <c r="D28" i="6"/>
  <c r="C28" i="6"/>
  <c r="J28" i="6"/>
  <c r="G28" i="6"/>
  <c r="F28" i="6"/>
  <c r="E28" i="6"/>
  <c r="U21" i="3"/>
  <c r="V21" i="3"/>
  <c r="AI430" i="2"/>
  <c r="AL430" i="2"/>
  <c r="AK430" i="2"/>
  <c r="AH430" i="2"/>
  <c r="AJ430" i="2"/>
  <c r="AJ478" i="2"/>
  <c r="AI478" i="2"/>
  <c r="AK478" i="2"/>
  <c r="AL478" i="2"/>
  <c r="AH478" i="2"/>
  <c r="AJ251" i="2"/>
  <c r="AI251" i="2"/>
  <c r="AH251" i="2"/>
  <c r="AL251" i="2"/>
  <c r="AK251" i="2"/>
  <c r="AJ447" i="2"/>
  <c r="AK447" i="2"/>
  <c r="AH447" i="2"/>
  <c r="AL447" i="2"/>
  <c r="AI447" i="2"/>
  <c r="AJ235" i="2"/>
  <c r="AH235" i="2"/>
  <c r="AL235" i="2"/>
  <c r="AK235" i="2"/>
  <c r="AI235" i="2"/>
  <c r="AL66" i="2"/>
  <c r="AK66" i="2"/>
  <c r="AH66" i="2"/>
  <c r="AJ66" i="2"/>
  <c r="AI66" i="2"/>
  <c r="AE348" i="2"/>
  <c r="AE165" i="2"/>
  <c r="AH160" i="2"/>
  <c r="AJ160" i="2"/>
  <c r="AL160" i="2"/>
  <c r="AK160" i="2"/>
  <c r="AI160" i="2"/>
  <c r="AE149" i="2"/>
  <c r="AL457" i="2"/>
  <c r="AJ457" i="2"/>
  <c r="AK457" i="2"/>
  <c r="AI457" i="2"/>
  <c r="AH457" i="2"/>
  <c r="AI286" i="2"/>
  <c r="M49" i="1"/>
  <c r="AK471" i="2"/>
  <c r="AI471" i="2"/>
  <c r="AJ471" i="2"/>
  <c r="AL471" i="2"/>
  <c r="AH471" i="2"/>
  <c r="AK477" i="2"/>
  <c r="AJ477" i="2"/>
  <c r="AL477" i="2"/>
  <c r="AI477" i="2"/>
  <c r="AH477" i="2"/>
  <c r="AL343" i="2"/>
  <c r="AI343" i="2"/>
  <c r="AK343" i="2"/>
  <c r="AJ343" i="2"/>
  <c r="AH343" i="2"/>
  <c r="AK292" i="2"/>
  <c r="AJ427" i="2"/>
  <c r="AI427" i="2"/>
  <c r="AH427" i="2"/>
  <c r="AL427" i="2"/>
  <c r="AK427" i="2"/>
  <c r="AJ243" i="2"/>
  <c r="AI243" i="2"/>
  <c r="AK243" i="2"/>
  <c r="AL243" i="2"/>
  <c r="AH243" i="2"/>
  <c r="AH80" i="2"/>
  <c r="AL80" i="2"/>
  <c r="AK80" i="2"/>
  <c r="AJ80" i="2"/>
  <c r="AI80" i="2"/>
  <c r="AL103" i="2"/>
  <c r="AH103" i="2"/>
  <c r="AI103" i="2"/>
  <c r="AJ103" i="2"/>
  <c r="AK103" i="2"/>
  <c r="AL97" i="2"/>
  <c r="AK97" i="2"/>
  <c r="AJ97" i="2"/>
  <c r="AI97" i="2"/>
  <c r="AH97" i="2"/>
  <c r="L44" i="1"/>
  <c r="AL411" i="2"/>
  <c r="AJ411" i="2"/>
  <c r="AK411" i="2"/>
  <c r="AI411" i="2"/>
  <c r="AH411" i="2"/>
  <c r="AL107" i="2"/>
  <c r="AJ107" i="2"/>
  <c r="AI107" i="2"/>
  <c r="AK107" i="2"/>
  <c r="AH107" i="2"/>
  <c r="W8" i="3"/>
  <c r="V40" i="3"/>
  <c r="U40" i="3"/>
  <c r="AL387" i="2"/>
  <c r="AJ387" i="2"/>
  <c r="AI387" i="2"/>
  <c r="AH387" i="2"/>
  <c r="AK387" i="2"/>
  <c r="AL75" i="2"/>
  <c r="AJ75" i="2"/>
  <c r="AH75" i="2"/>
  <c r="AK75" i="2"/>
  <c r="AI75" i="2"/>
  <c r="AJ119" i="2"/>
  <c r="AK487" i="2"/>
  <c r="AI487" i="2"/>
  <c r="AL487" i="2"/>
  <c r="AJ487" i="2"/>
  <c r="AH487" i="2"/>
  <c r="AJ11" i="2"/>
  <c r="AI11" i="2"/>
  <c r="AH11" i="2"/>
  <c r="AL11" i="2" s="1"/>
  <c r="W11" i="2" s="1"/>
  <c r="AK11" i="2"/>
  <c r="AE180" i="2"/>
  <c r="AL114" i="2"/>
  <c r="AJ114" i="2"/>
  <c r="AK114" i="2"/>
  <c r="AH114" i="2"/>
  <c r="AI114" i="2"/>
  <c r="AE328" i="2"/>
  <c r="AE409" i="2"/>
  <c r="R48" i="4"/>
  <c r="AK345" i="2"/>
  <c r="AJ345" i="2"/>
  <c r="AI345" i="2"/>
  <c r="AH345" i="2"/>
  <c r="AL345" i="2"/>
  <c r="AL110" i="2"/>
  <c r="AI110" i="2"/>
  <c r="AK110" i="2"/>
  <c r="AJ110" i="2"/>
  <c r="AH110" i="2"/>
  <c r="AL376" i="2"/>
  <c r="AL186" i="2"/>
  <c r="AJ186" i="2"/>
  <c r="AI186" i="2"/>
  <c r="AK186" i="2"/>
  <c r="AH186" i="2"/>
  <c r="AE156" i="2"/>
  <c r="AL39" i="2"/>
  <c r="AI39" i="2"/>
  <c r="AK39" i="2"/>
  <c r="AJ39" i="2"/>
  <c r="AH39" i="2"/>
  <c r="AE281" i="2"/>
  <c r="AI109" i="2"/>
  <c r="K15" i="6"/>
  <c r="D15" i="6"/>
  <c r="D12" i="6"/>
  <c r="L21" i="6"/>
  <c r="K10" i="6"/>
  <c r="D10" i="6"/>
  <c r="F20" i="6"/>
  <c r="D20" i="6"/>
  <c r="K14" i="6"/>
  <c r="K12" i="6"/>
  <c r="D14" i="6"/>
  <c r="K13" i="6"/>
  <c r="D13" i="6"/>
  <c r="K11" i="6"/>
  <c r="D11" i="6"/>
  <c r="B20" i="6"/>
  <c r="B60" i="6"/>
  <c r="V28" i="3"/>
  <c r="U28" i="3"/>
  <c r="U30" i="3"/>
  <c r="V30" i="3"/>
  <c r="AK489" i="2"/>
  <c r="AL489" i="2"/>
  <c r="AJ489" i="2"/>
  <c r="AH489" i="2"/>
  <c r="AI489" i="2"/>
  <c r="AE452" i="2"/>
  <c r="AE332" i="2"/>
  <c r="AE464" i="2"/>
  <c r="AE503" i="2"/>
  <c r="AJ355" i="2"/>
  <c r="AK355" i="2"/>
  <c r="AI355" i="2"/>
  <c r="AL355" i="2"/>
  <c r="AH355" i="2"/>
  <c r="AJ271" i="2"/>
  <c r="AI271" i="2"/>
  <c r="AK271" i="2"/>
  <c r="AL271" i="2"/>
  <c r="AH271" i="2"/>
  <c r="AL289" i="2"/>
  <c r="AH389" i="2"/>
  <c r="AI278" i="2"/>
  <c r="AE336" i="2"/>
  <c r="AJ376" i="2"/>
  <c r="AE314" i="2"/>
  <c r="AH258" i="2"/>
  <c r="AI258" i="2"/>
  <c r="AL258" i="2"/>
  <c r="AK258" i="2"/>
  <c r="AJ258" i="2"/>
  <c r="AF29" i="2"/>
  <c r="AI101" i="2"/>
  <c r="C37" i="6"/>
  <c r="B37" i="6"/>
  <c r="M37" i="6"/>
  <c r="L37" i="6"/>
  <c r="K37" i="6"/>
  <c r="J37" i="6"/>
  <c r="I37" i="6"/>
  <c r="H37" i="6"/>
  <c r="G37" i="6"/>
  <c r="F37" i="6"/>
  <c r="E37" i="6"/>
  <c r="D37" i="6"/>
  <c r="N37" i="6"/>
  <c r="I38" i="6"/>
  <c r="H38" i="6"/>
  <c r="B38" i="6"/>
  <c r="N38" i="6"/>
  <c r="M38" i="6"/>
  <c r="L38" i="6"/>
  <c r="K38" i="6"/>
  <c r="D38" i="6"/>
  <c r="J38" i="6"/>
  <c r="F38" i="6"/>
  <c r="G38" i="6"/>
  <c r="C38" i="6"/>
  <c r="E38" i="6"/>
  <c r="AH109" i="2"/>
  <c r="L46" i="1"/>
  <c r="AK13" i="2"/>
  <c r="AJ13" i="2"/>
  <c r="AI13" i="2"/>
  <c r="AL13" i="2"/>
  <c r="W13" i="2" s="1"/>
  <c r="AH13" i="2"/>
  <c r="AL43" i="2"/>
  <c r="AJ43" i="2"/>
  <c r="AI43" i="2"/>
  <c r="AH43" i="2"/>
  <c r="AK43" i="2"/>
  <c r="AL137" i="2"/>
  <c r="AH137" i="2"/>
  <c r="AK137" i="2"/>
  <c r="AJ137" i="2"/>
  <c r="AI137" i="2"/>
  <c r="AH221" i="2"/>
  <c r="AE231" i="2"/>
  <c r="AH37" i="2"/>
  <c r="E34" i="6"/>
  <c r="D34" i="6"/>
  <c r="N34" i="6"/>
  <c r="M34" i="6"/>
  <c r="L34" i="6"/>
  <c r="K34" i="6"/>
  <c r="J34" i="6"/>
  <c r="I34" i="6"/>
  <c r="H34" i="6"/>
  <c r="G34" i="6"/>
  <c r="F34" i="6"/>
  <c r="C34" i="6"/>
  <c r="B34" i="6"/>
  <c r="AJ29" i="2"/>
  <c r="AH29" i="2"/>
  <c r="AI29" i="2"/>
  <c r="AK29" i="2"/>
  <c r="AL29" i="2" s="1"/>
  <c r="W29" i="2" s="1"/>
  <c r="AK490" i="2"/>
  <c r="AL490" i="2"/>
  <c r="AI490" i="2"/>
  <c r="AJ490" i="2"/>
  <c r="AH490" i="2"/>
  <c r="AL383" i="2"/>
  <c r="AH383" i="2"/>
  <c r="AK383" i="2"/>
  <c r="AJ383" i="2"/>
  <c r="AI383" i="2"/>
  <c r="AJ257" i="2"/>
  <c r="AI257" i="2"/>
  <c r="AK257" i="2"/>
  <c r="AL257" i="2"/>
  <c r="AH257" i="2"/>
  <c r="E44" i="6"/>
  <c r="D44" i="6"/>
  <c r="N44" i="6"/>
  <c r="M44" i="6"/>
  <c r="L44" i="6"/>
  <c r="K44" i="6"/>
  <c r="J44" i="6"/>
  <c r="I44" i="6"/>
  <c r="H44" i="6"/>
  <c r="G44" i="6"/>
  <c r="F44" i="6"/>
  <c r="C44" i="6"/>
  <c r="B44" i="6"/>
  <c r="AF28" i="2"/>
  <c r="AI28" i="2" s="1"/>
  <c r="V51" i="3"/>
  <c r="U51" i="3"/>
  <c r="AK174" i="2"/>
  <c r="AI174" i="2"/>
  <c r="AL174" i="2"/>
  <c r="AJ174" i="2"/>
  <c r="AH174" i="2"/>
  <c r="C57" i="6"/>
  <c r="B57" i="6"/>
  <c r="M57" i="6"/>
  <c r="L57" i="6"/>
  <c r="K57" i="6"/>
  <c r="J57" i="6"/>
  <c r="I57" i="6"/>
  <c r="H57" i="6"/>
  <c r="G57" i="6"/>
  <c r="F57" i="6"/>
  <c r="E57" i="6"/>
  <c r="D57" i="6"/>
  <c r="N57" i="6"/>
  <c r="AL135" i="2"/>
  <c r="AI135" i="2"/>
  <c r="AK135" i="2"/>
  <c r="AJ135" i="2"/>
  <c r="AH135" i="2"/>
  <c r="J56" i="6"/>
  <c r="G56" i="6"/>
  <c r="F56" i="6"/>
  <c r="E56" i="6"/>
  <c r="D56" i="6"/>
  <c r="C56" i="6"/>
  <c r="B56" i="6"/>
  <c r="L56" i="6"/>
  <c r="I56" i="6"/>
  <c r="N56" i="6"/>
  <c r="M56" i="6"/>
  <c r="K56" i="6"/>
  <c r="H56" i="6"/>
  <c r="AL99" i="2"/>
  <c r="AI99" i="2"/>
  <c r="AH99" i="2"/>
  <c r="AK99" i="2"/>
  <c r="AJ99" i="2"/>
  <c r="AI363" i="2"/>
  <c r="AJ363" i="2"/>
  <c r="AE26" i="2"/>
  <c r="AH364" i="2"/>
  <c r="AK364" i="2"/>
  <c r="AL364" i="2"/>
  <c r="AI364" i="2"/>
  <c r="AJ364" i="2"/>
  <c r="V9" i="3"/>
  <c r="U9" i="3"/>
  <c r="Y9" i="3"/>
  <c r="O32" i="1" s="1"/>
  <c r="AK337" i="2"/>
  <c r="AL337" i="2"/>
  <c r="AJ337" i="2"/>
  <c r="AI337" i="2"/>
  <c r="AH337" i="2"/>
  <c r="AL23" i="2"/>
  <c r="W23" i="2" s="1"/>
  <c r="AI15" i="2"/>
  <c r="AH15" i="2"/>
  <c r="AJ15" i="2"/>
  <c r="AL15" i="2" s="1"/>
  <c r="W15" i="2" s="1"/>
  <c r="AK15" i="2"/>
  <c r="AL96" i="2"/>
  <c r="AK96" i="2"/>
  <c r="AJ96" i="2"/>
  <c r="AI96" i="2"/>
  <c r="AH96" i="2"/>
  <c r="AH93" i="2"/>
  <c r="AE399" i="2"/>
  <c r="AH458" i="2"/>
  <c r="AJ458" i="2"/>
  <c r="AL458" i="2"/>
  <c r="AK458" i="2"/>
  <c r="AI458" i="2"/>
  <c r="AL377" i="2"/>
  <c r="AJ377" i="2"/>
  <c r="AK377" i="2"/>
  <c r="AI377" i="2"/>
  <c r="AH377" i="2"/>
  <c r="M52" i="6"/>
  <c r="L52" i="6"/>
  <c r="F52" i="6"/>
  <c r="C52" i="6"/>
  <c r="B52" i="6"/>
  <c r="H52" i="6"/>
  <c r="K52" i="6"/>
  <c r="J52" i="6"/>
  <c r="I52" i="6"/>
  <c r="G52" i="6"/>
  <c r="N52" i="6"/>
  <c r="E52" i="6"/>
  <c r="D52" i="6"/>
  <c r="AH119" i="2"/>
  <c r="AH188" i="2"/>
  <c r="AI188" i="2"/>
  <c r="AK188" i="2"/>
  <c r="AJ188" i="2"/>
  <c r="AL188" i="2"/>
  <c r="AJ353" i="2"/>
  <c r="AK353" i="2"/>
  <c r="AI353" i="2"/>
  <c r="AH353" i="2"/>
  <c r="AL353" i="2"/>
  <c r="AJ241" i="2"/>
  <c r="AL241" i="2"/>
  <c r="AK241" i="2"/>
  <c r="AH241" i="2"/>
  <c r="AI241" i="2"/>
  <c r="AJ68" i="2"/>
  <c r="AI68" i="2"/>
  <c r="AL68" i="2"/>
  <c r="AH68" i="2"/>
  <c r="AK68" i="2"/>
  <c r="K35" i="6"/>
  <c r="J35" i="6"/>
  <c r="D35" i="6"/>
  <c r="N35" i="6"/>
  <c r="M35" i="6"/>
  <c r="G35" i="6"/>
  <c r="E35" i="6"/>
  <c r="C35" i="6"/>
  <c r="B35" i="6"/>
  <c r="L35" i="6"/>
  <c r="I35" i="6"/>
  <c r="F35" i="6"/>
  <c r="H35" i="6"/>
  <c r="K55" i="6"/>
  <c r="J55" i="6"/>
  <c r="D55" i="6"/>
  <c r="N55" i="6"/>
  <c r="M55" i="6"/>
  <c r="L55" i="6"/>
  <c r="F55" i="6"/>
  <c r="C55" i="6"/>
  <c r="B55" i="6"/>
  <c r="H55" i="6"/>
  <c r="E55" i="6"/>
  <c r="G55" i="6"/>
  <c r="I55" i="6"/>
  <c r="AH18" i="2"/>
  <c r="AH112" i="2"/>
  <c r="AL112" i="2"/>
  <c r="AI112" i="2"/>
  <c r="AK112" i="2"/>
  <c r="AJ112" i="2"/>
  <c r="AK221" i="2"/>
  <c r="V20" i="3"/>
  <c r="U20" i="3"/>
  <c r="AE484" i="2"/>
  <c r="AL442" i="2"/>
  <c r="AH442" i="2"/>
  <c r="AJ442" i="2"/>
  <c r="AI442" i="2"/>
  <c r="AK442" i="2"/>
  <c r="AJ247" i="2"/>
  <c r="AK247" i="2"/>
  <c r="AI247" i="2"/>
  <c r="AL247" i="2"/>
  <c r="AH247" i="2"/>
  <c r="AJ308" i="2"/>
  <c r="AH308" i="2"/>
  <c r="AL308" i="2"/>
  <c r="AK308" i="2"/>
  <c r="AI308" i="2"/>
  <c r="AK389" i="2"/>
  <c r="AH278" i="2"/>
  <c r="AJ275" i="2"/>
  <c r="AI275" i="2"/>
  <c r="AL275" i="2"/>
  <c r="AH275" i="2"/>
  <c r="AK275" i="2"/>
  <c r="AL187" i="2"/>
  <c r="AJ187" i="2"/>
  <c r="AH187" i="2"/>
  <c r="AK187" i="2"/>
  <c r="AI187" i="2"/>
  <c r="AK376" i="2"/>
  <c r="AI145" i="2"/>
  <c r="AJ145" i="2"/>
  <c r="AH145" i="2"/>
  <c r="AK145" i="2"/>
  <c r="AL145" i="2"/>
  <c r="AK311" i="2"/>
  <c r="AJ311" i="2"/>
  <c r="AI311" i="2"/>
  <c r="AH311" i="2"/>
  <c r="AL311" i="2"/>
  <c r="AH101" i="2"/>
  <c r="T11" i="3"/>
  <c r="AL111" i="2"/>
  <c r="AH111" i="2"/>
  <c r="AJ111" i="2"/>
  <c r="AK111" i="2"/>
  <c r="AI111" i="2"/>
  <c r="J36" i="6"/>
  <c r="G36" i="6"/>
  <c r="F36" i="6"/>
  <c r="E36" i="6"/>
  <c r="D36" i="6"/>
  <c r="C36" i="6"/>
  <c r="B36" i="6"/>
  <c r="K36" i="6"/>
  <c r="I36" i="6"/>
  <c r="N36" i="6"/>
  <c r="M36" i="6"/>
  <c r="L36" i="6"/>
  <c r="H36" i="6"/>
  <c r="I48" i="6"/>
  <c r="H48" i="6"/>
  <c r="B48" i="6"/>
  <c r="N48" i="6"/>
  <c r="M48" i="6"/>
  <c r="L48" i="6"/>
  <c r="K48" i="6"/>
  <c r="J48" i="6"/>
  <c r="D48" i="6"/>
  <c r="F48" i="6"/>
  <c r="E48" i="6"/>
  <c r="C48" i="6"/>
  <c r="G48" i="6"/>
  <c r="AJ109" i="2"/>
  <c r="AF9" i="2"/>
  <c r="AJ9" i="2" s="1"/>
  <c r="S34" i="1"/>
  <c r="AK19" i="2"/>
  <c r="AJ19" i="2"/>
  <c r="AL19" i="2" s="1"/>
  <c r="W19" i="2" s="1"/>
  <c r="AI19" i="2"/>
  <c r="AH19" i="2"/>
  <c r="L32" i="1"/>
  <c r="AK380" i="2"/>
  <c r="AL221" i="2"/>
  <c r="AK27" i="2"/>
  <c r="AH27" i="2"/>
  <c r="AJ27" i="2"/>
  <c r="AI27" i="2"/>
  <c r="AL27" i="2"/>
  <c r="W27" i="2" s="1"/>
  <c r="AI401" i="2"/>
  <c r="AK37" i="2"/>
  <c r="AK499" i="2"/>
  <c r="AJ499" i="2"/>
  <c r="AH499" i="2"/>
  <c r="AL499" i="2"/>
  <c r="AI499" i="2"/>
  <c r="AL72" i="2"/>
  <c r="AJ72" i="2"/>
  <c r="AK72" i="2"/>
  <c r="AI72" i="2"/>
  <c r="AH72" i="2"/>
  <c r="AE491" i="2"/>
  <c r="AJ249" i="2"/>
  <c r="AI249" i="2"/>
  <c r="AL249" i="2"/>
  <c r="AK249" i="2"/>
  <c r="AH249" i="2"/>
  <c r="AJ201" i="2"/>
  <c r="AH201" i="2"/>
  <c r="AL201" i="2"/>
  <c r="AK201" i="2"/>
  <c r="AI201" i="2"/>
  <c r="AL82" i="2"/>
  <c r="AK82" i="2"/>
  <c r="AI82" i="2"/>
  <c r="AJ82" i="2"/>
  <c r="AH82" i="2"/>
  <c r="AE191" i="2"/>
  <c r="AE374" i="2"/>
  <c r="AE385" i="2"/>
  <c r="AE227" i="2"/>
  <c r="AJ269" i="2"/>
  <c r="AI269" i="2"/>
  <c r="AL269" i="2"/>
  <c r="AK269" i="2"/>
  <c r="AH269" i="2"/>
  <c r="AF33" i="2"/>
  <c r="AI404" i="2"/>
  <c r="AH404" i="2"/>
  <c r="AJ404" i="2"/>
  <c r="AL404" i="2"/>
  <c r="AK404" i="2"/>
  <c r="C27" i="6"/>
  <c r="B27" i="6"/>
  <c r="M27" i="6"/>
  <c r="L27" i="6"/>
  <c r="K27" i="6"/>
  <c r="J27" i="6"/>
  <c r="I27" i="6"/>
  <c r="H27" i="6"/>
  <c r="G27" i="6"/>
  <c r="F27" i="6"/>
  <c r="E27" i="6"/>
  <c r="D27" i="6"/>
  <c r="AE273" i="2"/>
  <c r="AF10" i="2"/>
  <c r="AI362" i="2"/>
  <c r="AK362" i="2"/>
  <c r="AJ362" i="2"/>
  <c r="AH362" i="2"/>
  <c r="AL362" i="2"/>
  <c r="AI347" i="2"/>
  <c r="AL347" i="2"/>
  <c r="AK347" i="2"/>
  <c r="AJ347" i="2"/>
  <c r="AH347" i="2"/>
  <c r="Y14" i="1"/>
  <c r="U43" i="3"/>
  <c r="V43" i="3"/>
  <c r="AK119" i="2"/>
  <c r="AE301" i="2"/>
  <c r="AE367" i="2"/>
  <c r="AH151" i="2"/>
  <c r="AI151" i="2"/>
  <c r="AL151" i="2"/>
  <c r="AK151" i="2"/>
  <c r="AJ151" i="2"/>
  <c r="AH222" i="2"/>
  <c r="AK352" i="2"/>
  <c r="AJ352" i="2"/>
  <c r="AL352" i="2"/>
  <c r="AI352" i="2"/>
  <c r="AH352" i="2"/>
  <c r="AE403" i="2"/>
  <c r="AL193" i="2"/>
  <c r="AK193" i="2"/>
  <c r="AJ193" i="2"/>
  <c r="AI193" i="2"/>
  <c r="AH193" i="2"/>
  <c r="AI130" i="2"/>
  <c r="AJ130" i="2"/>
  <c r="AH130" i="2"/>
  <c r="AL130" i="2"/>
  <c r="AK130" i="2"/>
  <c r="AK222" i="2"/>
  <c r="AE413" i="2"/>
  <c r="AK350" i="2"/>
  <c r="AJ350" i="2"/>
  <c r="AL350" i="2"/>
  <c r="AI350" i="2"/>
  <c r="AH350" i="2"/>
  <c r="AE431" i="2"/>
  <c r="AH207" i="2"/>
  <c r="AL207" i="2"/>
  <c r="AK207" i="2"/>
  <c r="AJ207" i="2"/>
  <c r="AI207" i="2"/>
  <c r="AJ181" i="2"/>
  <c r="AH181" i="2"/>
  <c r="AL181" i="2"/>
  <c r="AK181" i="2"/>
  <c r="AI181" i="2"/>
  <c r="AE58" i="2"/>
  <c r="AJ25" i="2"/>
  <c r="AI25" i="2"/>
  <c r="AH25" i="2"/>
  <c r="AK25" i="2"/>
  <c r="AL25" i="2" s="1"/>
  <c r="W25" i="2" s="1"/>
  <c r="AI221" i="2"/>
  <c r="AL57" i="2"/>
  <c r="AK57" i="2"/>
  <c r="AI57" i="2"/>
  <c r="AJ57" i="2"/>
  <c r="AH57" i="2"/>
  <c r="AE426" i="2"/>
  <c r="AE265" i="2"/>
  <c r="AL83" i="2"/>
  <c r="AK83" i="2"/>
  <c r="AJ83" i="2"/>
  <c r="AH83" i="2"/>
  <c r="AI83" i="2"/>
  <c r="J26" i="6"/>
  <c r="G26" i="6"/>
  <c r="F26" i="6"/>
  <c r="E26" i="6"/>
  <c r="D26" i="6"/>
  <c r="C26" i="6"/>
  <c r="B26" i="6"/>
  <c r="L26" i="6"/>
  <c r="K26" i="6"/>
  <c r="H26" i="6"/>
  <c r="I26" i="6"/>
  <c r="M26" i="6"/>
  <c r="AL369" i="2"/>
  <c r="AI369" i="2"/>
  <c r="AH369" i="2"/>
  <c r="AK369" i="2"/>
  <c r="AJ369" i="2"/>
  <c r="AI398" i="2"/>
  <c r="AH398" i="2"/>
  <c r="AK398" i="2"/>
  <c r="AJ398" i="2"/>
  <c r="AL398" i="2"/>
  <c r="AK449" i="2"/>
  <c r="AI449" i="2"/>
  <c r="AH449" i="2"/>
  <c r="AL449" i="2"/>
  <c r="AJ449" i="2"/>
  <c r="AL318" i="2"/>
  <c r="AK318" i="2"/>
  <c r="AJ318" i="2"/>
  <c r="AI318" i="2"/>
  <c r="AH318" i="2"/>
  <c r="AJ239" i="2"/>
  <c r="AK239" i="2"/>
  <c r="AI239" i="2"/>
  <c r="AL239" i="2"/>
  <c r="AH239" i="2"/>
  <c r="AE346" i="2"/>
  <c r="AL133" i="2"/>
  <c r="AJ133" i="2"/>
  <c r="AK133" i="2"/>
  <c r="AI133" i="2"/>
  <c r="AH133" i="2"/>
  <c r="AJ389" i="2"/>
  <c r="AK278" i="2"/>
  <c r="AE183" i="2"/>
  <c r="AJ73" i="2"/>
  <c r="AE493" i="2"/>
  <c r="AE142" i="2"/>
  <c r="AK87" i="2"/>
  <c r="Y17" i="1"/>
  <c r="AJ101" i="2"/>
  <c r="L53" i="6"/>
  <c r="I53" i="6"/>
  <c r="H53" i="6"/>
  <c r="G53" i="6"/>
  <c r="F53" i="6"/>
  <c r="E53" i="6"/>
  <c r="D53" i="6"/>
  <c r="C53" i="6"/>
  <c r="B53" i="6"/>
  <c r="J53" i="6"/>
  <c r="N53" i="6"/>
  <c r="K53" i="6"/>
  <c r="M53" i="6"/>
  <c r="I58" i="6"/>
  <c r="H58" i="6"/>
  <c r="G58" i="6"/>
  <c r="B58" i="6"/>
  <c r="N58" i="6"/>
  <c r="M58" i="6"/>
  <c r="L58" i="6"/>
  <c r="K58" i="6"/>
  <c r="D58" i="6"/>
  <c r="C58" i="6"/>
  <c r="J58" i="6"/>
  <c r="F58" i="6"/>
  <c r="E58" i="6"/>
  <c r="AK155" i="2"/>
  <c r="AJ155" i="2"/>
  <c r="AL155" i="2"/>
  <c r="AI155" i="2"/>
  <c r="AH155" i="2"/>
  <c r="X14" i="1"/>
  <c r="Z14" i="1" s="1"/>
  <c r="AE152" i="2"/>
  <c r="AL109" i="2"/>
  <c r="W10" i="3"/>
  <c r="Y16" i="1"/>
  <c r="Y20" i="1"/>
  <c r="Y25" i="1"/>
  <c r="X20" i="1"/>
  <c r="X16" i="1"/>
  <c r="Y21" i="1"/>
  <c r="X21" i="1"/>
  <c r="X25" i="1"/>
  <c r="Z25" i="1" s="1"/>
  <c r="X24" i="1"/>
  <c r="AH282" i="2"/>
  <c r="AJ70" i="2"/>
  <c r="AL70" i="2"/>
  <c r="AK70" i="2"/>
  <c r="AI70" i="2"/>
  <c r="AH70" i="2"/>
  <c r="AL416" i="2"/>
  <c r="AE56" i="2"/>
  <c r="AI128" i="2"/>
  <c r="AK401" i="2"/>
  <c r="AJ37" i="2"/>
  <c r="AL326" i="2"/>
  <c r="AI326" i="2"/>
  <c r="AK326" i="2"/>
  <c r="AJ326" i="2"/>
  <c r="AH326" i="2"/>
  <c r="AJ253" i="2"/>
  <c r="AI253" i="2"/>
  <c r="AK253" i="2"/>
  <c r="AL253" i="2"/>
  <c r="AH253" i="2"/>
  <c r="AL213" i="2"/>
  <c r="AH213" i="2"/>
  <c r="AK213" i="2"/>
  <c r="AJ213" i="2"/>
  <c r="AI213" i="2"/>
  <c r="N40" i="6"/>
  <c r="K40" i="6"/>
  <c r="J40" i="6"/>
  <c r="I40" i="6"/>
  <c r="H40" i="6"/>
  <c r="G40" i="6"/>
  <c r="F40" i="6"/>
  <c r="E40" i="6"/>
  <c r="D40" i="6"/>
  <c r="C40" i="6"/>
  <c r="M40" i="6"/>
  <c r="L40" i="6"/>
  <c r="B40" i="6"/>
  <c r="AL391" i="2"/>
  <c r="AJ391" i="2"/>
  <c r="AH391" i="2"/>
  <c r="AK391" i="2"/>
  <c r="AI391" i="2"/>
  <c r="AL127" i="2"/>
  <c r="AH127" i="2"/>
  <c r="AI127" i="2"/>
  <c r="AK127" i="2"/>
  <c r="AJ127" i="2"/>
  <c r="AE42" i="2"/>
  <c r="AE300" i="2"/>
  <c r="X23" i="1"/>
  <c r="Z23" i="1" s="1"/>
  <c r="Y23" i="1"/>
  <c r="AK481" i="2"/>
  <c r="AL481" i="2"/>
  <c r="AH481" i="2"/>
  <c r="AJ481" i="2"/>
  <c r="AI481" i="2"/>
  <c r="AK468" i="2"/>
  <c r="AH468" i="2"/>
  <c r="AL468" i="2"/>
  <c r="AJ468" i="2"/>
  <c r="AI468" i="2"/>
  <c r="AJ433" i="2"/>
  <c r="AK433" i="2"/>
  <c r="AI433" i="2"/>
  <c r="AH433" i="2"/>
  <c r="AL433" i="2"/>
  <c r="N29" i="6"/>
  <c r="H29" i="6"/>
  <c r="E29" i="6"/>
  <c r="D29" i="6"/>
  <c r="C29" i="6"/>
  <c r="B29" i="6"/>
  <c r="I29" i="6"/>
  <c r="G29" i="6"/>
  <c r="F29" i="6"/>
  <c r="L29" i="6"/>
  <c r="K29" i="6"/>
  <c r="J29" i="6"/>
  <c r="M29" i="6"/>
  <c r="AL81" i="2"/>
  <c r="AK81" i="2"/>
  <c r="AI81" i="2"/>
  <c r="AJ81" i="2"/>
  <c r="AH81" i="2"/>
  <c r="AK462" i="2"/>
  <c r="AH462" i="2"/>
  <c r="AJ370" i="2"/>
  <c r="AK370" i="2"/>
  <c r="AL370" i="2"/>
  <c r="AI370" i="2"/>
  <c r="AH370" i="2"/>
  <c r="AL65" i="2"/>
  <c r="AJ65" i="2"/>
  <c r="AK65" i="2"/>
  <c r="AI65" i="2"/>
  <c r="AH65" i="2"/>
  <c r="AI64" i="2"/>
  <c r="AJ64" i="2"/>
  <c r="AL64" i="2"/>
  <c r="AK64" i="2"/>
  <c r="AH64" i="2"/>
  <c r="AJ441" i="2"/>
  <c r="AH441" i="2"/>
  <c r="AI441" i="2"/>
  <c r="AK441" i="2"/>
  <c r="AL441" i="2"/>
  <c r="AE330" i="2"/>
  <c r="AK189" i="2"/>
  <c r="AJ189" i="2"/>
  <c r="AI189" i="2"/>
  <c r="AH189" i="2"/>
  <c r="AL189" i="2"/>
  <c r="AI390" i="2"/>
  <c r="AL299" i="2"/>
  <c r="AJ299" i="2"/>
  <c r="AK299" i="2"/>
  <c r="AI299" i="2"/>
  <c r="AH299" i="2"/>
  <c r="AL51" i="2"/>
  <c r="AJ51" i="2"/>
  <c r="AI51" i="2"/>
  <c r="AH51" i="2"/>
  <c r="AK51" i="2"/>
  <c r="V46" i="3"/>
  <c r="U46" i="3"/>
  <c r="AK327" i="2"/>
  <c r="AH327" i="2"/>
  <c r="AL327" i="2"/>
  <c r="AJ327" i="2"/>
  <c r="AI327" i="2"/>
  <c r="AH363" i="2"/>
  <c r="AK440" i="2"/>
  <c r="AJ440" i="2"/>
  <c r="AL147" i="2"/>
  <c r="AJ147" i="2"/>
  <c r="AK147" i="2"/>
  <c r="AH147" i="2"/>
  <c r="AI147" i="2"/>
  <c r="AE162" i="2"/>
  <c r="J8" i="1"/>
  <c r="AE425" i="2"/>
  <c r="AL363" i="2"/>
  <c r="AJ225" i="2"/>
  <c r="AL225" i="2"/>
  <c r="AK225" i="2"/>
  <c r="AI225" i="2"/>
  <c r="AH225" i="2"/>
  <c r="AL150" i="2"/>
  <c r="AJ150" i="2"/>
  <c r="AI150" i="2"/>
  <c r="AH150" i="2"/>
  <c r="AK150" i="2"/>
  <c r="AE44" i="2"/>
  <c r="AL232" i="2"/>
  <c r="AJ232" i="2"/>
  <c r="AH232" i="2"/>
  <c r="AK232" i="2"/>
  <c r="AI232" i="2"/>
  <c r="U15" i="3"/>
  <c r="V15" i="3"/>
  <c r="V8" i="3"/>
  <c r="Y8" i="3"/>
  <c r="U8" i="3"/>
  <c r="K31" i="1"/>
  <c r="AJ453" i="2"/>
  <c r="AL453" i="2"/>
  <c r="AK453" i="2"/>
  <c r="AI453" i="2"/>
  <c r="AH453" i="2"/>
  <c r="V45" i="3"/>
  <c r="U45" i="3"/>
  <c r="AH474" i="2"/>
  <c r="AL474" i="2"/>
  <c r="AK474" i="2"/>
  <c r="AI474" i="2"/>
  <c r="AJ474" i="2"/>
  <c r="AJ437" i="2"/>
  <c r="AK437" i="2"/>
  <c r="AH437" i="2"/>
  <c r="AL437" i="2"/>
  <c r="AI437" i="2"/>
  <c r="AL179" i="2"/>
  <c r="AJ179" i="2"/>
  <c r="AK179" i="2"/>
  <c r="AH179" i="2"/>
  <c r="AI179" i="2"/>
  <c r="AJ261" i="2"/>
  <c r="AI261" i="2"/>
  <c r="AK261" i="2"/>
  <c r="AL261" i="2"/>
  <c r="AH261" i="2"/>
  <c r="AL389" i="2"/>
  <c r="AJ278" i="2"/>
  <c r="AI132" i="2"/>
  <c r="AH132" i="2"/>
  <c r="AL132" i="2"/>
  <c r="AK132" i="2"/>
  <c r="AJ132" i="2"/>
  <c r="AE304" i="2"/>
  <c r="AK177" i="2"/>
  <c r="AI177" i="2"/>
  <c r="AJ177" i="2"/>
  <c r="AH177" i="2"/>
  <c r="AL177" i="2"/>
  <c r="AE169" i="2"/>
  <c r="AE116" i="2"/>
  <c r="AE199" i="2"/>
  <c r="AL410" i="2"/>
  <c r="AL101" i="2"/>
  <c r="X17" i="1"/>
  <c r="Z17" i="1" s="1"/>
  <c r="N30" i="6"/>
  <c r="K30" i="6"/>
  <c r="J30" i="6"/>
  <c r="I30" i="6"/>
  <c r="H30" i="6"/>
  <c r="G30" i="6"/>
  <c r="F30" i="6"/>
  <c r="E30" i="6"/>
  <c r="D30" i="6"/>
  <c r="C30" i="6"/>
  <c r="B30" i="6"/>
  <c r="M30" i="6"/>
  <c r="L30" i="6"/>
  <c r="G31" i="6"/>
  <c r="F31" i="6"/>
  <c r="N31" i="6"/>
  <c r="M31" i="6"/>
  <c r="L31" i="6"/>
  <c r="K31" i="6"/>
  <c r="J31" i="6"/>
  <c r="I31" i="6"/>
  <c r="B31" i="6"/>
  <c r="C31" i="6"/>
  <c r="E31" i="6"/>
  <c r="D31" i="6"/>
  <c r="H31" i="6"/>
  <c r="X18" i="1"/>
  <c r="AI282" i="2"/>
  <c r="AK17" i="2"/>
  <c r="AJ17" i="2"/>
  <c r="AI17" i="2"/>
  <c r="AH17" i="2"/>
  <c r="AL17" i="2" s="1"/>
  <c r="W17" i="2" s="1"/>
  <c r="AK416" i="2"/>
  <c r="AE32" i="2"/>
  <c r="AF34" i="2"/>
  <c r="AL128" i="2"/>
  <c r="AH401" i="2"/>
  <c r="AK485" i="2"/>
  <c r="AI485" i="2"/>
  <c r="AL485" i="2"/>
  <c r="AJ485" i="2"/>
  <c r="AH485" i="2"/>
  <c r="AH386" i="2"/>
  <c r="AL386" i="2"/>
  <c r="AK386" i="2"/>
  <c r="AJ386" i="2"/>
  <c r="AI386" i="2"/>
  <c r="AL91" i="2"/>
  <c r="AI91" i="2"/>
  <c r="AK91" i="2"/>
  <c r="AH91" i="2"/>
  <c r="AJ91" i="2"/>
  <c r="AL122" i="2"/>
  <c r="AJ122" i="2"/>
  <c r="AK122" i="2"/>
  <c r="AI122" i="2"/>
  <c r="AH122" i="2"/>
  <c r="AL71" i="2"/>
  <c r="AH71" i="2"/>
  <c r="AJ71" i="2"/>
  <c r="AK71" i="2"/>
  <c r="AI71" i="2"/>
  <c r="AE483" i="2"/>
  <c r="AL121" i="2"/>
  <c r="AK121" i="2"/>
  <c r="AJ121" i="2"/>
  <c r="AI121" i="2"/>
  <c r="AH121" i="2"/>
  <c r="AI8" i="2"/>
  <c r="AK8" i="2"/>
  <c r="AH8" i="2"/>
  <c r="AL8" i="2" s="1"/>
  <c r="W8" i="2" s="1"/>
  <c r="AJ8" i="2"/>
  <c r="AJ482" i="2"/>
  <c r="AK482" i="2"/>
  <c r="AH482" i="2"/>
  <c r="AI482" i="2"/>
  <c r="AL482" i="2"/>
  <c r="AJ357" i="2"/>
  <c r="AK357" i="2"/>
  <c r="AL357" i="2"/>
  <c r="AI357" i="2"/>
  <c r="AH357" i="2"/>
  <c r="AL379" i="2"/>
  <c r="AK379" i="2"/>
  <c r="AJ379" i="2"/>
  <c r="AH379" i="2"/>
  <c r="AI379" i="2"/>
  <c r="AL134" i="2"/>
  <c r="AJ134" i="2"/>
  <c r="AK134" i="2"/>
  <c r="AI134" i="2"/>
  <c r="AH134" i="2"/>
  <c r="Y10" i="3"/>
  <c r="O33" i="1" s="1"/>
  <c r="X58" i="3"/>
  <c r="B10" i="1"/>
  <c r="AE496" i="2"/>
  <c r="AE335" i="2"/>
  <c r="AE159" i="2"/>
  <c r="M36" i="1"/>
  <c r="AE211" i="2"/>
  <c r="AE171" i="2"/>
  <c r="AK136" i="2"/>
  <c r="AL136" i="2"/>
  <c r="AH136" i="2"/>
  <c r="AJ136" i="2"/>
  <c r="AI136" i="2"/>
  <c r="AL63" i="2"/>
  <c r="AH63" i="2"/>
  <c r="AK63" i="2"/>
  <c r="AJ63" i="2"/>
  <c r="AI63" i="2"/>
  <c r="AI24" i="2"/>
  <c r="AL24" i="2" s="1"/>
  <c r="W24" i="2" s="1"/>
  <c r="M42" i="6"/>
  <c r="L42" i="6"/>
  <c r="F42" i="6"/>
  <c r="C42" i="6"/>
  <c r="B42" i="6"/>
  <c r="I42" i="6"/>
  <c r="H42" i="6"/>
  <c r="G42" i="6"/>
  <c r="J42" i="6"/>
  <c r="E42" i="6"/>
  <c r="D42" i="6"/>
  <c r="N42" i="6"/>
  <c r="K42" i="6"/>
  <c r="AI104" i="2"/>
  <c r="AL104" i="2"/>
  <c r="AK104" i="2"/>
  <c r="AJ104" i="2"/>
  <c r="AH104" i="2"/>
  <c r="AK354" i="2"/>
  <c r="AJ354" i="2"/>
  <c r="AL354" i="2"/>
  <c r="AI354" i="2"/>
  <c r="AH354" i="2"/>
  <c r="AJ315" i="2"/>
  <c r="AL315" i="2"/>
  <c r="AH315" i="2"/>
  <c r="AK315" i="2"/>
  <c r="AI315" i="2"/>
  <c r="AJ148" i="2"/>
  <c r="AL148" i="2"/>
  <c r="AI148" i="2"/>
  <c r="AK148" i="2"/>
  <c r="AH148" i="2"/>
  <c r="AL175" i="2"/>
  <c r="AJ175" i="2"/>
  <c r="AK175" i="2"/>
  <c r="AI175" i="2"/>
  <c r="AH175" i="2"/>
  <c r="AL61" i="2"/>
  <c r="AJ61" i="2"/>
  <c r="AI61" i="2"/>
  <c r="AK61" i="2"/>
  <c r="AH61" i="2"/>
  <c r="AL41" i="2"/>
  <c r="AI41" i="2"/>
  <c r="AH41" i="2"/>
  <c r="AK41" i="2"/>
  <c r="AJ41" i="2"/>
  <c r="AK22" i="2"/>
  <c r="AH22" i="2"/>
  <c r="AJ22" i="2"/>
  <c r="AE279" i="2"/>
  <c r="AJ349" i="2"/>
  <c r="AI349" i="2"/>
  <c r="AH349" i="2"/>
  <c r="AL349" i="2"/>
  <c r="AK349" i="2"/>
  <c r="V50" i="3"/>
  <c r="U50" i="3"/>
  <c r="AH286" i="2"/>
  <c r="AK31" i="2"/>
  <c r="AJ31" i="2"/>
  <c r="AL31" i="2" s="1"/>
  <c r="W31" i="2" s="1"/>
  <c r="AI31" i="2"/>
  <c r="AH31" i="2"/>
  <c r="AE197" i="2"/>
  <c r="S33" i="1"/>
  <c r="AH210" i="2"/>
  <c r="AL210" i="2"/>
  <c r="AJ210" i="2"/>
  <c r="AI210" i="2"/>
  <c r="AK210" i="2"/>
  <c r="K39" i="1"/>
  <c r="AJ108" i="2"/>
  <c r="AH108" i="2"/>
  <c r="AK108" i="2"/>
  <c r="AI108" i="2"/>
  <c r="AL108" i="2"/>
  <c r="AE334" i="2"/>
  <c r="AE310" i="2"/>
  <c r="AJ120" i="2"/>
  <c r="AH120" i="2"/>
  <c r="AK120" i="2"/>
  <c r="AL120" i="2"/>
  <c r="AI120" i="2"/>
  <c r="AL45" i="2"/>
  <c r="AI45" i="2"/>
  <c r="AK45" i="2"/>
  <c r="AJ45" i="2"/>
  <c r="AH45" i="2"/>
  <c r="AK507" i="2"/>
  <c r="AL507" i="2"/>
  <c r="AJ507" i="2"/>
  <c r="AH507" i="2"/>
  <c r="AI507" i="2"/>
  <c r="AL456" i="2"/>
  <c r="AK456" i="2"/>
  <c r="AI456" i="2"/>
  <c r="AJ456" i="2"/>
  <c r="AH456" i="2"/>
  <c r="AI412" i="2"/>
  <c r="AH412" i="2"/>
  <c r="AK412" i="2"/>
  <c r="AJ412" i="2"/>
  <c r="AL412" i="2"/>
  <c r="AE397" i="2"/>
  <c r="AE439" i="2"/>
  <c r="AE214" i="2"/>
  <c r="AH176" i="2"/>
  <c r="AL176" i="2"/>
  <c r="AK176" i="2"/>
  <c r="AJ176" i="2"/>
  <c r="AI176" i="2"/>
  <c r="AI167" i="2"/>
  <c r="AL167" i="2"/>
  <c r="AK167" i="2"/>
  <c r="AJ167" i="2"/>
  <c r="AH167" i="2"/>
  <c r="AJ195" i="2"/>
  <c r="AH195" i="2"/>
  <c r="AL195" i="2"/>
  <c r="AK195" i="2"/>
  <c r="AI195" i="2"/>
  <c r="AL49" i="2"/>
  <c r="AK49" i="2"/>
  <c r="AJ49" i="2"/>
  <c r="AI49" i="2"/>
  <c r="AH49" i="2"/>
  <c r="AE223" i="2"/>
  <c r="L50" i="1"/>
  <c r="AE321" i="2"/>
  <c r="C47" i="6"/>
  <c r="B47" i="6"/>
  <c r="M47" i="6"/>
  <c r="L47" i="6"/>
  <c r="K47" i="6"/>
  <c r="J47" i="6"/>
  <c r="I47" i="6"/>
  <c r="H47" i="6"/>
  <c r="G47" i="6"/>
  <c r="F47" i="6"/>
  <c r="E47" i="6"/>
  <c r="D47" i="6"/>
  <c r="N47" i="6"/>
  <c r="G41" i="6"/>
  <c r="F41" i="6"/>
  <c r="N41" i="6"/>
  <c r="M41" i="6"/>
  <c r="L41" i="6"/>
  <c r="K41" i="6"/>
  <c r="J41" i="6"/>
  <c r="I41" i="6"/>
  <c r="H41" i="6"/>
  <c r="B41" i="6"/>
  <c r="E41" i="6"/>
  <c r="D41" i="6"/>
  <c r="C41" i="6"/>
  <c r="Y18" i="1"/>
  <c r="AJ124" i="2"/>
  <c r="AH124" i="2"/>
  <c r="AI124" i="2"/>
  <c r="AL124" i="2"/>
  <c r="AK124" i="2"/>
  <c r="AL59" i="2"/>
  <c r="AK59" i="2"/>
  <c r="AJ59" i="2"/>
  <c r="AI59" i="2"/>
  <c r="AH59" i="2"/>
  <c r="F10" i="1"/>
  <c r="AL22" i="2" l="1"/>
  <c r="W22" i="2" s="1"/>
  <c r="AL28" i="2"/>
  <c r="W28" i="2" s="1"/>
  <c r="AI32" i="2"/>
  <c r="AK32" i="2"/>
  <c r="AH32" i="2"/>
  <c r="AL32" i="2" s="1"/>
  <c r="W32" i="2" s="1"/>
  <c r="N26" i="6" s="1"/>
  <c r="AJ32" i="2"/>
  <c r="AJ142" i="2"/>
  <c r="AI142" i="2"/>
  <c r="AH142" i="2"/>
  <c r="AL142" i="2"/>
  <c r="AK142" i="2"/>
  <c r="AI203" i="2"/>
  <c r="AH203" i="2"/>
  <c r="AK203" i="2"/>
  <c r="AL203" i="2"/>
  <c r="AJ203" i="2"/>
  <c r="V12" i="3"/>
  <c r="U12" i="3"/>
  <c r="K35" i="1"/>
  <c r="Y12" i="3"/>
  <c r="O35" i="1" s="1"/>
  <c r="AL34" i="2"/>
  <c r="W34" i="2" s="1"/>
  <c r="AI34" i="2"/>
  <c r="AK34" i="2"/>
  <c r="AJ34" i="2"/>
  <c r="AH34" i="2"/>
  <c r="AK425" i="2"/>
  <c r="AH425" i="2"/>
  <c r="AL425" i="2"/>
  <c r="AJ425" i="2"/>
  <c r="AI425" i="2"/>
  <c r="AJ279" i="2"/>
  <c r="AI279" i="2"/>
  <c r="AL279" i="2"/>
  <c r="AH279" i="2"/>
  <c r="AK279" i="2"/>
  <c r="Z18" i="1"/>
  <c r="AH214" i="2"/>
  <c r="AI214" i="2"/>
  <c r="AL214" i="2"/>
  <c r="AK214" i="2"/>
  <c r="AJ214" i="2"/>
  <c r="AL197" i="2"/>
  <c r="AJ197" i="2"/>
  <c r="AI197" i="2"/>
  <c r="AK197" i="2"/>
  <c r="AH197" i="2"/>
  <c r="AJ314" i="2"/>
  <c r="AH314" i="2"/>
  <c r="AL314" i="2"/>
  <c r="AI314" i="2"/>
  <c r="AK314" i="2"/>
  <c r="M37" i="1"/>
  <c r="L37" i="1"/>
  <c r="AK342" i="2"/>
  <c r="AJ342" i="2"/>
  <c r="AI342" i="2"/>
  <c r="AH342" i="2"/>
  <c r="AL342" i="2"/>
  <c r="AJ44" i="2"/>
  <c r="AK44" i="2"/>
  <c r="AI44" i="2"/>
  <c r="AL44" i="2"/>
  <c r="AH44" i="2"/>
  <c r="Z24" i="1"/>
  <c r="AJ227" i="2"/>
  <c r="AK227" i="2"/>
  <c r="AL227" i="2"/>
  <c r="AI227" i="2"/>
  <c r="AH227" i="2"/>
  <c r="U11" i="3"/>
  <c r="I20" i="6" s="1"/>
  <c r="V11" i="3"/>
  <c r="D21" i="6" s="1"/>
  <c r="Y11" i="3"/>
  <c r="K34" i="1"/>
  <c r="AL484" i="2"/>
  <c r="AK484" i="2"/>
  <c r="AH484" i="2"/>
  <c r="AI484" i="2"/>
  <c r="AJ484" i="2"/>
  <c r="AI180" i="2"/>
  <c r="AH180" i="2"/>
  <c r="AJ180" i="2"/>
  <c r="AL180" i="2"/>
  <c r="AK180" i="2"/>
  <c r="AL185" i="2"/>
  <c r="AJ185" i="2"/>
  <c r="AK185" i="2"/>
  <c r="AI185" i="2"/>
  <c r="AH185" i="2"/>
  <c r="AI454" i="2"/>
  <c r="AL454" i="2"/>
  <c r="AH454" i="2"/>
  <c r="AJ454" i="2"/>
  <c r="AK454" i="2"/>
  <c r="M33" i="1"/>
  <c r="L33" i="1"/>
  <c r="H19" i="1"/>
  <c r="F19" i="1"/>
  <c r="F18" i="1"/>
  <c r="O31" i="1"/>
  <c r="H18" i="1"/>
  <c r="AJ348" i="2"/>
  <c r="AL348" i="2"/>
  <c r="AK348" i="2"/>
  <c r="AI348" i="2"/>
  <c r="AH348" i="2"/>
  <c r="AJ92" i="2"/>
  <c r="AH92" i="2"/>
  <c r="AI92" i="2"/>
  <c r="AK92" i="2"/>
  <c r="AL92" i="2"/>
  <c r="M39" i="1"/>
  <c r="L39" i="1"/>
  <c r="AH10" i="2"/>
  <c r="AL10" i="2"/>
  <c r="W10" i="2" s="1"/>
  <c r="AJ10" i="2"/>
  <c r="AK10" i="2"/>
  <c r="AI10" i="2"/>
  <c r="AL156" i="2"/>
  <c r="AK156" i="2"/>
  <c r="AJ156" i="2"/>
  <c r="AI156" i="2"/>
  <c r="AH156" i="2"/>
  <c r="AH301" i="2"/>
  <c r="AL301" i="2"/>
  <c r="AI301" i="2"/>
  <c r="AJ301" i="2"/>
  <c r="AK301" i="2"/>
  <c r="AK452" i="2"/>
  <c r="AI452" i="2"/>
  <c r="AL452" i="2"/>
  <c r="AJ452" i="2"/>
  <c r="AH452" i="2"/>
  <c r="AL417" i="2"/>
  <c r="AJ417" i="2"/>
  <c r="AI417" i="2"/>
  <c r="AK417" i="2"/>
  <c r="AH417" i="2"/>
  <c r="AI9" i="2"/>
  <c r="AK491" i="2"/>
  <c r="AI491" i="2"/>
  <c r="AH491" i="2"/>
  <c r="AJ491" i="2"/>
  <c r="AL491" i="2"/>
  <c r="AJ159" i="2"/>
  <c r="AH159" i="2"/>
  <c r="AK159" i="2"/>
  <c r="AL159" i="2"/>
  <c r="AI159" i="2"/>
  <c r="AL385" i="2"/>
  <c r="AK385" i="2"/>
  <c r="AJ385" i="2"/>
  <c r="AH385" i="2"/>
  <c r="AI385" i="2"/>
  <c r="AH336" i="2"/>
  <c r="AI336" i="2"/>
  <c r="AK336" i="2"/>
  <c r="AL336" i="2"/>
  <c r="AJ336" i="2"/>
  <c r="AK303" i="2"/>
  <c r="AJ303" i="2"/>
  <c r="AH303" i="2"/>
  <c r="AL303" i="2"/>
  <c r="AI303" i="2"/>
  <c r="AK493" i="2"/>
  <c r="AL493" i="2"/>
  <c r="AH493" i="2"/>
  <c r="AJ493" i="2"/>
  <c r="AI493" i="2"/>
  <c r="AJ281" i="2"/>
  <c r="AI281" i="2"/>
  <c r="AH281" i="2"/>
  <c r="AL281" i="2"/>
  <c r="AK281" i="2"/>
  <c r="AI183" i="2"/>
  <c r="AH183" i="2"/>
  <c r="AK183" i="2"/>
  <c r="AL183" i="2"/>
  <c r="AJ183" i="2"/>
  <c r="AK198" i="2"/>
  <c r="AJ198" i="2"/>
  <c r="AH198" i="2"/>
  <c r="AI198" i="2"/>
  <c r="AL198" i="2"/>
  <c r="AH58" i="2"/>
  <c r="AL58" i="2"/>
  <c r="AK58" i="2"/>
  <c r="AI58" i="2"/>
  <c r="AJ58" i="2"/>
  <c r="T33" i="1"/>
  <c r="AK9" i="2"/>
  <c r="AL346" i="2"/>
  <c r="AK346" i="2"/>
  <c r="AH346" i="2"/>
  <c r="AJ346" i="2"/>
  <c r="AI346" i="2"/>
  <c r="AL335" i="2"/>
  <c r="AI335" i="2"/>
  <c r="AJ335" i="2"/>
  <c r="AH335" i="2"/>
  <c r="AK335" i="2"/>
  <c r="Z21" i="1"/>
  <c r="AJ265" i="2"/>
  <c r="AI265" i="2"/>
  <c r="AH265" i="2"/>
  <c r="AL265" i="2"/>
  <c r="AK265" i="2"/>
  <c r="AH374" i="2"/>
  <c r="AJ374" i="2"/>
  <c r="AI374" i="2"/>
  <c r="AL374" i="2"/>
  <c r="AK374" i="2"/>
  <c r="AK312" i="2"/>
  <c r="AJ312" i="2"/>
  <c r="AI312" i="2"/>
  <c r="AL312" i="2"/>
  <c r="AH312" i="2"/>
  <c r="AL215" i="2"/>
  <c r="AJ215" i="2"/>
  <c r="AH215" i="2"/>
  <c r="AI215" i="2"/>
  <c r="AK215" i="2"/>
  <c r="AI26" i="2"/>
  <c r="AJ26" i="2"/>
  <c r="AH26" i="2"/>
  <c r="AL26" i="2" s="1"/>
  <c r="W26" i="2" s="1"/>
  <c r="AK26" i="2"/>
  <c r="AH321" i="2"/>
  <c r="AK321" i="2"/>
  <c r="AJ321" i="2"/>
  <c r="AI321" i="2"/>
  <c r="AL321" i="2"/>
  <c r="AL397" i="2"/>
  <c r="AJ397" i="2"/>
  <c r="AI397" i="2"/>
  <c r="AH397" i="2"/>
  <c r="AK397" i="2"/>
  <c r="AI466" i="2"/>
  <c r="AK466" i="2"/>
  <c r="AL466" i="2"/>
  <c r="AH466" i="2"/>
  <c r="AJ466" i="2"/>
  <c r="AL338" i="2"/>
  <c r="AK338" i="2"/>
  <c r="AH338" i="2"/>
  <c r="AJ338" i="2"/>
  <c r="AI338" i="2"/>
  <c r="AL419" i="2"/>
  <c r="AJ419" i="2"/>
  <c r="AK419" i="2"/>
  <c r="AI419" i="2"/>
  <c r="AH419" i="2"/>
  <c r="T58" i="3"/>
  <c r="AK304" i="2"/>
  <c r="AJ304" i="2"/>
  <c r="AH304" i="2"/>
  <c r="AI304" i="2"/>
  <c r="AL304" i="2"/>
  <c r="AL429" i="2"/>
  <c r="AJ429" i="2"/>
  <c r="AH429" i="2"/>
  <c r="AK429" i="2"/>
  <c r="AI429" i="2"/>
  <c r="AK33" i="2"/>
  <c r="AH33" i="2"/>
  <c r="AJ33" i="2"/>
  <c r="AL33" i="2" s="1"/>
  <c r="W33" i="2" s="1"/>
  <c r="N27" i="6" s="1"/>
  <c r="AI33" i="2"/>
  <c r="AK503" i="2"/>
  <c r="AH503" i="2"/>
  <c r="AJ503" i="2"/>
  <c r="AL503" i="2"/>
  <c r="AI503" i="2"/>
  <c r="AL464" i="2"/>
  <c r="AH464" i="2"/>
  <c r="AJ464" i="2"/>
  <c r="AK464" i="2"/>
  <c r="AI464" i="2"/>
  <c r="AH9" i="2"/>
  <c r="AL9" i="2" s="1"/>
  <c r="W9" i="2" s="1"/>
  <c r="AJ332" i="2"/>
  <c r="AL332" i="2"/>
  <c r="AK332" i="2"/>
  <c r="AH332" i="2"/>
  <c r="AI332" i="2"/>
  <c r="AJ205" i="2"/>
  <c r="AH205" i="2"/>
  <c r="AL205" i="2"/>
  <c r="AK205" i="2"/>
  <c r="AI205" i="2"/>
  <c r="AJ439" i="2"/>
  <c r="AH439" i="2"/>
  <c r="AI439" i="2"/>
  <c r="AL439" i="2"/>
  <c r="AK439" i="2"/>
  <c r="AK171" i="2"/>
  <c r="AH171" i="2"/>
  <c r="AL171" i="2"/>
  <c r="AJ171" i="2"/>
  <c r="AI171" i="2"/>
  <c r="AL53" i="2"/>
  <c r="AJ53" i="2"/>
  <c r="AI53" i="2"/>
  <c r="AK53" i="2"/>
  <c r="AH53" i="2"/>
  <c r="AJ211" i="2"/>
  <c r="AH211" i="2"/>
  <c r="AL211" i="2"/>
  <c r="AI211" i="2"/>
  <c r="AK211" i="2"/>
  <c r="AH496" i="2"/>
  <c r="AJ496" i="2"/>
  <c r="AL496" i="2"/>
  <c r="AI496" i="2"/>
  <c r="AK496" i="2"/>
  <c r="Z16" i="1"/>
  <c r="AL403" i="2"/>
  <c r="AJ403" i="2"/>
  <c r="AI403" i="2"/>
  <c r="AH403" i="2"/>
  <c r="AK403" i="2"/>
  <c r="AL399" i="2"/>
  <c r="AJ399" i="2"/>
  <c r="AK399" i="2"/>
  <c r="AI399" i="2"/>
  <c r="AH399" i="2"/>
  <c r="W58" i="3"/>
  <c r="AL149" i="2"/>
  <c r="AJ149" i="2"/>
  <c r="AK149" i="2"/>
  <c r="AH149" i="2"/>
  <c r="AI149" i="2"/>
  <c r="L31" i="1"/>
  <c r="M31" i="1"/>
  <c r="AL219" i="2"/>
  <c r="AJ219" i="2"/>
  <c r="AI219" i="2"/>
  <c r="AH219" i="2"/>
  <c r="AK219" i="2"/>
  <c r="AK18" i="2"/>
  <c r="AL18" i="2" s="1"/>
  <c r="AL56" i="2"/>
  <c r="AK56" i="2"/>
  <c r="AH56" i="2"/>
  <c r="AJ56" i="2"/>
  <c r="AI56" i="2"/>
  <c r="AL413" i="2"/>
  <c r="AJ413" i="2"/>
  <c r="AK413" i="2"/>
  <c r="AI413" i="2"/>
  <c r="AH413" i="2"/>
  <c r="H15" i="1"/>
  <c r="F15" i="1"/>
  <c r="J11" i="1"/>
  <c r="J10" i="1"/>
  <c r="AK162" i="2"/>
  <c r="AI162" i="2"/>
  <c r="AJ162" i="2"/>
  <c r="AL162" i="2"/>
  <c r="AH162" i="2"/>
  <c r="AJ273" i="2"/>
  <c r="AI273" i="2"/>
  <c r="AL273" i="2"/>
  <c r="AK273" i="2"/>
  <c r="AH273" i="2"/>
  <c r="AL328" i="2"/>
  <c r="AK328" i="2"/>
  <c r="AH328" i="2"/>
  <c r="AI328" i="2"/>
  <c r="AJ328" i="2"/>
  <c r="AI450" i="2"/>
  <c r="AH450" i="2"/>
  <c r="AL450" i="2"/>
  <c r="AK450" i="2"/>
  <c r="AJ450" i="2"/>
  <c r="AL192" i="2"/>
  <c r="AK192" i="2"/>
  <c r="AJ192" i="2"/>
  <c r="AI192" i="2"/>
  <c r="AH192" i="2"/>
  <c r="AJ223" i="2"/>
  <c r="AK223" i="2"/>
  <c r="AI223" i="2"/>
  <c r="AL223" i="2"/>
  <c r="AH223" i="2"/>
  <c r="AL367" i="2"/>
  <c r="AI367" i="2"/>
  <c r="AH367" i="2"/>
  <c r="AJ367" i="2"/>
  <c r="AK367" i="2"/>
  <c r="AK483" i="2"/>
  <c r="AJ483" i="2"/>
  <c r="AL483" i="2"/>
  <c r="AI483" i="2"/>
  <c r="AH483" i="2"/>
  <c r="T31" i="1"/>
  <c r="S36" i="1"/>
  <c r="AK426" i="2"/>
  <c r="AI426" i="2"/>
  <c r="AL426" i="2"/>
  <c r="AJ426" i="2"/>
  <c r="AH426" i="2"/>
  <c r="AK310" i="2"/>
  <c r="AI310" i="2"/>
  <c r="AH310" i="2"/>
  <c r="AJ310" i="2"/>
  <c r="AL310" i="2"/>
  <c r="AH199" i="2"/>
  <c r="AJ199" i="2"/>
  <c r="AL199" i="2"/>
  <c r="AI199" i="2"/>
  <c r="AK199" i="2"/>
  <c r="AK42" i="2"/>
  <c r="AJ42" i="2"/>
  <c r="AL42" i="2"/>
  <c r="AH42" i="2"/>
  <c r="AI42" i="2"/>
  <c r="T34" i="1"/>
  <c r="AH21" i="2"/>
  <c r="AL21" i="2" s="1"/>
  <c r="W21" i="2" s="1"/>
  <c r="AL169" i="2"/>
  <c r="AH169" i="2"/>
  <c r="AK169" i="2"/>
  <c r="AJ169" i="2"/>
  <c r="AI169" i="2"/>
  <c r="AJ158" i="2"/>
  <c r="AH158" i="2"/>
  <c r="AI158" i="2"/>
  <c r="AL158" i="2"/>
  <c r="AK158" i="2"/>
  <c r="AJ18" i="2"/>
  <c r="AL165" i="2"/>
  <c r="AJ165" i="2"/>
  <c r="AK165" i="2"/>
  <c r="AI165" i="2"/>
  <c r="AH165" i="2"/>
  <c r="AI152" i="2"/>
  <c r="AH152" i="2"/>
  <c r="AJ152" i="2"/>
  <c r="AL152" i="2"/>
  <c r="AK152" i="2"/>
  <c r="AK143" i="2"/>
  <c r="AJ143" i="2"/>
  <c r="AI143" i="2"/>
  <c r="AH143" i="2"/>
  <c r="AL143" i="2"/>
  <c r="AL123" i="2"/>
  <c r="AK123" i="2"/>
  <c r="AJ123" i="2"/>
  <c r="AI123" i="2"/>
  <c r="AH123" i="2"/>
  <c r="AL409" i="2"/>
  <c r="AJ409" i="2"/>
  <c r="AH409" i="2"/>
  <c r="AK409" i="2"/>
  <c r="AI409" i="2"/>
  <c r="AJ359" i="2"/>
  <c r="AL359" i="2"/>
  <c r="AK359" i="2"/>
  <c r="AH359" i="2"/>
  <c r="AI359" i="2"/>
  <c r="T32" i="1"/>
  <c r="AL191" i="2"/>
  <c r="AJ191" i="2"/>
  <c r="AK191" i="2"/>
  <c r="AI191" i="2"/>
  <c r="AH191" i="2"/>
  <c r="AK300" i="2"/>
  <c r="AL300" i="2"/>
  <c r="AI300" i="2"/>
  <c r="AJ300" i="2"/>
  <c r="AH300" i="2"/>
  <c r="Z20" i="1"/>
  <c r="AJ334" i="2"/>
  <c r="AH334" i="2"/>
  <c r="AL334" i="2"/>
  <c r="AI334" i="2"/>
  <c r="AK334" i="2"/>
  <c r="AJ116" i="2"/>
  <c r="AH116" i="2"/>
  <c r="AI116" i="2"/>
  <c r="AK116" i="2"/>
  <c r="AL116" i="2"/>
  <c r="AL330" i="2"/>
  <c r="AK330" i="2"/>
  <c r="AH330" i="2"/>
  <c r="AI330" i="2"/>
  <c r="AJ330" i="2"/>
  <c r="AJ431" i="2"/>
  <c r="AH431" i="2"/>
  <c r="AK431" i="2"/>
  <c r="AI431" i="2"/>
  <c r="AL431" i="2"/>
  <c r="AJ231" i="2"/>
  <c r="AK231" i="2"/>
  <c r="AL231" i="2"/>
  <c r="AI231" i="2"/>
  <c r="AH231" i="2"/>
  <c r="AJ340" i="2"/>
  <c r="AL340" i="2"/>
  <c r="AH340" i="2"/>
  <c r="AK340" i="2"/>
  <c r="AI340" i="2"/>
  <c r="AL393" i="2"/>
  <c r="AJ393" i="2"/>
  <c r="AH393" i="2"/>
  <c r="AI393" i="2"/>
  <c r="AK393" i="2"/>
  <c r="H20" i="1" l="1"/>
  <c r="F20" i="1"/>
  <c r="H16" i="1"/>
  <c r="N8" i="1" s="1"/>
  <c r="N11" i="1" s="1"/>
  <c r="F16" i="1"/>
  <c r="H17" i="1"/>
  <c r="F22" i="1"/>
  <c r="H22" i="1"/>
  <c r="F17" i="1"/>
  <c r="H21" i="1"/>
  <c r="F21" i="1"/>
  <c r="M35" i="1"/>
  <c r="L35" i="1"/>
  <c r="T36" i="1"/>
  <c r="T35" i="1"/>
  <c r="Y58" i="3"/>
  <c r="M34" i="1"/>
  <c r="L34" i="1"/>
  <c r="O34" i="1"/>
  <c r="L20" i="6"/>
  <c r="V58" i="3"/>
  <c r="U58" i="3"/>
  <c r="N10" i="1" l="1"/>
</calcChain>
</file>

<file path=xl/sharedStrings.xml><?xml version="1.0" encoding="utf-8"?>
<sst xmlns="http://schemas.openxmlformats.org/spreadsheetml/2006/main" count="937" uniqueCount="523">
  <si>
    <t>CAHIER D'ÉPANDAGE</t>
  </si>
  <si>
    <t>Dernier apport enregistré</t>
  </si>
  <si>
    <t>Registre  ›</t>
  </si>
  <si>
    <t>Îlots  ›</t>
  </si>
  <si>
    <t>Fertilisants  ›</t>
  </si>
  <si>
    <t>Échanges &amp; stockage  ›</t>
  </si>
  <si>
    <t>Fiche îlot  ›</t>
  </si>
  <si>
    <t>Configuration  ›</t>
  </si>
  <si>
    <t>Mode d'emploi  ›</t>
  </si>
  <si>
    <t>APPORTS ENREGISTRÉS</t>
  </si>
  <si>
    <t>AZOTE TOTAL ÉPANDU</t>
  </si>
  <si>
    <t>AZOTE DES EFFLUENTS D'ÉLEVAGE</t>
  </si>
  <si>
    <t>POINTS DE CONTRÔLE CONFORMES</t>
  </si>
  <si>
    <t>COÛT DES FERTILISANTS</t>
  </si>
  <si>
    <t>Contrôles réglementaires</t>
  </si>
  <si>
    <t>Azote épandu par mois (kg N)</t>
  </si>
  <si>
    <t>Mois</t>
  </si>
  <si>
    <t>Organique</t>
  </si>
  <si>
    <t>Minéral</t>
  </si>
  <si>
    <t>Total</t>
  </si>
  <si>
    <t>POINT DE CONTRÔLE</t>
  </si>
  <si>
    <t>CONSTAT</t>
  </si>
  <si>
    <t>STATUT</t>
  </si>
  <si>
    <t>Plafond d'azote des effluents d'élevage</t>
  </si>
  <si>
    <t>Épandages en période d'interdiction</t>
  </si>
  <si>
    <t>Épandages sur sol interdit</t>
  </si>
  <si>
    <t>Îlots au-delà de la dose PPF</t>
  </si>
  <si>
    <t>Îlots sans dose prévisionnelle</t>
  </si>
  <si>
    <t>Surfaces épandues supérieures à l'îlot</t>
  </si>
  <si>
    <t>Lignes incomplètes ou hors campagne</t>
  </si>
  <si>
    <t>Saisies au-delà du délai visé</t>
  </si>
  <si>
    <t>Bordereaux d'échange non cosignés</t>
  </si>
  <si>
    <t>Stockages au champ à vérifier</t>
  </si>
  <si>
    <t>Indicateurs calculés à partir des données saisies. Le plafond est suivi ici sur l'azote des effluents d'élevage épandus ; le calcul réglementaire s'appuie sur l'azote produit par le cheptel.</t>
  </si>
  <si>
    <t>Réalisation du plan prévisionnel de fumure par îlot</t>
  </si>
  <si>
    <t>Azote par type de fertilisant</t>
  </si>
  <si>
    <t>Îlot</t>
  </si>
  <si>
    <t>Culture</t>
  </si>
  <si>
    <t>Surface (ha)</t>
  </si>
  <si>
    <t>Dose PPF
(kg N eff./ha)</t>
  </si>
  <si>
    <t>N efficace
apporté</t>
  </si>
  <si>
    <t>Écart</t>
  </si>
  <si>
    <t>Réalisation</t>
  </si>
  <si>
    <t>Statut</t>
  </si>
  <si>
    <t>TYPE</t>
  </si>
  <si>
    <t>KG N</t>
  </si>
  <si>
    <t>PART</t>
  </si>
  <si>
    <t>Type 0</t>
  </si>
  <si>
    <t>Type Ia</t>
  </si>
  <si>
    <t>Type Ib</t>
  </si>
  <si>
    <t>Type II</t>
  </si>
  <si>
    <t>Type III</t>
  </si>
  <si>
    <t>20 premiers îlots de l'onglet Îlots · barre de réalisation : N efficace apporté / dose PPF · détail d'un îlot : onglet Fiche îlot.</t>
  </si>
  <si>
    <t>REGISTRE DES ÉPANDAGES</t>
  </si>
  <si>
    <t>Enregistrement des apports de fertilisants azotés – une ligne par îlot et par apport</t>
  </si>
  <si>
    <t>La colonne Contrôle vérifie l'état du sol, le calendrier d'interdiction, la surface, la campagne et le délai de saisie.</t>
  </si>
  <si>
    <t>Saisie</t>
  </si>
  <si>
    <t>Calcul automatique</t>
  </si>
  <si>
    <t>APPORT</t>
  </si>
  <si>
    <t>FERTILISANT</t>
  </si>
  <si>
    <t>QUANTITÉS</t>
  </si>
  <si>
    <t>ÉLÉMENTS APPORTÉS</t>
  </si>
  <si>
    <t>CONDITIONS ET TRAÇABILITÉ</t>
  </si>
  <si>
    <t>CONTRÔLE</t>
  </si>
  <si>
    <t>COLONNES TECHNIQUES – NE PAS MODIFIER</t>
  </si>
  <si>
    <t>N°</t>
  </si>
  <si>
    <t>Date
d'épandage</t>
  </si>
  <si>
    <t>Culture ou couvert</t>
  </si>
  <si>
    <t>Apport réalisé sur</t>
  </si>
  <si>
    <t>Fertilisant</t>
  </si>
  <si>
    <t>Type</t>
  </si>
  <si>
    <t>Surface
épandue (ha)</t>
  </si>
  <si>
    <t>Dose
(unité/ha)</t>
  </si>
  <si>
    <t>Unité</t>
  </si>
  <si>
    <t>Quantité
totale</t>
  </si>
  <si>
    <t>N total
(kg/ha)</t>
  </si>
  <si>
    <t>N efficace
(kg/ha)</t>
  </si>
  <si>
    <t>P₂O₅
(kg/ha)</t>
  </si>
  <si>
    <t>K₂O
(kg/ha)</t>
  </si>
  <si>
    <t>N total
apporté (kg)</t>
  </si>
  <si>
    <t>État
du sol</t>
  </si>
  <si>
    <t>Matériel / mode d'apport</t>
  </si>
  <si>
    <t>Enfouis-
sement (h)</t>
  </si>
  <si>
    <t>Réalisé par</t>
  </si>
  <si>
    <t>Date de
saisie</t>
  </si>
  <si>
    <t>Contrôle</t>
  </si>
  <si>
    <t>Observations (météo, n° de bordereau…)</t>
  </si>
  <si>
    <t>Ligne
îlot</t>
  </si>
  <si>
    <t>Ligne
fertil.</t>
  </si>
  <si>
    <t>Surface
îlot</t>
  </si>
  <si>
    <t>Zone
vuln.</t>
  </si>
  <si>
    <t>Occupation
(calendrier)</t>
  </si>
  <si>
    <t>Ligne
calend.</t>
  </si>
  <si>
    <t>Colonne
type</t>
  </si>
  <si>
    <t>Code
jour</t>
  </si>
  <si>
    <t>P1
début</t>
  </si>
  <si>
    <t>P1
fin</t>
  </si>
  <si>
    <t>P2
début</t>
  </si>
  <si>
    <t>P2
fin</t>
  </si>
  <si>
    <t>Période
interdite</t>
  </si>
  <si>
    <t>Effluent
d'élevage</t>
  </si>
  <si>
    <t>Nature</t>
  </si>
  <si>
    <t>N efficace
(kg)</t>
  </si>
  <si>
    <t>P₂O₅
(kg)</t>
  </si>
  <si>
    <t>K₂O
(kg)</t>
  </si>
  <si>
    <t>Rang
fiche îlot</t>
  </si>
  <si>
    <t>08 – Les Terres Fortes</t>
  </si>
  <si>
    <t>Couvert d'interculture</t>
  </si>
  <si>
    <t>Fumier de bovins (compact)</t>
  </si>
  <si>
    <t>Ressuyé</t>
  </si>
  <si>
    <t>Épandeur à hérissons verticaux</t>
  </si>
  <si>
    <t>Exploitant</t>
  </si>
  <si>
    <t>Épandage sur couvert levé</t>
  </si>
  <si>
    <t>03 – La Garenne</t>
  </si>
  <si>
    <t>Culture en place</t>
  </si>
  <si>
    <t>Lisier de bovins</t>
  </si>
  <si>
    <t>Tonne – rampe à pendillards</t>
  </si>
  <si>
    <t>Entreprise de travaux (ETA)</t>
  </si>
  <si>
    <t>01 – La Croix Blanche</t>
  </si>
  <si>
    <t>06 – Pré Long</t>
  </si>
  <si>
    <t>02 – Les Noues</t>
  </si>
  <si>
    <t>Sol nu avant semis</t>
  </si>
  <si>
    <t>Épandeur à table</t>
  </si>
  <si>
    <t>Enfoui par labour</t>
  </si>
  <si>
    <t>07 – La Fosse aux Loups</t>
  </si>
  <si>
    <t>Compost de fumier</t>
  </si>
  <si>
    <t>CUMA</t>
  </si>
  <si>
    <t>Îlot hors zone vulnérable</t>
  </si>
  <si>
    <t>04 – Le Paradis</t>
  </si>
  <si>
    <t>Humide</t>
  </si>
  <si>
    <t>Tonne – buse palette</t>
  </si>
  <si>
    <t>Fosse à saturation – situation à régulariser</t>
  </si>
  <si>
    <t>Sulfate d'ammoniaque 21 %</t>
  </si>
  <si>
    <t>Distributeur centrifuge</t>
  </si>
  <si>
    <t>Reprise de végétation</t>
  </si>
  <si>
    <t>Ammonitrate 33,5 %</t>
  </si>
  <si>
    <t>1er apport – tallage</t>
  </si>
  <si>
    <t>09 – Les Sablons</t>
  </si>
  <si>
    <t>Salarié de l'exploitation</t>
  </si>
  <si>
    <t>05 – Les Rouches</t>
  </si>
  <si>
    <t>Détrempé</t>
  </si>
  <si>
    <t>Zone hydromorphe exclue</t>
  </si>
  <si>
    <t>Digestat liquide</t>
  </si>
  <si>
    <t>Tonne – enfouisseur</t>
  </si>
  <si>
    <t>Bordereau BE-2027-003</t>
  </si>
  <si>
    <t>Solution azotée 30 %</t>
  </si>
  <si>
    <t>Pulvérisateur à rampe</t>
  </si>
  <si>
    <t>Fumier de volailles</t>
  </si>
  <si>
    <t>Bordereau BE-2027-002</t>
  </si>
  <si>
    <t>Stade épi 1 cm</t>
  </si>
  <si>
    <t>Bordereau BE-2027-004</t>
  </si>
  <si>
    <t>Dernier apport</t>
  </si>
  <si>
    <t>Saisie reportée</t>
  </si>
  <si>
    <t>Urée 46 %</t>
  </si>
  <si>
    <t>Avant semis du maïs</t>
  </si>
  <si>
    <t>Dernier apport – 2 nœuds</t>
  </si>
  <si>
    <t>Engrais 18-46-0</t>
  </si>
  <si>
    <t>Semoir (localisé au semis)</t>
  </si>
  <si>
    <t>Localisé au semis</t>
  </si>
  <si>
    <t>Après la 1re coupe</t>
  </si>
  <si>
    <t>Stade 6 feuilles</t>
  </si>
  <si>
    <t>Après la 1re fauche</t>
  </si>
  <si>
    <t>ÎLOTS CULTURAUX ET PLAN PRÉVISIONNEL</t>
  </si>
  <si>
    <t>Parcellaire, interculture, dose d'azote prévue et bilan réalisé</t>
  </si>
  <si>
    <t>Un îlot regroupe des parcelles contiguës conduites de façon homogène. La désignation alimente les listes du registre.</t>
  </si>
  <si>
    <t>IDENTIFICATION</t>
  </si>
  <si>
    <t>INTERCULTURE PRÉCÉDANT LA CULTURE</t>
  </si>
  <si>
    <t>CULTURE PRINCIPALE ET PLAN PRÉVISIONNEL (PPF)</t>
  </si>
  <si>
    <t>BILAN AZOTÉ DE LA CAMPAGNE</t>
  </si>
  <si>
    <t>RÉCOLTE</t>
  </si>
  <si>
    <t>Code</t>
  </si>
  <si>
    <t>Nom de l'îlot</t>
  </si>
  <si>
    <t>Désignation</t>
  </si>
  <si>
    <t>Surface
(ha)</t>
  </si>
  <si>
    <t>Type de sol</t>
  </si>
  <si>
    <t>Zone
vulnérable</t>
  </si>
  <si>
    <t>Faire-valoir</t>
  </si>
  <si>
    <t>Couvert</t>
  </si>
  <si>
    <t>Espèces</t>
  </si>
  <si>
    <t>Date de
semis</t>
  </si>
  <si>
    <t>Destruction
/ récolte</t>
  </si>
  <si>
    <t>Durée</t>
  </si>
  <si>
    <t>Culture principale</t>
  </si>
  <si>
    <t>Catégorie de calendrier</t>
  </si>
  <si>
    <t>Date
d'implantation</t>
  </si>
  <si>
    <t>Objectif de
rendement</t>
  </si>
  <si>
    <t>Dose N PPF
(kg N eff./ha)</t>
  </si>
  <si>
    <t>N efficace
apporté (kg/ha)</t>
  </si>
  <si>
    <t>Écart
(kg/ha)</t>
  </si>
  <si>
    <t>Réalisation
du PPF</t>
  </si>
  <si>
    <t>N organique
total (kg/ha)</t>
  </si>
  <si>
    <t>Apports</t>
  </si>
  <si>
    <t>Date de
récolte</t>
  </si>
  <si>
    <t>Rendement
réalisé</t>
  </si>
  <si>
    <t>Écart /
objectif</t>
  </si>
  <si>
    <t>Observations (reliquat, accident cultural…)</t>
  </si>
  <si>
    <t>01</t>
  </si>
  <si>
    <t>La Croix Blanche</t>
  </si>
  <si>
    <t>Limon profond</t>
  </si>
  <si>
    <t>Oui</t>
  </si>
  <si>
    <t>Propriété</t>
  </si>
  <si>
    <t>CINE (non exporté)</t>
  </si>
  <si>
    <t>Moutarde + avoine rude</t>
  </si>
  <si>
    <t>Maïs ensilage</t>
  </si>
  <si>
    <t>Reliquat sortie d'hiver : 38 kg N/ha</t>
  </si>
  <si>
    <t>02</t>
  </si>
  <si>
    <t>Les Noues</t>
  </si>
  <si>
    <t>Argilo-limoneux</t>
  </si>
  <si>
    <t>Fermage</t>
  </si>
  <si>
    <t>Repousses de colza</t>
  </si>
  <si>
    <t>Blé tendre d'hiver</t>
  </si>
  <si>
    <t>03</t>
  </si>
  <si>
    <t>La Garenne</t>
  </si>
  <si>
    <t>Sablo-limoneux</t>
  </si>
  <si>
    <t>Aucun (interculture courte)</t>
  </si>
  <si>
    <t>Colza d'hiver</t>
  </si>
  <si>
    <t>04</t>
  </si>
  <si>
    <t>Le Paradis</t>
  </si>
  <si>
    <t>Limon argileux</t>
  </si>
  <si>
    <t>CIE (dérobée exportée)</t>
  </si>
  <si>
    <t>Ray-grass italien + trèfle</t>
  </si>
  <si>
    <t>Dérobée ensilée le 18/04/2027</t>
  </si>
  <si>
    <t>05</t>
  </si>
  <si>
    <t>Les Rouches</t>
  </si>
  <si>
    <t>Limon battant</t>
  </si>
  <si>
    <t>Orge d'hiver</t>
  </si>
  <si>
    <t>Zone hydromorphe (0,75 ha) exclue des lisiers</t>
  </si>
  <si>
    <t>06</t>
  </si>
  <si>
    <t>Pré Long</t>
  </si>
  <si>
    <t>Limon hydromorphe</t>
  </si>
  <si>
    <t>Sans objet (prairie, pérenne)</t>
  </si>
  <si>
    <t>Prairie permanente</t>
  </si>
  <si>
    <t>Pâturage d'avril à octobre</t>
  </si>
  <si>
    <t>07</t>
  </si>
  <si>
    <t>La Fosse aux Loups</t>
  </si>
  <si>
    <t>Argilo-calcaire</t>
  </si>
  <si>
    <t>Non</t>
  </si>
  <si>
    <t>Prairie temporaire</t>
  </si>
  <si>
    <t>08</t>
  </si>
  <si>
    <t>Les Terres Fortes</t>
  </si>
  <si>
    <t>Argile</t>
  </si>
  <si>
    <t>Phacélie + vesce</t>
  </si>
  <si>
    <t>Orge de printemps</t>
  </si>
  <si>
    <t>09</t>
  </si>
  <si>
    <t>Les Sablons</t>
  </si>
  <si>
    <t>Sableux</t>
  </si>
  <si>
    <t>Repousses de céréales</t>
  </si>
  <si>
    <t>Triticale</t>
  </si>
  <si>
    <t>10</t>
  </si>
  <si>
    <t>Le Bois Rond</t>
  </si>
  <si>
    <t>Limon</t>
  </si>
  <si>
    <t>Luzerne</t>
  </si>
  <si>
    <t>Légumineuse : pas d'apport azoté prévu</t>
  </si>
  <si>
    <t>Total de l'exploitation</t>
  </si>
  <si>
    <t>FERTILISANTS</t>
  </si>
  <si>
    <t>Référentiel des effluents, produits organiques et engrais de la campagne</t>
  </si>
  <si>
    <t>Teneurs par unité de produit brut (kg par t, par m³, par kg ou par L). Privilégiez les valeurs d'analyse.</t>
  </si>
  <si>
    <t>COMPOSITION PAR UNITÉ DE PRODUIT BRUT</t>
  </si>
  <si>
    <t>UTILISATION ET COÛT SUR LA CAMPAGNE</t>
  </si>
  <si>
    <t>Catégorie</t>
  </si>
  <si>
    <t>Matière
sèche</t>
  </si>
  <si>
    <t>N total
(kg/unité)</t>
  </si>
  <si>
    <t>Coef.
Keq</t>
  </si>
  <si>
    <t>N efficace
(kg/unité)</t>
  </si>
  <si>
    <t>P₂O₅
(kg/unité)</t>
  </si>
  <si>
    <t>K₂O
(kg/unité)</t>
  </si>
  <si>
    <t>Origine de
la teneur</t>
  </si>
  <si>
    <t>Date
d'analyse</t>
  </si>
  <si>
    <t>Prix
(€/unité)</t>
  </si>
  <si>
    <t>Quantité
épandue</t>
  </si>
  <si>
    <t>Azote total
épandu (kg)</t>
  </si>
  <si>
    <t>Coût
(€)</t>
  </si>
  <si>
    <t>Observations</t>
  </si>
  <si>
    <t>Effluent d'élevage</t>
  </si>
  <si>
    <t>t</t>
  </si>
  <si>
    <t>Référence régionale</t>
  </si>
  <si>
    <t>Fumière de l'exploitation – séjour de plus de 2 mois</t>
  </si>
  <si>
    <t>m³</t>
  </si>
  <si>
    <t>Analyse</t>
  </si>
  <si>
    <t>Fosse principale</t>
  </si>
  <si>
    <t>Importé – bordereau BE-2027-002</t>
  </si>
  <si>
    <t>Produit organique (hors élevage)</t>
  </si>
  <si>
    <t>Unité de méthanisation partenaire</t>
  </si>
  <si>
    <t>Engrais minéral</t>
  </si>
  <si>
    <t>kg</t>
  </si>
  <si>
    <t>Étiquette fabricant</t>
  </si>
  <si>
    <t>L</t>
  </si>
  <si>
    <t>Teneur exprimée par litre (densité 1,28)</t>
  </si>
  <si>
    <t>Apporte également du soufre</t>
  </si>
  <si>
    <t>Total de la campagne</t>
  </si>
  <si>
    <t>ÉCHANGES D'EFFLUENTS ET STOCKAGE AU CHAMP</t>
  </si>
  <si>
    <t>Bordereaux de cession, de réception et de mise à disposition · dépôts au champ</t>
  </si>
  <si>
    <t>Chaque échange d'effluents fait l'objet d'un bordereau cosigné par le fournisseur et le destinataire.</t>
  </si>
  <si>
    <t>AZOTE REÇU (KG N)</t>
  </si>
  <si>
    <t>AZOTE CÉDÉ (KG N)</t>
  </si>
  <si>
    <t>AZOTE SUR TERRES MISES À DISPOSITION (KG N)</t>
  </si>
  <si>
    <t>BORDEREAUX À RÉGULARISER</t>
  </si>
  <si>
    <t>DÉPÔTS AU CHAMP EN COURS</t>
  </si>
  <si>
    <t>BORDEREAUX D'ÉCHANGE ET DE MISE À DISPOSITION</t>
  </si>
  <si>
    <t>N° de bordereau</t>
  </si>
  <si>
    <t>Date</t>
  </si>
  <si>
    <t>Nature de l'échange</t>
  </si>
  <si>
    <t>Exploitation partenaire</t>
  </si>
  <si>
    <t>Commune</t>
  </si>
  <si>
    <t>Quantité</t>
  </si>
  <si>
    <t>Azote total
(kg N)</t>
  </si>
  <si>
    <t>Îlots ou destination</t>
  </si>
  <si>
    <t>Cosigné</t>
  </si>
  <si>
    <t>BE-2027-001</t>
  </si>
  <si>
    <t>Cession (export)</t>
  </si>
  <si>
    <t>GAEC des Trois Chênes</t>
  </si>
  <si>
    <t>Mérienne-le-Haut</t>
  </si>
  <si>
    <t>Épandu chez le repreneur</t>
  </si>
  <si>
    <t>MAD-2027-001</t>
  </si>
  <si>
    <t>Épandage sur terres mises à disposition</t>
  </si>
  <si>
    <t>EARL des Coudraies</t>
  </si>
  <si>
    <t>Val-de-Mérienne</t>
  </si>
  <si>
    <t>Parcelle C4 du prêteur (6,20 ha)</t>
  </si>
  <si>
    <t>Convention annuelle signée</t>
  </si>
  <si>
    <t>BE-2027-002</t>
  </si>
  <si>
    <t>Réception (import)</t>
  </si>
  <si>
    <t>SARL Avi-Plaine</t>
  </si>
  <si>
    <t>Saint-Aubin-des-Prés</t>
  </si>
  <si>
    <t>Analyse jointe</t>
  </si>
  <si>
    <t>BE-2027-003</t>
  </si>
  <si>
    <t>SAS Méthavallée</t>
  </si>
  <si>
    <t>BE-2027-004</t>
  </si>
  <si>
    <t>Signature du fournisseur en attente</t>
  </si>
  <si>
    <t>STOCKAGE AU CHAMP DES FUMIERS ET COMPOSTS</t>
  </si>
  <si>
    <t>Date de
dépôt</t>
  </si>
  <si>
    <t>Effluent stocké</t>
  </si>
  <si>
    <t>Quantité (t)</t>
  </si>
  <si>
    <t>Conditions du dépôt</t>
  </si>
  <si>
    <t>Date de reprise</t>
  </si>
  <si>
    <t>Sur chaume, tas de 2,5 m de haut</t>
  </si>
  <si>
    <t>Sur chaume, bord de chemin</t>
  </si>
  <si>
    <t>Sur prairie, andain couvert</t>
  </si>
  <si>
    <t>Sur prairie</t>
  </si>
  <si>
    <t>Reprise prévue au printemps</t>
  </si>
  <si>
    <t>Repères : dépôt limité à 9 mois, hors zones où l'épandage est interdit. Entre le 15/11 et le 15/01, le tas est déposé sur prairie, sur un lit d'environ 10 cm de matériau absorbant ou couvert. Retour sur un même emplacement après 3 ans minimum.</t>
  </si>
  <si>
    <t>FICHE ÎLOT</t>
  </si>
  <si>
    <t>Synthèse imprimable d'un îlot : identification, plan prévisionnel, bilan et apports</t>
  </si>
  <si>
    <t>Choisissez un îlot dans la liste : la fiche se met à jour automatiquement et s'imprime sur une page.</t>
  </si>
  <si>
    <t>ÎLOT SÉLECTIONNÉ</t>
  </si>
  <si>
    <t>◄ liste déroulante</t>
  </si>
  <si>
    <t>IDENTIFICATION ET PLAN PRÉVISIONNEL</t>
  </si>
  <si>
    <t>Zone vulnérable</t>
  </si>
  <si>
    <t>Date d'implantation</t>
  </si>
  <si>
    <t>Objectif de rendement</t>
  </si>
  <si>
    <t>Date de récolte</t>
  </si>
  <si>
    <t>Espèces du couvert</t>
  </si>
  <si>
    <t>Rendement réalisé</t>
  </si>
  <si>
    <t>BILAN AZOTÉ DE L'ÎLOT</t>
  </si>
  <si>
    <t>DOSE PPF (KG N EFF./HA)</t>
  </si>
  <si>
    <t>N EFFICACE APPORTÉ (KG/HA)</t>
  </si>
  <si>
    <t>N ORGANIQUE TOTAL (KG/HA)</t>
  </si>
  <si>
    <t>ÉCART AU PPF (KG N/HA)</t>
  </si>
  <si>
    <t>BILAN PPF DE L'ÎLOT</t>
  </si>
  <si>
    <t>APPORTS ENREGISTRÉS SUR L'ÎLOT</t>
  </si>
  <si>
    <t>Dose</t>
  </si>
  <si>
    <t>État du sol</t>
  </si>
  <si>
    <t>CONFIGURATION</t>
  </si>
  <si>
    <t>Exploitation, paramètres de campagne, calendrier d'interdiction et listes de référence</t>
  </si>
  <si>
    <t>Paramètres de l'exploitation et référentiels utilisés par les calculs et les contrôles.</t>
  </si>
  <si>
    <t>EXPLOITATION</t>
  </si>
  <si>
    <t>PARAMÈTRES DE LA CAMPAGNE</t>
  </si>
  <si>
    <t>CULTURES ET CATÉGORIES DE CALENDRIER</t>
  </si>
  <si>
    <t>LISTES DÉROULANTES</t>
  </si>
  <si>
    <t>Raison sociale</t>
  </si>
  <si>
    <t>SCEA du Val de Mérienne</t>
  </si>
  <si>
    <t>Année de récolte</t>
  </si>
  <si>
    <t>Unité de rendement</t>
  </si>
  <si>
    <t>Types de fertilisant *</t>
  </si>
  <si>
    <t>Unités</t>
  </si>
  <si>
    <t>Catégories de fertilisant *</t>
  </si>
  <si>
    <t>États du sol *</t>
  </si>
  <si>
    <t>Apport réalisé sur *</t>
  </si>
  <si>
    <t>Couverts d'interculture</t>
  </si>
  <si>
    <t>Nature de l'échange *</t>
  </si>
  <si>
    <t>Origine de la teneur</t>
  </si>
  <si>
    <t>Régime des effluents</t>
  </si>
  <si>
    <t>Responsable de l'exploitation</t>
  </si>
  <si>
    <t>Hélène Garnier</t>
  </si>
  <si>
    <t>Début de la campagne culturale</t>
  </si>
  <si>
    <t>Culture d'automne (hors colza)</t>
  </si>
  <si>
    <t>q/ha</t>
  </si>
  <si>
    <t>Pas d'élevage</t>
  </si>
  <si>
    <t>Activité d'élevage</t>
  </si>
  <si>
    <t>Bovins lait – 95 vaches laitières</t>
  </si>
  <si>
    <t>Fin de la campagne culturale</t>
  </si>
  <si>
    <t>Règlement sanitaire départemental</t>
  </si>
  <si>
    <t>N° PACAGE</t>
  </si>
  <si>
    <t>000 987 654</t>
  </si>
  <si>
    <t>SAU totale (ha)</t>
  </si>
  <si>
    <t>Gelé</t>
  </si>
  <si>
    <t>Autre</t>
  </si>
  <si>
    <t>ICPE – Déclaration</t>
  </si>
  <si>
    <t>N° SIRET</t>
  </si>
  <si>
    <t>999 000 111 00022</t>
  </si>
  <si>
    <t>Surface des îlots saisis (ha)</t>
  </si>
  <si>
    <t>Seigle</t>
  </si>
  <si>
    <t>Enneigé</t>
  </si>
  <si>
    <t>ICPE – Enregistrement</t>
  </si>
  <si>
    <t>Adresse</t>
  </si>
  <si>
    <t>Ferme de la Croix Blanche – 12 route des Noues</t>
  </si>
  <si>
    <t>Contrôle SAU / îlots</t>
  </si>
  <si>
    <t>Colza d'automne</t>
  </si>
  <si>
    <t>Cannes de maïs broyées</t>
  </si>
  <si>
    <t>ICPE – Autorisation</t>
  </si>
  <si>
    <t>Code postal – Commune</t>
  </si>
  <si>
    <t>00000 Val-de-Mérienne</t>
  </si>
  <si>
    <t>Exploitation en zone vulnérable</t>
  </si>
  <si>
    <t>Culture de printemps</t>
  </si>
  <si>
    <t>Inondé</t>
  </si>
  <si>
    <t>Téléphone</t>
  </si>
  <si>
    <t>06 00 00 00 00</t>
  </si>
  <si>
    <t>Régime des effluents d'élevage</t>
  </si>
  <si>
    <t>Maïs grain</t>
  </si>
  <si>
    <t>Courriel</t>
  </si>
  <si>
    <t>contact@exemple.fr</t>
  </si>
  <si>
    <t>Plafond d'azote des effluents d'élevage (kg N/ha SAU)</t>
  </si>
  <si>
    <t>t MS/ha</t>
  </si>
  <si>
    <t>Tolérance d'écart au PPF (kg N efficace/ha)</t>
  </si>
  <si>
    <t>Tournesol</t>
  </si>
  <si>
    <t>Délai de saisie visé après chantier (jours)</t>
  </si>
  <si>
    <t>Betterave sucrière</t>
  </si>
  <si>
    <t>t/ha</t>
  </si>
  <si>
    <t>Programme d'actions régional appliqué</t>
  </si>
  <si>
    <t>À préciser</t>
  </si>
  <si>
    <t>Pomme de terre</t>
  </si>
  <si>
    <t>Lin fibre</t>
  </si>
  <si>
    <t>CALENDRIER D'INTERDICTION D'ÉPANDAGE – PÉRIODE PRINCIPALE</t>
  </si>
  <si>
    <t>Pois protéagineux</t>
  </si>
  <si>
    <t>Valeurs indicatives inspirées des périodes minimales nationales (îlots en zone vulnérable). Adaptez-les à l'arrêté du programme d'actions régional, qui peut les allonger. Laissez vides les deux dates d'une période inexistante ; seuls le jour et le mois sont pris en compte.</t>
  </si>
  <si>
    <t>Prairie &gt; 6 mois et luzerne</t>
  </si>
  <si>
    <t>Occupation du sol pendant ou après l'épandage</t>
  </si>
  <si>
    <t>du</t>
  </si>
  <si>
    <t>au</t>
  </si>
  <si>
    <t>Vigne</t>
  </si>
  <si>
    <t>Vigne, verger, maraîchage</t>
  </si>
  <si>
    <t>hl/ha</t>
  </si>
  <si>
    <t>Verger</t>
  </si>
  <si>
    <t>Légumes de plein champ</t>
  </si>
  <si>
    <t>Sol non cultivé</t>
  </si>
  <si>
    <t>–</t>
  </si>
  <si>
    <t>Couvert d'interculture (CINE, CIE)</t>
  </si>
  <si>
    <t>* Valeurs utilisées par les contrôles automatiques : complétez les listes en bas, sans renommer les valeurs existantes.</t>
  </si>
  <si>
    <t>CALENDRIER D'INTERDICTION – SECONDE PÉRIODE ÉVENTUELLE</t>
  </si>
  <si>
    <t>REMARQUES PAR OCCUPATION DU SOL</t>
  </si>
  <si>
    <t>Type II : modalités particulières possibles (digestats, effluents peu chargés) selon le programme régional. Type III : apport localisé au semis toléré dans une limite réduite.</t>
  </si>
  <si>
    <t>Type III : un apport d'automne limité peut être admis sous conditions agronomiques.</t>
  </si>
  <si>
    <t>Type Ib : deux périodes (été sur sol nu, puis hiver). Type III : report possible en culture irriguée.</t>
  </si>
  <si>
    <t>Type 0 : pas de période d'interdiction. Prairies permanentes : apports d'automne plafonnés.</t>
  </si>
  <si>
    <t>Apports sur couverts plafonnés à l'automne. Type III interdit sur CINE, admis au semis d'une CIE.</t>
  </si>
  <si>
    <t>Périodes à confirmer selon la culture pérenne et le programme régional.</t>
  </si>
  <si>
    <t>Épandage interdit toute l'année, quel que soit le fertilisant.</t>
  </si>
  <si>
    <t>MODE D'EMPLOI</t>
  </si>
  <si>
    <t>Prise en main, codes couleur, contrôles automatiques et rappels réglementaires</t>
  </si>
  <si>
    <t>Parcourez les onglets dans l'ordre ci-dessous lors de la première utilisation.</t>
  </si>
  <si>
    <t>PRÉSENTATION</t>
  </si>
  <si>
    <t>Ce classeur centralise l'enregistrement des pratiques de fertilisation azotée d'une campagne culturale : îlots, couverts d'interculture, plan prévisionnel de fumure (dose d'azote prévue), apports réalisés, échanges d'effluents et stockages au champ. Les éléments fertilisants, les bilans par îlot, les contrôles et le tableau de bord se calculent automatiquement à partir des saisies.</t>
  </si>
  <si>
    <t>MISE EN ROUTE EN 6 ÉTAPES</t>
  </si>
  <si>
    <t>Configuration</t>
  </si>
  <si>
    <t>Renseignez l'exploitation, l'année de récolte (la campagne du 1er septembre au 31 août est calculée) et la SAU. Vérifiez le calendrier d'interdiction et adaptez-le à votre programme d'actions régional.</t>
  </si>
  <si>
    <t>Fertilisants</t>
  </si>
  <si>
    <t>Déclarez chaque produit : catégorie, type (0, Ia, Ib, II, III), unité et teneurs par unité de produit brut. Le coefficient Keq donne l'azote efficace ; le prix permet de suivre le coût.</t>
  </si>
  <si>
    <t>Îlots</t>
  </si>
  <si>
    <t>Saisissez chaque îlot : surface, zone vulnérable, couvert d'interculture, culture principale et dose d'azote efficace prévue au PPF. Le bilan réalisé se complète au fil des apports.</t>
  </si>
  <si>
    <t>Registre</t>
  </si>
  <si>
    <t>Après chaque chantier, ajoutez une ligne par îlot et par apport : date, îlot, fertilisant, surface et dose. Complétez l'état du sol, le matériel et la date de saisie pour la traçabilité.</t>
  </si>
  <si>
    <t>Échanges &amp; stockage</t>
  </si>
  <si>
    <t>Enregistrez les bordereaux (réception, cession, mise à disposition de terres) et les dépôts de fumier ou de compost au champ, avec leurs dates de dépôt et de reprise.</t>
  </si>
  <si>
    <t>Tableau de bord</t>
  </si>
  <si>
    <t>Suivez les indicateurs et les dix points de contrôle. Pour un contrôle ou un conseiller, imprimez la Fiche îlot après avoir choisi l'îlot dans la liste.</t>
  </si>
  <si>
    <t>CODES COULEUR</t>
  </si>
  <si>
    <t>Cellule à renseigner (liste déroulante ou valeur libre).</t>
  </si>
  <si>
    <t>Calcul</t>
  </si>
  <si>
    <t>Calcul automatique : ne pas modifier ni effacer.</t>
  </si>
  <si>
    <t>En-tête</t>
  </si>
  <si>
    <t>En-tête bleu nuit : colonne de saisie.</t>
  </si>
  <si>
    <t>En-tête gris-bleu : colonne calculée.</t>
  </si>
  <si>
    <t>Conforme</t>
  </si>
  <si>
    <t>Aucun point relevé.</t>
  </si>
  <si>
    <t>Vigilance</t>
  </si>
  <si>
    <t>Information à compléter ou situation à vérifier.</t>
  </si>
  <si>
    <t>Non conforme</t>
  </si>
  <si>
    <t>Pratique contraire aux règles paramétrées : à régulariser ou à justifier.</t>
  </si>
  <si>
    <t>CONTRÔLES AUTOMATIQUES DU REGISTRE (ORDRE DE PRIORITÉ)</t>
  </si>
  <si>
    <t>Incomplet</t>
  </si>
  <si>
    <t>La date est saisie mais l'îlot, le fertilisant, la surface ou la dose manque.</t>
  </si>
  <si>
    <t>Sol interdit</t>
  </si>
  <si>
    <t>Sol enneigé, détrempé ou inondé ; sol gelé avec un fertilisant autre que de type 0 ou Ia.</t>
  </si>
  <si>
    <t>Période interdite</t>
  </si>
  <si>
    <t>Date comprise dans une période d'interdiction du calendrier, selon l'occupation du sol et le type de fertilisant (îlots en zone vulnérable).</t>
  </si>
  <si>
    <t>Surface &gt; îlot</t>
  </si>
  <si>
    <t>Surface épandue supérieure à la surface de l'îlot.</t>
  </si>
  <si>
    <t>Hors campagne</t>
  </si>
  <si>
    <t>Date en dehors de la campagne définie dans Configuration.</t>
  </si>
  <si>
    <t>Saisie tardive</t>
  </si>
  <si>
    <t>Date de saisie postérieure au délai visé après le chantier.</t>
  </si>
  <si>
    <t>Aucun point relevé sur la ligne.</t>
  </si>
  <si>
    <t>Le calendrier est appliqué à la culture de l'îlot pour un apport « Culture en place » ou « Sol nu avant semis », et au couvert pour un apport « Couvert d'interculture ». Les îlots hors zone vulnérable ne sont pas soumis au calendrier.</t>
  </si>
  <si>
    <t>RAPPELS RÉGLEMENTAIRES</t>
  </si>
  <si>
    <t>•</t>
  </si>
  <si>
    <t>La campagne culturale court du 1er septembre au 31 août de l'année de récolte.</t>
  </si>
  <si>
    <t>Tous les îlots de l'exploitation situés en zone vulnérable figurent dans le cahier, y compris ceux qui ne reçoivent aucun apport azoté.</t>
  </si>
  <si>
    <t>Les apports réalisés doivent rester cohérents avec la dose prévisionnelle calculée dans le PPF.</t>
  </si>
  <si>
    <t>L'azote des effluents d'élevage épandu ne peut dépasser le plafond par hectare de SAU (170 kg N/ha par défaut).</t>
  </si>
  <si>
    <t>Le cahier d'enregistrement et le PPF sont conservés pendant au moins cinq campagnes.</t>
  </si>
  <si>
    <t>Le calendrier fourni est indicatif : le programme d'actions régional peut allonger les périodes ou ajouter des règles (zones d'actions renforcées, plafonds d'automne…).</t>
  </si>
  <si>
    <t>TYPES DE FERTILISANTS – REPÈRES</t>
  </si>
  <si>
    <t>Produits organiques à C/N très élevé, libérant peu d'azote à court terme.</t>
  </si>
  <si>
    <t>Fumiers compacts non susceptibles d'écoulement et composts d'effluents d'élevage.</t>
  </si>
  <si>
    <t>Autres produits organiques à C/N élevé (supérieur à 8).</t>
  </si>
  <si>
    <t>Produits organiques à C/N bas : lisiers, fientes et fumiers de volailles, digestats bruts…</t>
  </si>
  <si>
    <t>Engrais minéraux et uréiques de synthèse.</t>
  </si>
  <si>
    <t>Classez chaque produit selon la typologie de votre programme d'actions et, de préférence, selon son analyse.</t>
  </si>
  <si>
    <t>BONNES PRATIQUES</t>
  </si>
  <si>
    <t>Nouvelle campagne : enregistrez une copie du fichier, changez l'année de récolte, puis effacez les cellules blanches du registre, des bordereaux, des stockages et de la partie réalisée des îlots.</t>
  </si>
  <si>
    <t>Listes déroulantes : ajoutez vos valeurs à la fin des listes de l'onglet Configuration, sans renommer celles marquées d'un astérisque, utilisées par les contrôles.</t>
  </si>
  <si>
    <t>Capacité : 500 lignes de registre, 50 îlots, 40 fertilisants, 40 bordereaux et 20 dépôts au champ.</t>
  </si>
  <si>
    <t>Impression : les onglets sont mis en page au format A4 ; les en-têtes des tableaux se répètent sur chaque page.</t>
  </si>
  <si>
    <t>Les exemples fournis sont fictifs : remplacez-les par les données de l'exploitation.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</si>
</sst>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dd/mm"/>
    <numFmt numFmtId="165" formatCode="0&quot; %&quot;"/>
    <numFmt numFmtId="166" formatCode="#,##0.000"/>
    <numFmt numFmtId="167" formatCode="#,##0.00\ &quot;€&quot;"/>
    <numFmt numFmtId="168" formatCode="#,##0;\-#,##0;&quot;–&quot;"/>
    <numFmt numFmtId="169" formatCode="#,##0.0;\-#,##0.0;&quot;–&quot;"/>
    <numFmt numFmtId="170" formatCode="#,##0.00\ &quot;€&quot;;\-#,##0.00\ &quot;€&quot;;&quot;–&quot;"/>
    <numFmt numFmtId="171" formatCode="#,##0\ &quot;kg&quot;"/>
    <numFmt numFmtId="172" formatCode="#,##0.0"/>
    <numFmt numFmtId="173" formatCode="0\ &quot;j&quot;"/>
    <numFmt numFmtId="174" formatCode="\+#,##0;\-#,##0;0"/>
    <numFmt numFmtId="175" formatCode="\+0%;\-0%;0%"/>
    <numFmt numFmtId="176" formatCode="#,##0\ &quot;kg N&quot;"/>
    <numFmt numFmtId="177" formatCode="#,##0\ &quot;kg N/ha&quot;"/>
    <numFmt numFmtId="178" formatCode=";;;"/>
    <numFmt numFmtId="179" formatCode="0&quot; / 10&quot;"/>
    <numFmt numFmtId="180" formatCode="#,##0\ &quot;€&quot;"/>
  </numFmts>
  <fonts count="42" x14ac:knownFonts="1">
    <font>
      <sz val="11"/>
      <color theme="1"/>
      <name val="Calibri"/>
      <family val="2"/>
      <scheme val="minor"/>
    </font>
    <font>
      <b/>
      <sz val="16"/>
      <color rgb="FFFFFFFF"/>
      <name val="Calibri"/>
    </font>
    <font>
      <sz val="10"/>
      <color rgb="FFA9BCD0"/>
      <name val="Calibri"/>
    </font>
    <font>
      <b/>
      <sz val="11"/>
      <color rgb="FFFFFFFF"/>
      <name val="Calibri"/>
    </font>
    <font>
      <i/>
      <sz val="9"/>
      <color rgb="FF7B8794"/>
      <name val="Calibri"/>
    </font>
    <font>
      <sz val="8"/>
      <color rgb="FF1F2933"/>
      <name val="Calibri"/>
    </font>
    <font>
      <sz val="8"/>
      <color rgb="FF3E4C59"/>
      <name val="Calibri"/>
    </font>
    <font>
      <b/>
      <sz val="11"/>
      <color rgb="FF16253D"/>
      <name val="Calibri"/>
    </font>
    <font>
      <sz val="10"/>
      <color rgb="FF3E4C59"/>
      <name val="Calibri"/>
    </font>
    <font>
      <sz val="10"/>
      <color rgb="FF1F2933"/>
      <name val="Calibri"/>
    </font>
    <font>
      <b/>
      <sz val="10"/>
      <color rgb="FF3E4C59"/>
      <name val="Calibri"/>
    </font>
    <font>
      <i/>
      <sz val="9"/>
      <color rgb="FF8A5300"/>
      <name val="Calibri"/>
    </font>
    <font>
      <b/>
      <sz val="9"/>
      <color rgb="FFFFFFFF"/>
      <name val="Calibri"/>
    </font>
    <font>
      <b/>
      <sz val="10"/>
      <color rgb="FF16253D"/>
      <name val="Calibri"/>
    </font>
    <font>
      <sz val="9"/>
      <color rgb="FF3E4C59"/>
      <name val="Calibri"/>
    </font>
    <font>
      <b/>
      <sz val="8.5"/>
      <color rgb="FF16253D"/>
      <name val="Calibri"/>
    </font>
    <font>
      <b/>
      <sz val="10"/>
      <color rgb="FFFFFFFF"/>
      <name val="Calibri"/>
    </font>
    <font>
      <b/>
      <sz val="8"/>
      <color rgb="FFFFFFFF"/>
      <name val="Calibri"/>
    </font>
    <font>
      <b/>
      <sz val="8.5"/>
      <color rgb="FF7B8794"/>
      <name val="Calibri"/>
    </font>
    <font>
      <sz val="8.5"/>
      <color rgb="FF7B8794"/>
      <name val="Calibri"/>
    </font>
    <font>
      <b/>
      <sz val="8.5"/>
      <color rgb="FF5E7188"/>
      <name val="Calibri"/>
    </font>
    <font>
      <b/>
      <sz val="18"/>
      <color rgb="FF16253D"/>
      <name val="Calibri"/>
    </font>
    <font>
      <b/>
      <sz val="14"/>
      <color rgb="FF16253D"/>
      <name val="Calibri"/>
    </font>
    <font>
      <sz val="8"/>
      <color rgb="FF7B8794"/>
      <name val="Calibri"/>
    </font>
    <font>
      <sz val="10"/>
      <color rgb="FF5E7188"/>
      <name val="Calibri"/>
    </font>
    <font>
      <b/>
      <sz val="10"/>
      <color rgb="FF1F2933"/>
      <name val="Calibri"/>
    </font>
    <font>
      <b/>
      <sz val="20"/>
      <color rgb="FFFFFFFF"/>
      <name val="Calibri"/>
    </font>
    <font>
      <b/>
      <sz val="13"/>
      <color rgb="FFFFFFFF"/>
      <name val="Calibri"/>
    </font>
    <font>
      <sz val="9"/>
      <color rgb="FFA9BCD0"/>
      <name val="Calibri"/>
    </font>
    <font>
      <b/>
      <sz val="9"/>
      <color rgb="FF2B3D57"/>
      <name val="Calibri"/>
    </font>
    <font>
      <b/>
      <sz val="22"/>
      <color rgb="FF16253D"/>
      <name val="Calibri"/>
    </font>
    <font>
      <sz val="9"/>
      <color rgb="FF7B8794"/>
      <name val="Calibri"/>
    </font>
    <font>
      <b/>
      <sz val="8"/>
      <color rgb="FF7B8794"/>
      <name val="Calibri"/>
    </font>
    <font>
      <b/>
      <sz val="9"/>
      <color rgb="FF52606D"/>
      <name val="Calibri"/>
    </font>
    <font>
      <i/>
      <sz val="8.5"/>
      <color rgb="FF7B8794"/>
      <name val="Calibri"/>
    </font>
    <font>
      <b/>
      <sz val="9"/>
      <color rgb="FF7B8794"/>
      <name val="Calibri"/>
    </font>
    <font>
      <b/>
      <sz val="14"/>
      <color rgb="FFFFFFFF"/>
      <name val="Calibri"/>
    </font>
    <font>
      <b/>
      <u/>
      <sz val="11"/>
      <color rgb="FF16253D"/>
      <name val="Calibri"/>
    </font>
    <font>
      <b/>
      <sz val="10"/>
      <color rgb="FF146C43"/>
      <name val="Calibri"/>
    </font>
    <font>
      <b/>
      <sz val="10"/>
      <color rgb="FF8A5300"/>
      <name val="Calibri"/>
    </font>
    <font>
      <b/>
      <sz val="10"/>
      <color rgb="FFA4161A"/>
      <name val="Calibri"/>
    </font>
    <font>
      <b/>
      <sz val="12"/>
      <color rgb="FF12A18A"/>
      <name val="Calibri"/>
    </font>
  </fonts>
  <fills count="21">
    <fill>
      <patternFill patternType="none"/>
    </fill>
    <fill>
      <patternFill patternType="gray125"/>
    </fill>
    <fill>
      <patternFill patternType="solid">
        <fgColor rgb="FF0E1A2B"/>
        <bgColor rgb="FF0E1A2B"/>
      </patternFill>
    </fill>
    <fill>
      <patternFill patternType="solid">
        <fgColor rgb="FF12A18A"/>
        <bgColor rgb="FF12A18A"/>
      </patternFill>
    </fill>
    <fill>
      <patternFill patternType="solid">
        <fgColor rgb="FFFFFFFF"/>
        <bgColor rgb="FFFFFFFF"/>
      </patternFill>
    </fill>
    <fill>
      <patternFill patternType="solid">
        <fgColor rgb="FFEDF1F5"/>
        <bgColor rgb="FFEDF1F5"/>
      </patternFill>
    </fill>
    <fill>
      <patternFill patternType="solid">
        <fgColor rgb="FFFFF8E6"/>
        <bgColor rgb="FFFFF8E6"/>
      </patternFill>
    </fill>
    <fill>
      <patternFill patternType="solid">
        <fgColor rgb="FF16253D"/>
        <bgColor rgb="FF16253D"/>
      </patternFill>
    </fill>
    <fill>
      <patternFill patternType="solid">
        <fgColor rgb="FF2B3D57"/>
        <bgColor rgb="FF2B3D57"/>
      </patternFill>
    </fill>
    <fill>
      <patternFill patternType="solid">
        <fgColor rgb="FFF6F8FB"/>
        <bgColor rgb="FFF6F8FB"/>
      </patternFill>
    </fill>
    <fill>
      <patternFill patternType="solid">
        <fgColor rgb="FFE6ECF3"/>
        <bgColor rgb="FFE6ECF3"/>
      </patternFill>
    </fill>
    <fill>
      <patternFill patternType="solid">
        <fgColor rgb="FF5E7188"/>
        <bgColor rgb="FF5E7188"/>
      </patternFill>
    </fill>
    <fill>
      <patternFill patternType="solid">
        <fgColor rgb="FFAAB5C2"/>
        <bgColor rgb="FFAAB5C2"/>
      </patternFill>
    </fill>
    <fill>
      <patternFill patternType="solid">
        <fgColor rgb="FFF2F4F7"/>
        <bgColor rgb="FFF2F4F7"/>
      </patternFill>
    </fill>
    <fill>
      <patternFill patternType="solid">
        <fgColor rgb="FFDCF2E7"/>
        <bgColor rgb="FFDCF2E7"/>
      </patternFill>
    </fill>
    <fill>
      <patternFill patternType="solid">
        <fgColor rgb="FFFDF0CF"/>
        <bgColor rgb="FFFDF0CF"/>
      </patternFill>
    </fill>
    <fill>
      <patternFill patternType="solid">
        <fgColor rgb="FFFADBDD"/>
        <bgColor rgb="FFFADBDD"/>
      </patternFill>
    </fill>
    <fill>
      <patternFill patternType="solid">
        <fgColor rgb="FF9AA5B1"/>
        <bgColor rgb="FF9AA5B1"/>
      </patternFill>
    </fill>
    <fill>
      <patternFill patternType="solid">
        <fgColor rgb="FFC9922E"/>
        <bgColor rgb="FFC9922E"/>
      </patternFill>
    </fill>
    <fill>
      <patternFill patternType="solid">
        <fgColor rgb="FFE7C27A"/>
        <bgColor rgb="FFE7C27A"/>
      </patternFill>
    </fill>
    <fill>
      <patternFill patternType="solid">
        <fgColor rgb="FF2E5C8A"/>
        <bgColor rgb="FF2E5C8A"/>
      </patternFill>
    </fill>
  </fills>
  <borders count="54">
    <border>
      <left/>
      <right/>
      <top/>
      <bottom/>
      <diagonal/>
    </border>
    <border>
      <left style="thin">
        <color rgb="FFD6DDE6"/>
      </left>
      <right style="thin">
        <color rgb="FFD6DDE6"/>
      </right>
      <top style="thin">
        <color rgb="FFD6DDE6"/>
      </top>
      <bottom style="thin">
        <color rgb="FFD6DDE6"/>
      </bottom>
      <diagonal/>
    </border>
    <border>
      <left/>
      <right/>
      <top/>
      <bottom style="medium">
        <color rgb="FF12A18A"/>
      </bottom>
      <diagonal/>
    </border>
    <border>
      <left/>
      <right/>
      <top/>
      <bottom style="thin">
        <color rgb="FFD6DDE6"/>
      </bottom>
      <diagonal/>
    </border>
    <border>
      <left style="thin">
        <color rgb="FFF2D48A"/>
      </left>
      <right/>
      <top style="thin">
        <color rgb="FFF2D48A"/>
      </top>
      <bottom style="thin">
        <color rgb="FFF2D48A"/>
      </bottom>
      <diagonal/>
    </border>
    <border>
      <left/>
      <right/>
      <top style="thin">
        <color rgb="FFF2D48A"/>
      </top>
      <bottom style="thin">
        <color rgb="FFF2D48A"/>
      </bottom>
      <diagonal/>
    </border>
    <border>
      <left/>
      <right style="thin">
        <color rgb="FFF2D48A"/>
      </right>
      <top style="thin">
        <color rgb="FFF2D48A"/>
      </top>
      <bottom style="thin">
        <color rgb="FFF2D48A"/>
      </bottom>
      <diagonal/>
    </border>
    <border>
      <left style="thin">
        <color rgb="FFFFFFFF"/>
      </left>
      <right style="thin">
        <color rgb="FFFFFFFF"/>
      </right>
      <top/>
      <bottom style="thin">
        <color rgb="FFFFFFFF"/>
      </bottom>
      <diagonal/>
    </border>
    <border>
      <left/>
      <right style="thin">
        <color rgb="FFFFFFFF"/>
      </right>
      <top/>
      <bottom/>
      <diagonal/>
    </border>
    <border>
      <left/>
      <right style="thin">
        <color rgb="FFFFFFFF"/>
      </right>
      <top/>
      <bottom style="thin">
        <color rgb="FFFFFFFF"/>
      </bottom>
      <diagonal/>
    </border>
    <border>
      <left style="thin">
        <color rgb="FF2B3D57"/>
      </left>
      <right style="thin">
        <color rgb="FFD6DDE6"/>
      </right>
      <top style="thin">
        <color rgb="FFD6DDE6"/>
      </top>
      <bottom style="thin">
        <color rgb="FFD6DDE6"/>
      </bottom>
      <diagonal/>
    </border>
    <border>
      <left style="thin">
        <color rgb="FFFFFFFF"/>
      </left>
      <right style="thin">
        <color rgb="FFFFFFFF"/>
      </right>
      <top/>
      <bottom/>
      <diagonal/>
    </border>
    <border>
      <left style="thin">
        <color rgb="FFFFFFFF"/>
      </left>
      <right style="thin">
        <color rgb="FFFFFFFF"/>
      </right>
      <top/>
      <bottom style="medium">
        <color rgb="FF12A18A"/>
      </bottom>
      <diagonal/>
    </border>
    <border>
      <left/>
      <right/>
      <top style="thin">
        <color rgb="FF16253D"/>
      </top>
      <bottom style="thin">
        <color rgb="FF16253D"/>
      </bottom>
      <diagonal/>
    </border>
    <border>
      <left style="thick">
        <color rgb="FFFFFFFF"/>
      </left>
      <right/>
      <top style="thick">
        <color rgb="FF12A18A"/>
      </top>
      <bottom/>
      <diagonal/>
    </border>
    <border>
      <left/>
      <right style="thick">
        <color rgb="FFFFFFFF"/>
      </right>
      <top style="thick">
        <color rgb="FF12A18A"/>
      </top>
      <bottom/>
      <diagonal/>
    </border>
    <border>
      <left style="thick">
        <color rgb="FFFFFFFF"/>
      </left>
      <right/>
      <top/>
      <bottom style="thin">
        <color rgb="FFD6DDE6"/>
      </bottom>
      <diagonal/>
    </border>
    <border>
      <left/>
      <right style="thick">
        <color rgb="FFFFFFFF"/>
      </right>
      <top/>
      <bottom style="thin">
        <color rgb="FFD6DDE6"/>
      </bottom>
      <diagonal/>
    </border>
    <border>
      <left style="thick">
        <color rgb="FFFFFFFF"/>
      </left>
      <right style="thick">
        <color rgb="FFFFFFFF"/>
      </right>
      <top style="thick">
        <color rgb="FF12A18A"/>
      </top>
      <bottom/>
      <diagonal/>
    </border>
    <border>
      <left style="thick">
        <color rgb="FFFFFFFF"/>
      </left>
      <right style="thick">
        <color rgb="FFFFFFFF"/>
      </right>
      <top/>
      <bottom style="thin">
        <color rgb="FFD6DDE6"/>
      </bottom>
      <diagonal/>
    </border>
    <border>
      <left/>
      <right/>
      <top style="thick">
        <color rgb="FF12A18A"/>
      </top>
      <bottom/>
      <diagonal/>
    </border>
    <border>
      <left style="medium">
        <color rgb="FF12A18A"/>
      </left>
      <right/>
      <top style="medium">
        <color rgb="FF12A18A"/>
      </top>
      <bottom style="medium">
        <color rgb="FF12A18A"/>
      </bottom>
      <diagonal/>
    </border>
    <border>
      <left/>
      <right/>
      <top style="medium">
        <color rgb="FF12A18A"/>
      </top>
      <bottom style="medium">
        <color rgb="FF12A18A"/>
      </bottom>
      <diagonal/>
    </border>
    <border>
      <left/>
      <right style="medium">
        <color rgb="FF12A18A"/>
      </right>
      <top style="medium">
        <color rgb="FF12A18A"/>
      </top>
      <bottom style="medium">
        <color rgb="FF12A18A"/>
      </bottom>
      <diagonal/>
    </border>
    <border>
      <left style="thick">
        <color rgb="FFFFFFFF"/>
      </left>
      <right/>
      <top/>
      <bottom/>
      <diagonal/>
    </border>
    <border>
      <left/>
      <right style="thick">
        <color rgb="FFFFFFFF"/>
      </right>
      <top/>
      <bottom/>
      <diagonal/>
    </border>
    <border>
      <left/>
      <right/>
      <top/>
      <bottom/>
      <diagonal/>
    </border>
    <border>
      <left style="thin">
        <color rgb="FFD6DDE6"/>
      </left>
      <right/>
      <top/>
      <bottom/>
      <diagonal/>
    </border>
    <border>
      <left/>
      <right/>
      <top/>
      <bottom/>
      <diagonal/>
    </border>
    <border>
      <left/>
      <right style="thin">
        <color rgb="FFD6DDE6"/>
      </right>
      <top/>
      <bottom/>
      <diagonal/>
    </border>
    <border>
      <left style="thin">
        <color rgb="FFD6DDE6"/>
      </left>
      <right/>
      <top/>
      <bottom style="thin">
        <color rgb="FFD6DDE6"/>
      </bottom>
      <diagonal/>
    </border>
    <border>
      <left/>
      <right/>
      <top/>
      <bottom style="thin">
        <color rgb="FFD6DDE6"/>
      </bottom>
      <diagonal/>
    </border>
    <border>
      <left/>
      <right style="thin">
        <color rgb="FFD6DDE6"/>
      </right>
      <top/>
      <bottom style="thin">
        <color rgb="FFD6DDE6"/>
      </bottom>
      <diagonal/>
    </border>
    <border>
      <left style="thin">
        <color rgb="FFD6DDE6"/>
      </left>
      <right style="thin">
        <color rgb="FFD6DDE6"/>
      </right>
      <top style="thick">
        <color rgb="FF12A18A"/>
      </top>
      <bottom/>
      <diagonal/>
    </border>
    <border>
      <left/>
      <right/>
      <top style="thick">
        <color rgb="FF12A18A"/>
      </top>
      <bottom/>
      <diagonal/>
    </border>
    <border>
      <left/>
      <right style="thin">
        <color rgb="FFD6DDE6"/>
      </right>
      <top style="thick">
        <color rgb="FF12A18A"/>
      </top>
      <bottom/>
      <diagonal/>
    </border>
    <border>
      <left style="thin">
        <color rgb="FFD6DDE6"/>
      </left>
      <right style="thin">
        <color rgb="FFD6DDE6"/>
      </right>
      <top/>
      <bottom/>
      <diagonal/>
    </border>
    <border>
      <left style="thin">
        <color rgb="FFD6DDE6"/>
      </left>
      <right/>
      <top/>
      <bottom/>
      <diagonal/>
    </border>
    <border>
      <left/>
      <right style="thin">
        <color rgb="FFD6DDE6"/>
      </right>
      <top/>
      <bottom/>
      <diagonal/>
    </border>
    <border>
      <left style="thin">
        <color rgb="FFD6DDE6"/>
      </left>
      <right style="thin">
        <color rgb="FFD6DDE6"/>
      </right>
      <top/>
      <bottom style="thin">
        <color rgb="FFD6DDE6"/>
      </bottom>
      <diagonal/>
    </border>
    <border>
      <left/>
      <right/>
      <top/>
      <bottom style="thin">
        <color rgb="FFD6DDE6"/>
      </bottom>
      <diagonal/>
    </border>
    <border>
      <left/>
      <right style="thin">
        <color rgb="FFD6DDE6"/>
      </right>
      <top/>
      <bottom style="thin">
        <color rgb="FFD6DDE6"/>
      </bottom>
      <diagonal/>
    </border>
    <border>
      <left/>
      <right/>
      <top style="thin">
        <color rgb="FFD6DDE6"/>
      </top>
      <bottom style="thin">
        <color rgb="FFD6DDE6"/>
      </bottom>
      <diagonal/>
    </border>
    <border>
      <left/>
      <right style="thin">
        <color rgb="FFD6DDE6"/>
      </right>
      <top style="thin">
        <color rgb="FFD6DDE6"/>
      </top>
      <bottom style="thin">
        <color rgb="FFD6DDE6"/>
      </bottom>
      <diagonal/>
    </border>
    <border>
      <left style="thin">
        <color rgb="FFD6DDE6"/>
      </left>
      <right/>
      <top/>
      <bottom style="thin">
        <color rgb="FFD6DDE6"/>
      </bottom>
      <diagonal/>
    </border>
    <border>
      <left/>
      <right/>
      <top/>
      <bottom style="thin">
        <color rgb="FFD6DDE6"/>
      </bottom>
      <diagonal/>
    </border>
    <border>
      <left/>
      <right style="thin">
        <color rgb="FFD6DDE6"/>
      </right>
      <top/>
      <bottom style="thin">
        <color rgb="FFD6DDE6"/>
      </bottom>
      <diagonal/>
    </border>
    <border>
      <left style="thin">
        <color rgb="FFD6DDE6"/>
      </left>
      <right/>
      <top/>
      <bottom style="thin">
        <color rgb="FFE6EAF0"/>
      </bottom>
      <diagonal/>
    </border>
    <border>
      <left/>
      <right/>
      <top/>
      <bottom style="thin">
        <color rgb="FFE6EAF0"/>
      </bottom>
      <diagonal/>
    </border>
    <border>
      <left/>
      <right style="thin">
        <color rgb="FFD6DDE6"/>
      </right>
      <top/>
      <bottom style="thin">
        <color rgb="FFE6EAF0"/>
      </bottom>
      <diagonal/>
    </border>
    <border>
      <left/>
      <right/>
      <top/>
      <bottom style="thin">
        <color rgb="FFE6EAF0"/>
      </bottom>
      <diagonal/>
    </border>
    <border>
      <left/>
      <right style="thin">
        <color rgb="FFD6DDE6"/>
      </right>
      <top/>
      <bottom style="thin">
        <color rgb="FFE6EAF0"/>
      </bottom>
      <diagonal/>
    </border>
    <border>
      <left style="thin">
        <color rgb="FFD6DDE6"/>
      </left>
      <right/>
      <top/>
      <bottom style="thin">
        <color rgb="FFE6EAF0"/>
      </bottom>
      <diagonal/>
    </border>
    <border>
      <left/>
      <right/>
      <top/>
      <bottom style="medium">
        <color rgb="FFFFFFFF"/>
      </bottom>
      <diagonal/>
    </border>
  </borders>
  <cellStyleXfs count="1">
    <xf numFmtId="0" fontId="0" fillId="0" borderId="0"/>
  </cellStyleXfs>
  <cellXfs count="229">
    <xf numFmtId="0" fontId="0" fillId="0" borderId="0" xfId="0"/>
    <xf numFmtId="0" fontId="0" fillId="2" borderId="0" xfId="0" applyFill="1"/>
    <xf numFmtId="0" fontId="26" fillId="2" borderId="0" xfId="0" applyFont="1" applyFill="1" applyAlignment="1">
      <alignment vertical="center"/>
    </xf>
    <xf numFmtId="0" fontId="27" fillId="2" borderId="0" xfId="0" applyFont="1" applyFill="1" applyAlignment="1">
      <alignment horizontal="right" vertical="center"/>
    </xf>
    <xf numFmtId="0" fontId="2" fillId="2" borderId="0" xfId="0" applyFont="1" applyFill="1" applyAlignment="1">
      <alignment vertical="center"/>
    </xf>
    <xf numFmtId="14" fontId="16" fillId="2" borderId="0" xfId="0" applyNumberFormat="1" applyFont="1" applyFill="1" applyAlignment="1">
      <alignment horizontal="right" vertical="center"/>
    </xf>
    <xf numFmtId="0" fontId="0" fillId="3" borderId="0" xfId="0" applyFill="1"/>
    <xf numFmtId="0" fontId="0" fillId="13" borderId="0" xfId="0" applyFill="1"/>
    <xf numFmtId="0" fontId="29" fillId="13" borderId="0" xfId="0" applyFont="1" applyFill="1" applyAlignment="1">
      <alignment horizontal="left" vertical="center"/>
    </xf>
    <xf numFmtId="0" fontId="35" fillId="0" borderId="0" xfId="0" applyFont="1"/>
    <xf numFmtId="0" fontId="32" fillId="4" borderId="44" xfId="0" applyFont="1" applyFill="1" applyBorder="1" applyAlignment="1">
      <alignment horizontal="left" vertical="center" indent="1"/>
    </xf>
    <xf numFmtId="0" fontId="32" fillId="4" borderId="46" xfId="0" applyFont="1" applyFill="1" applyBorder="1" applyAlignment="1">
      <alignment horizontal="center" vertical="center"/>
    </xf>
    <xf numFmtId="0" fontId="0" fillId="4" borderId="27" xfId="0" applyFill="1" applyBorder="1"/>
    <xf numFmtId="0" fontId="0" fillId="4" borderId="28" xfId="0" applyFill="1" applyBorder="1"/>
    <xf numFmtId="0" fontId="0" fillId="4" borderId="29" xfId="0" applyFill="1" applyBorder="1"/>
    <xf numFmtId="0" fontId="31" fillId="0" borderId="0" xfId="0" applyFont="1"/>
    <xf numFmtId="3" fontId="31" fillId="0" borderId="0" xfId="0" applyNumberFormat="1" applyFont="1"/>
    <xf numFmtId="0" fontId="33" fillId="4" borderId="49" xfId="0" applyFont="1" applyFill="1" applyBorder="1" applyAlignment="1">
      <alignment horizontal="center" vertical="center"/>
    </xf>
    <xf numFmtId="0" fontId="0" fillId="4" borderId="30" xfId="0" applyFill="1" applyBorder="1"/>
    <xf numFmtId="0" fontId="0" fillId="4" borderId="31" xfId="0" applyFill="1" applyBorder="1"/>
    <xf numFmtId="0" fontId="0" fillId="4" borderId="32" xfId="0" applyFill="1" applyBorder="1"/>
    <xf numFmtId="0" fontId="32" fillId="4" borderId="45" xfId="0" applyFont="1" applyFill="1" applyBorder="1" applyAlignment="1">
      <alignment horizontal="center" vertical="center" wrapText="1"/>
    </xf>
    <xf numFmtId="0" fontId="32" fillId="4" borderId="45" xfId="0" applyFont="1" applyFill="1" applyBorder="1" applyAlignment="1">
      <alignment horizontal="right" vertical="center" indent="1"/>
    </xf>
    <xf numFmtId="0" fontId="32" fillId="4" borderId="46" xfId="0" applyFont="1" applyFill="1" applyBorder="1" applyAlignment="1">
      <alignment horizontal="right" vertical="center" indent="1"/>
    </xf>
    <xf numFmtId="4" fontId="8" fillId="4" borderId="28" xfId="0" applyNumberFormat="1" applyFont="1" applyFill="1" applyBorder="1" applyAlignment="1">
      <alignment horizontal="center" vertical="center"/>
    </xf>
    <xf numFmtId="168" fontId="8" fillId="4" borderId="28" xfId="0" applyNumberFormat="1" applyFont="1" applyFill="1" applyBorder="1" applyAlignment="1">
      <alignment horizontal="center" vertical="center"/>
    </xf>
    <xf numFmtId="174" fontId="8" fillId="4" borderId="28" xfId="0" applyNumberFormat="1" applyFont="1" applyFill="1" applyBorder="1" applyAlignment="1">
      <alignment horizontal="center" vertical="center"/>
    </xf>
    <xf numFmtId="0" fontId="25" fillId="4" borderId="52" xfId="0" applyFont="1" applyFill="1" applyBorder="1" applyAlignment="1">
      <alignment horizontal="left" vertical="center" indent="1"/>
    </xf>
    <xf numFmtId="168" fontId="8" fillId="4" borderId="50" xfId="0" applyNumberFormat="1" applyFont="1" applyFill="1" applyBorder="1" applyAlignment="1">
      <alignment horizontal="right" vertical="center" indent="1"/>
    </xf>
    <xf numFmtId="9" fontId="8" fillId="4" borderId="51" xfId="0" applyNumberFormat="1" applyFont="1" applyFill="1" applyBorder="1" applyAlignment="1">
      <alignment horizontal="right" vertical="center" indent="1"/>
    </xf>
    <xf numFmtId="0" fontId="13" fillId="4" borderId="27" xfId="0" applyFont="1" applyFill="1" applyBorder="1" applyAlignment="1">
      <alignment horizontal="left" vertical="center" indent="1"/>
    </xf>
    <xf numFmtId="3" fontId="13" fillId="4" borderId="28" xfId="0" applyNumberFormat="1" applyFont="1" applyFill="1" applyBorder="1" applyAlignment="1">
      <alignment horizontal="right" vertical="center" indent="1"/>
    </xf>
    <xf numFmtId="9" fontId="13" fillId="4" borderId="29" xfId="0" applyNumberFormat="1" applyFont="1" applyFill="1" applyBorder="1" applyAlignment="1">
      <alignment horizontal="right" vertical="center" indent="1"/>
    </xf>
    <xf numFmtId="0" fontId="1" fillId="2" borderId="0" xfId="0" applyFont="1" applyFill="1"/>
    <xf numFmtId="0" fontId="3" fillId="2" borderId="0" xfId="0" applyFont="1" applyFill="1" applyAlignment="1">
      <alignment horizontal="right"/>
    </xf>
    <xf numFmtId="0" fontId="2" fillId="2" borderId="0" xfId="0" applyFont="1" applyFill="1" applyAlignment="1">
      <alignment horizontal="right" vertical="center"/>
    </xf>
    <xf numFmtId="0" fontId="4" fillId="0" borderId="0" xfId="0" applyFont="1" applyAlignment="1">
      <alignment vertical="center"/>
    </xf>
    <xf numFmtId="0" fontId="5" fillId="4" borderId="1" xfId="0" applyFont="1" applyFill="1" applyBorder="1" applyAlignment="1">
      <alignment horizontal="center" vertical="center"/>
    </xf>
    <xf numFmtId="0" fontId="15" fillId="10" borderId="12" xfId="0" applyFont="1" applyFill="1" applyBorder="1" applyAlignment="1">
      <alignment horizontal="center" vertical="center"/>
    </xf>
    <xf numFmtId="0" fontId="12" fillId="11" borderId="11"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7" fillId="12" borderId="11" xfId="0" applyFont="1" applyFill="1" applyBorder="1" applyAlignment="1">
      <alignment horizontal="center" vertical="center" wrapText="1"/>
    </xf>
    <xf numFmtId="1" fontId="8" fillId="5" borderId="1" xfId="0" applyNumberFormat="1" applyFont="1" applyFill="1" applyBorder="1" applyAlignment="1">
      <alignment horizontal="center" vertical="center"/>
    </xf>
    <xf numFmtId="14" fontId="9" fillId="4" borderId="1" xfId="0" applyNumberFormat="1" applyFont="1" applyFill="1" applyBorder="1" applyAlignment="1">
      <alignment horizontal="center" vertical="center"/>
    </xf>
    <xf numFmtId="0" fontId="9" fillId="4" borderId="1" xfId="0" applyFont="1" applyFill="1" applyBorder="1" applyAlignment="1">
      <alignment horizontal="left" vertical="center" indent="1"/>
    </xf>
    <xf numFmtId="0" fontId="8" fillId="5" borderId="1" xfId="0" applyFont="1" applyFill="1" applyBorder="1" applyAlignment="1">
      <alignment horizontal="left" vertical="center" indent="1"/>
    </xf>
    <xf numFmtId="0" fontId="8" fillId="5" borderId="1" xfId="0" applyFont="1" applyFill="1" applyBorder="1" applyAlignment="1">
      <alignment horizontal="center" vertical="center"/>
    </xf>
    <xf numFmtId="4" fontId="9" fillId="4" borderId="1" xfId="0" applyNumberFormat="1" applyFont="1" applyFill="1" applyBorder="1" applyAlignment="1">
      <alignment horizontal="right" vertical="center"/>
    </xf>
    <xf numFmtId="172" fontId="9" fillId="4" borderId="1" xfId="0" applyNumberFormat="1" applyFont="1" applyFill="1" applyBorder="1" applyAlignment="1">
      <alignment horizontal="right" vertical="center"/>
    </xf>
    <xf numFmtId="169" fontId="8" fillId="5" borderId="1" xfId="0" applyNumberFormat="1" applyFont="1" applyFill="1" applyBorder="1" applyAlignment="1">
      <alignment horizontal="right" vertical="center"/>
    </xf>
    <xf numFmtId="168" fontId="8" fillId="5" borderId="1" xfId="0" applyNumberFormat="1" applyFont="1" applyFill="1" applyBorder="1" applyAlignment="1">
      <alignment horizontal="right" vertical="center"/>
    </xf>
    <xf numFmtId="1" fontId="9" fillId="4" borderId="1" xfId="0" applyNumberFormat="1" applyFont="1" applyFill="1" applyBorder="1" applyAlignment="1">
      <alignment horizontal="center" vertical="center"/>
    </xf>
    <xf numFmtId="0" fontId="10" fillId="5" borderId="1" xfId="0" applyFont="1" applyFill="1" applyBorder="1" applyAlignment="1">
      <alignment horizontal="center" vertical="center"/>
    </xf>
    <xf numFmtId="0" fontId="19" fillId="0" borderId="0" xfId="0" applyFont="1" applyAlignment="1">
      <alignment horizontal="center" vertical="center"/>
    </xf>
    <xf numFmtId="0" fontId="9" fillId="4" borderId="1" xfId="0" applyFont="1" applyFill="1" applyBorder="1" applyAlignment="1">
      <alignment horizontal="center" vertical="center"/>
    </xf>
    <xf numFmtId="0" fontId="10" fillId="5" borderId="1" xfId="0" applyFont="1" applyFill="1" applyBorder="1" applyAlignment="1">
      <alignment horizontal="left" vertical="center" indent="1"/>
    </xf>
    <xf numFmtId="4" fontId="9" fillId="4" borderId="1" xfId="0" applyNumberFormat="1" applyFont="1" applyFill="1" applyBorder="1" applyAlignment="1">
      <alignment horizontal="center" vertical="center"/>
    </xf>
    <xf numFmtId="173" fontId="8" fillId="5" borderId="1" xfId="0" applyNumberFormat="1" applyFont="1" applyFill="1" applyBorder="1" applyAlignment="1">
      <alignment horizontal="center" vertical="center"/>
    </xf>
    <xf numFmtId="172" fontId="9" fillId="4" borderId="1" xfId="0" applyNumberFormat="1" applyFont="1" applyFill="1" applyBorder="1" applyAlignment="1">
      <alignment horizontal="center" vertical="center"/>
    </xf>
    <xf numFmtId="168" fontId="10" fillId="5" borderId="1" xfId="0" applyNumberFormat="1" applyFont="1" applyFill="1" applyBorder="1" applyAlignment="1">
      <alignment horizontal="center" vertical="center"/>
    </xf>
    <xf numFmtId="174" fontId="8" fillId="5" borderId="1" xfId="0" applyNumberFormat="1" applyFont="1" applyFill="1" applyBorder="1" applyAlignment="1">
      <alignment horizontal="center" vertical="center"/>
    </xf>
    <xf numFmtId="9" fontId="8" fillId="5" borderId="1" xfId="0" applyNumberFormat="1" applyFont="1" applyFill="1" applyBorder="1" applyAlignment="1">
      <alignment horizontal="center" vertical="center"/>
    </xf>
    <xf numFmtId="168" fontId="8" fillId="5" borderId="1" xfId="0" applyNumberFormat="1" applyFont="1" applyFill="1" applyBorder="1" applyAlignment="1">
      <alignment horizontal="center" vertical="center"/>
    </xf>
    <xf numFmtId="175" fontId="8" fillId="5" borderId="1" xfId="0" applyNumberFormat="1" applyFont="1" applyFill="1" applyBorder="1" applyAlignment="1">
      <alignment horizontal="center" vertical="center"/>
    </xf>
    <xf numFmtId="0" fontId="16" fillId="7" borderId="0" xfId="0" applyFont="1" applyFill="1" applyAlignment="1">
      <alignment horizontal="left" vertical="center" indent="1"/>
    </xf>
    <xf numFmtId="0" fontId="16" fillId="7" borderId="0" xfId="0" applyFont="1" applyFill="1" applyAlignment="1">
      <alignment horizontal="center" vertical="center"/>
    </xf>
    <xf numFmtId="4" fontId="16" fillId="7" borderId="0" xfId="0" applyNumberFormat="1" applyFont="1" applyFill="1" applyAlignment="1">
      <alignment horizontal="center" vertical="center"/>
    </xf>
    <xf numFmtId="168" fontId="16" fillId="7" borderId="0" xfId="0" applyNumberFormat="1" applyFont="1" applyFill="1" applyAlignment="1">
      <alignment horizontal="center" vertical="center"/>
    </xf>
    <xf numFmtId="174" fontId="16" fillId="7" borderId="0" xfId="0" applyNumberFormat="1" applyFont="1" applyFill="1" applyAlignment="1">
      <alignment horizontal="center" vertical="center"/>
    </xf>
    <xf numFmtId="9" fontId="16" fillId="7" borderId="0" xfId="0" applyNumberFormat="1" applyFont="1" applyFill="1" applyAlignment="1">
      <alignment horizontal="center" vertical="center"/>
    </xf>
    <xf numFmtId="1" fontId="16" fillId="7" borderId="0" xfId="0" applyNumberFormat="1" applyFont="1" applyFill="1" applyAlignment="1">
      <alignment horizontal="center" vertical="center"/>
    </xf>
    <xf numFmtId="165" fontId="9" fillId="4" borderId="1" xfId="0" applyNumberFormat="1" applyFont="1" applyFill="1" applyBorder="1" applyAlignment="1">
      <alignment horizontal="center" vertical="center"/>
    </xf>
    <xf numFmtId="166" fontId="9" fillId="4" borderId="1" xfId="0" applyNumberFormat="1" applyFont="1" applyFill="1" applyBorder="1" applyAlignment="1">
      <alignment horizontal="center" vertical="center"/>
    </xf>
    <xf numFmtId="2" fontId="9" fillId="4" borderId="1" xfId="0" applyNumberFormat="1" applyFont="1" applyFill="1" applyBorder="1" applyAlignment="1">
      <alignment horizontal="center" vertical="center"/>
    </xf>
    <xf numFmtId="166" fontId="8" fillId="5" borderId="1" xfId="0" applyNumberFormat="1" applyFont="1" applyFill="1" applyBorder="1" applyAlignment="1">
      <alignment horizontal="center" vertical="center"/>
    </xf>
    <xf numFmtId="167" fontId="9" fillId="4" borderId="1" xfId="0" applyNumberFormat="1" applyFont="1" applyFill="1" applyBorder="1" applyAlignment="1">
      <alignment horizontal="center" vertical="center"/>
    </xf>
    <xf numFmtId="170" fontId="8" fillId="5" borderId="1" xfId="0" applyNumberFormat="1" applyFont="1" applyFill="1" applyBorder="1" applyAlignment="1">
      <alignment horizontal="right" vertical="center"/>
    </xf>
    <xf numFmtId="0" fontId="16" fillId="7" borderId="13" xfId="0" applyFont="1" applyFill="1" applyBorder="1" applyAlignment="1">
      <alignment horizontal="left" vertical="center" indent="1"/>
    </xf>
    <xf numFmtId="0" fontId="16" fillId="7" borderId="13" xfId="0" applyFont="1" applyFill="1" applyBorder="1" applyAlignment="1">
      <alignment horizontal="right" vertical="center"/>
    </xf>
    <xf numFmtId="1" fontId="16" fillId="7" borderId="13" xfId="0" applyNumberFormat="1" applyFont="1" applyFill="1" applyBorder="1" applyAlignment="1">
      <alignment horizontal="center" vertical="center"/>
    </xf>
    <xf numFmtId="171" fontId="16" fillId="7" borderId="13" xfId="0" applyNumberFormat="1" applyFont="1" applyFill="1" applyBorder="1" applyAlignment="1">
      <alignment horizontal="right" vertical="center"/>
    </xf>
    <xf numFmtId="167" fontId="16" fillId="7" borderId="13" xfId="0" applyNumberFormat="1" applyFont="1" applyFill="1" applyBorder="1" applyAlignment="1">
      <alignment horizontal="right" vertical="center"/>
    </xf>
    <xf numFmtId="0" fontId="20" fillId="9" borderId="18" xfId="0" applyFont="1" applyFill="1" applyBorder="1" applyAlignment="1">
      <alignment horizontal="left" indent="1"/>
    </xf>
    <xf numFmtId="3" fontId="21" fillId="9" borderId="19" xfId="0" applyNumberFormat="1" applyFont="1" applyFill="1" applyBorder="1" applyAlignment="1">
      <alignment horizontal="left" vertical="center" indent="1"/>
    </xf>
    <xf numFmtId="0" fontId="7" fillId="0" borderId="2" xfId="0" applyFont="1" applyBorder="1"/>
    <xf numFmtId="0" fontId="0" fillId="0" borderId="2" xfId="0" applyBorder="1"/>
    <xf numFmtId="3" fontId="9" fillId="4" borderId="1" xfId="0" applyNumberFormat="1" applyFont="1" applyFill="1" applyBorder="1" applyAlignment="1">
      <alignment horizontal="right" vertical="center"/>
    </xf>
    <xf numFmtId="0" fontId="4" fillId="0" borderId="0" xfId="0" applyFont="1" applyAlignment="1">
      <alignment horizontal="left" vertical="center" indent="1"/>
    </xf>
    <xf numFmtId="0" fontId="23" fillId="0" borderId="0" xfId="0" applyFont="1"/>
    <xf numFmtId="14" fontId="9" fillId="0" borderId="0" xfId="0" applyNumberFormat="1" applyFont="1" applyAlignment="1">
      <alignment horizontal="center" vertical="center"/>
    </xf>
    <xf numFmtId="0" fontId="9" fillId="0" borderId="0" xfId="0" applyFont="1" applyAlignment="1">
      <alignment horizontal="left" vertical="center" indent="1"/>
    </xf>
    <xf numFmtId="0" fontId="9" fillId="0" borderId="0" xfId="0" applyFont="1" applyAlignment="1">
      <alignment horizontal="center" vertical="center"/>
    </xf>
    <xf numFmtId="4" fontId="9" fillId="0" borderId="0" xfId="0" applyNumberFormat="1" applyFont="1" applyAlignment="1">
      <alignment horizontal="right" vertical="center"/>
    </xf>
    <xf numFmtId="172" fontId="9" fillId="0" borderId="0" xfId="0" applyNumberFormat="1" applyFont="1" applyAlignment="1">
      <alignment horizontal="right" vertical="center"/>
    </xf>
    <xf numFmtId="168" fontId="9" fillId="0" borderId="0" xfId="0" applyNumberFormat="1" applyFont="1" applyAlignment="1">
      <alignment horizontal="right" vertical="center"/>
    </xf>
    <xf numFmtId="0" fontId="25" fillId="0" borderId="0" xfId="0" applyFont="1" applyAlignment="1">
      <alignment horizontal="center" vertical="center"/>
    </xf>
    <xf numFmtId="0" fontId="4" fillId="0" borderId="0" xfId="0" applyFont="1"/>
    <xf numFmtId="0" fontId="8" fillId="0" borderId="3" xfId="0" applyFont="1" applyBorder="1" applyAlignment="1">
      <alignment horizontal="left" vertical="center" indent="1"/>
    </xf>
    <xf numFmtId="0" fontId="12" fillId="8" borderId="7" xfId="0" applyFont="1" applyFill="1" applyBorder="1" applyAlignment="1">
      <alignment horizontal="center" vertical="center" wrapText="1"/>
    </xf>
    <xf numFmtId="0" fontId="13" fillId="4" borderId="1" xfId="0" applyFont="1" applyFill="1" applyBorder="1" applyAlignment="1">
      <alignment horizontal="left" vertical="center" indent="1"/>
    </xf>
    <xf numFmtId="164" fontId="9" fillId="4" borderId="10" xfId="0" applyNumberFormat="1" applyFont="1" applyFill="1" applyBorder="1" applyAlignment="1">
      <alignment horizontal="center" vertical="center"/>
    </xf>
    <xf numFmtId="164" fontId="9" fillId="4" borderId="1" xfId="0" applyNumberFormat="1" applyFont="1" applyFill="1" applyBorder="1" applyAlignment="1">
      <alignment horizontal="center" vertical="center"/>
    </xf>
    <xf numFmtId="164" fontId="9" fillId="9" borderId="10" xfId="0" applyNumberFormat="1" applyFont="1" applyFill="1" applyBorder="1" applyAlignment="1">
      <alignment horizontal="center" vertical="center"/>
    </xf>
    <xf numFmtId="164" fontId="9" fillId="9" borderId="1" xfId="0" applyNumberFormat="1" applyFont="1" applyFill="1" applyBorder="1" applyAlignment="1">
      <alignment horizontal="center" vertical="center"/>
    </xf>
    <xf numFmtId="0" fontId="36" fillId="3" borderId="53" xfId="0" applyFont="1" applyFill="1" applyBorder="1" applyAlignment="1">
      <alignment horizontal="center" vertical="center"/>
    </xf>
    <xf numFmtId="0" fontId="37" fillId="0" borderId="3" xfId="0" applyFont="1" applyBorder="1" applyAlignment="1">
      <alignment horizontal="left" vertical="center" indent="1"/>
    </xf>
    <xf numFmtId="0" fontId="9" fillId="0" borderId="3" xfId="0" applyFont="1" applyBorder="1" applyAlignment="1">
      <alignment horizontal="left" vertical="center" wrapText="1" indent="1"/>
    </xf>
    <xf numFmtId="0" fontId="9" fillId="0" borderId="3" xfId="0" applyFont="1" applyBorder="1" applyAlignment="1">
      <alignment horizontal="left" vertical="center" indent="1"/>
    </xf>
    <xf numFmtId="0" fontId="41" fillId="0" borderId="0" xfId="0" applyFont="1" applyAlignment="1">
      <alignment horizontal="center" vertical="center"/>
    </xf>
    <xf numFmtId="0" fontId="0" fillId="4" borderId="39" xfId="0" applyFill="1" applyBorder="1"/>
    <xf numFmtId="0" fontId="0" fillId="0" borderId="40" xfId="0" applyBorder="1"/>
    <xf numFmtId="0" fontId="0" fillId="0" borderId="41" xfId="0" applyBorder="1"/>
    <xf numFmtId="0" fontId="25" fillId="4" borderId="27" xfId="0" applyFont="1" applyFill="1" applyBorder="1" applyAlignment="1">
      <alignment horizontal="left" vertical="center" indent="1"/>
    </xf>
    <xf numFmtId="0" fontId="0" fillId="0" borderId="28" xfId="0" applyBorder="1"/>
    <xf numFmtId="9" fontId="8" fillId="4" borderId="28" xfId="0" applyNumberFormat="1" applyFont="1" applyFill="1" applyBorder="1" applyAlignment="1">
      <alignment horizontal="center" vertical="center"/>
    </xf>
    <xf numFmtId="0" fontId="8" fillId="4" borderId="48" xfId="0" applyFont="1" applyFill="1" applyBorder="1" applyAlignment="1">
      <alignment horizontal="center" vertical="center"/>
    </xf>
    <xf numFmtId="0" fontId="0" fillId="0" borderId="48" xfId="0" applyBorder="1"/>
    <xf numFmtId="0" fontId="9" fillId="4" borderId="28" xfId="0" applyFont="1" applyFill="1" applyBorder="1" applyAlignment="1">
      <alignment horizontal="left" vertical="center" indent="1"/>
    </xf>
    <xf numFmtId="178" fontId="0" fillId="4" borderId="39" xfId="0" applyNumberFormat="1" applyFill="1" applyBorder="1"/>
    <xf numFmtId="0" fontId="8" fillId="4" borderId="29" xfId="0" applyFont="1" applyFill="1" applyBorder="1" applyAlignment="1">
      <alignment horizontal="center" vertical="center"/>
    </xf>
    <xf numFmtId="0" fontId="0" fillId="0" borderId="29" xfId="0" applyBorder="1"/>
    <xf numFmtId="0" fontId="32" fillId="4" borderId="44" xfId="0" applyFont="1" applyFill="1" applyBorder="1" applyAlignment="1">
      <alignment horizontal="left" vertical="center" wrapText="1" indent="1"/>
    </xf>
    <xf numFmtId="0" fontId="0" fillId="0" borderId="45" xfId="0" applyBorder="1"/>
    <xf numFmtId="0" fontId="9" fillId="4" borderId="47" xfId="0" applyFont="1" applyFill="1" applyBorder="1" applyAlignment="1">
      <alignment horizontal="left" vertical="center" indent="1"/>
    </xf>
    <xf numFmtId="168" fontId="8" fillId="4" borderId="28" xfId="0" applyNumberFormat="1" applyFont="1" applyFill="1" applyBorder="1" applyAlignment="1">
      <alignment horizontal="center" vertical="center"/>
    </xf>
    <xf numFmtId="0" fontId="32" fillId="4" borderId="44" xfId="0" applyFont="1" applyFill="1" applyBorder="1" applyAlignment="1">
      <alignment horizontal="left" vertical="center" indent="1"/>
    </xf>
    <xf numFmtId="0" fontId="20" fillId="4" borderId="33" xfId="0" applyFont="1" applyFill="1" applyBorder="1" applyAlignment="1">
      <alignment horizontal="left" indent="1"/>
    </xf>
    <xf numFmtId="0" fontId="0" fillId="0" borderId="34" xfId="0" applyBorder="1"/>
    <xf numFmtId="0" fontId="0" fillId="0" borderId="35" xfId="0" applyBorder="1"/>
    <xf numFmtId="0" fontId="28" fillId="2" borderId="0" xfId="0" applyFont="1" applyFill="1" applyAlignment="1">
      <alignment horizontal="right" vertical="center"/>
    </xf>
    <xf numFmtId="0" fontId="0" fillId="0" borderId="0" xfId="0"/>
    <xf numFmtId="0" fontId="32" fillId="4" borderId="45" xfId="0" applyFont="1" applyFill="1" applyBorder="1" applyAlignment="1">
      <alignment horizontal="center" vertical="center" wrapText="1"/>
    </xf>
    <xf numFmtId="177" fontId="30" fillId="4" borderId="36" xfId="0" applyNumberFormat="1" applyFont="1" applyFill="1" applyBorder="1" applyAlignment="1">
      <alignment horizontal="left" vertical="center" indent="1"/>
    </xf>
    <xf numFmtId="0" fontId="0" fillId="0" borderId="38" xfId="0" applyBorder="1"/>
    <xf numFmtId="0" fontId="0" fillId="0" borderId="37" xfId="0" applyBorder="1"/>
    <xf numFmtId="0" fontId="32" fillId="4" borderId="45" xfId="0" applyFont="1" applyFill="1" applyBorder="1" applyAlignment="1">
      <alignment horizontal="left" vertical="center" wrapText="1" indent="1"/>
    </xf>
    <xf numFmtId="0" fontId="31" fillId="4" borderId="36" xfId="0" applyFont="1" applyFill="1" applyBorder="1" applyAlignment="1">
      <alignment horizontal="left" vertical="top" indent="1"/>
    </xf>
    <xf numFmtId="0" fontId="29" fillId="13" borderId="0" xfId="0" applyFont="1" applyFill="1" applyAlignment="1">
      <alignment horizontal="left" vertical="center"/>
    </xf>
    <xf numFmtId="0" fontId="34" fillId="4" borderId="36" xfId="0" applyFont="1" applyFill="1" applyBorder="1" applyAlignment="1">
      <alignment horizontal="left" vertical="center" indent="1"/>
    </xf>
    <xf numFmtId="0" fontId="7" fillId="4" borderId="1" xfId="0" applyFont="1" applyFill="1" applyBorder="1" applyAlignment="1">
      <alignment horizontal="left" vertical="center" indent="1"/>
    </xf>
    <xf numFmtId="0" fontId="0" fillId="0" borderId="42" xfId="0" applyBorder="1"/>
    <xf numFmtId="0" fontId="0" fillId="0" borderId="43" xfId="0" applyBorder="1"/>
    <xf numFmtId="180" fontId="30" fillId="4" borderId="36" xfId="0" applyNumberFormat="1" applyFont="1" applyFill="1" applyBorder="1" applyAlignment="1">
      <alignment horizontal="left" vertical="center" indent="1"/>
    </xf>
    <xf numFmtId="0" fontId="32" fillId="4" borderId="46" xfId="0" applyFont="1" applyFill="1" applyBorder="1" applyAlignment="1">
      <alignment horizontal="center" vertical="center" wrapText="1"/>
    </xf>
    <xf numFmtId="0" fontId="0" fillId="0" borderId="46" xfId="0" applyBorder="1"/>
    <xf numFmtId="3" fontId="30" fillId="4" borderId="36" xfId="0" applyNumberFormat="1" applyFont="1" applyFill="1" applyBorder="1" applyAlignment="1">
      <alignment horizontal="left" vertical="center" indent="1"/>
    </xf>
    <xf numFmtId="176" fontId="30" fillId="4" borderId="36" xfId="0" applyNumberFormat="1" applyFont="1" applyFill="1" applyBorder="1" applyAlignment="1">
      <alignment horizontal="left" vertical="center" indent="1"/>
    </xf>
    <xf numFmtId="0" fontId="32" fillId="4" borderId="45" xfId="0" applyFont="1" applyFill="1" applyBorder="1" applyAlignment="1">
      <alignment horizontal="center" vertical="center"/>
    </xf>
    <xf numFmtId="0" fontId="34" fillId="4" borderId="36" xfId="0" applyFont="1" applyFill="1" applyBorder="1" applyAlignment="1">
      <alignment horizontal="left" vertical="top" wrapText="1" indent="1"/>
    </xf>
    <xf numFmtId="0" fontId="0" fillId="0" borderId="27" xfId="0" applyBorder="1"/>
    <xf numFmtId="179" fontId="30" fillId="4" borderId="36" xfId="0" applyNumberFormat="1" applyFont="1" applyFill="1" applyBorder="1" applyAlignment="1">
      <alignment horizontal="left" vertical="center" indent="1"/>
    </xf>
    <xf numFmtId="0" fontId="15" fillId="10" borderId="12" xfId="0" applyFont="1" applyFill="1" applyBorder="1" applyAlignment="1">
      <alignment horizontal="center" vertical="center"/>
    </xf>
    <xf numFmtId="0" fontId="0" fillId="10" borderId="12" xfId="0" applyFill="1" applyBorder="1"/>
    <xf numFmtId="0" fontId="5" fillId="4" borderId="1" xfId="0" applyFont="1" applyFill="1" applyBorder="1" applyAlignment="1">
      <alignment horizontal="center" vertical="center"/>
    </xf>
    <xf numFmtId="0" fontId="0" fillId="4" borderId="1" xfId="0" applyFill="1" applyBorder="1"/>
    <xf numFmtId="0" fontId="6" fillId="5" borderId="1" xfId="0" applyFont="1" applyFill="1" applyBorder="1" applyAlignment="1">
      <alignment horizontal="center" vertical="center"/>
    </xf>
    <xf numFmtId="0" fontId="0" fillId="5" borderId="1" xfId="0" applyFill="1" applyBorder="1"/>
    <xf numFmtId="0" fontId="18" fillId="0" borderId="0" xfId="0" applyFont="1" applyAlignment="1">
      <alignment horizontal="center" vertical="center"/>
    </xf>
    <xf numFmtId="3" fontId="21" fillId="9" borderId="16" xfId="0" applyNumberFormat="1" applyFont="1" applyFill="1" applyBorder="1" applyAlignment="1">
      <alignment horizontal="left" vertical="center" indent="1"/>
    </xf>
    <xf numFmtId="0" fontId="0" fillId="9" borderId="17" xfId="0" applyFill="1" applyBorder="1"/>
    <xf numFmtId="0" fontId="8" fillId="5" borderId="1" xfId="0" applyFont="1" applyFill="1" applyBorder="1" applyAlignment="1">
      <alignment horizontal="center" vertical="center"/>
    </xf>
    <xf numFmtId="0" fontId="4" fillId="0" borderId="0" xfId="0" applyFont="1" applyAlignment="1">
      <alignment horizontal="left" vertical="top" wrapText="1" indent="1"/>
    </xf>
    <xf numFmtId="1" fontId="21" fillId="9" borderId="16" xfId="0" applyNumberFormat="1" applyFont="1" applyFill="1" applyBorder="1" applyAlignment="1">
      <alignment horizontal="left" vertical="center" indent="1"/>
    </xf>
    <xf numFmtId="0" fontId="0" fillId="9" borderId="3" xfId="0" applyFill="1" applyBorder="1"/>
    <xf numFmtId="0" fontId="20" fillId="9" borderId="14" xfId="0" applyFont="1" applyFill="1" applyBorder="1" applyAlignment="1">
      <alignment horizontal="left" indent="1"/>
    </xf>
    <xf numFmtId="0" fontId="0" fillId="9" borderId="15" xfId="0" applyFill="1" applyBorder="1"/>
    <xf numFmtId="0" fontId="0" fillId="9" borderId="20" xfId="0" applyFill="1" applyBorder="1"/>
    <xf numFmtId="0" fontId="12" fillId="11" borderId="11" xfId="0" applyFont="1" applyFill="1" applyBorder="1" applyAlignment="1">
      <alignment horizontal="center" vertical="center" wrapText="1"/>
    </xf>
    <xf numFmtId="0" fontId="0" fillId="11" borderId="0" xfId="0" applyFill="1"/>
    <xf numFmtId="0" fontId="0" fillId="11" borderId="8" xfId="0" applyFill="1" applyBorder="1"/>
    <xf numFmtId="168" fontId="21" fillId="9" borderId="24" xfId="0" applyNumberFormat="1" applyFont="1" applyFill="1" applyBorder="1" applyAlignment="1">
      <alignment horizontal="left" vertical="center" indent="1"/>
    </xf>
    <xf numFmtId="0" fontId="0" fillId="9" borderId="26" xfId="0" applyFill="1" applyBorder="1"/>
    <xf numFmtId="0" fontId="0" fillId="9" borderId="25" xfId="0" applyFill="1" applyBorder="1"/>
    <xf numFmtId="14" fontId="25" fillId="0" borderId="3" xfId="0" applyNumberFormat="1" applyFont="1" applyBorder="1" applyAlignment="1">
      <alignment horizontal="left" vertical="center" indent="1"/>
    </xf>
    <xf numFmtId="0" fontId="0" fillId="0" borderId="3" xfId="0" applyBorder="1"/>
    <xf numFmtId="0" fontId="13" fillId="0" borderId="0" xfId="0" applyFont="1" applyAlignment="1">
      <alignment horizontal="left" vertical="center" indent="1"/>
    </xf>
    <xf numFmtId="0" fontId="25" fillId="0" borderId="3" xfId="0" applyFont="1" applyBorder="1" applyAlignment="1">
      <alignment horizontal="left" vertical="center" indent="1"/>
    </xf>
    <xf numFmtId="0" fontId="4" fillId="9" borderId="16" xfId="0" applyFont="1" applyFill="1" applyBorder="1" applyAlignment="1">
      <alignment horizontal="left" vertical="top" indent="1"/>
    </xf>
    <xf numFmtId="0" fontId="24" fillId="0" borderId="3" xfId="0" applyFont="1" applyBorder="1" applyAlignment="1">
      <alignment horizontal="left" vertical="center" indent="1"/>
    </xf>
    <xf numFmtId="0" fontId="21" fillId="9" borderId="24" xfId="0" applyFont="1" applyFill="1" applyBorder="1" applyAlignment="1">
      <alignment horizontal="left" vertical="center" indent="1"/>
    </xf>
    <xf numFmtId="4" fontId="25" fillId="0" borderId="3" xfId="0" applyNumberFormat="1" applyFont="1" applyBorder="1" applyAlignment="1">
      <alignment horizontal="left" vertical="center" indent="1"/>
    </xf>
    <xf numFmtId="174" fontId="21" fillId="9" borderId="24" xfId="0" applyNumberFormat="1" applyFont="1" applyFill="1" applyBorder="1" applyAlignment="1">
      <alignment horizontal="left" vertical="center" indent="1"/>
    </xf>
    <xf numFmtId="0" fontId="22" fillId="4" borderId="21" xfId="0" applyFont="1" applyFill="1" applyBorder="1" applyAlignment="1">
      <alignment horizontal="left" vertical="center" indent="1"/>
    </xf>
    <xf numFmtId="0" fontId="0" fillId="4" borderId="22" xfId="0" applyFill="1" applyBorder="1"/>
    <xf numFmtId="0" fontId="0" fillId="4" borderId="23" xfId="0" applyFill="1" applyBorder="1"/>
    <xf numFmtId="1" fontId="9" fillId="4" borderId="1" xfId="0" applyNumberFormat="1" applyFont="1" applyFill="1" applyBorder="1" applyAlignment="1">
      <alignment horizontal="center" vertical="center" wrapText="1"/>
    </xf>
    <xf numFmtId="1" fontId="9" fillId="4" borderId="1" xfId="0" applyNumberFormat="1" applyFont="1" applyFill="1" applyBorder="1" applyAlignment="1">
      <alignment horizontal="center" vertical="center"/>
    </xf>
    <xf numFmtId="0" fontId="9" fillId="4" borderId="1" xfId="0" applyFont="1" applyFill="1" applyBorder="1" applyAlignment="1">
      <alignment horizontal="left" vertical="center" indent="1"/>
    </xf>
    <xf numFmtId="0" fontId="12" fillId="7" borderId="7" xfId="0" applyFont="1" applyFill="1" applyBorder="1" applyAlignment="1">
      <alignment horizontal="center" vertical="center" wrapText="1"/>
    </xf>
    <xf numFmtId="0" fontId="0" fillId="0" borderId="9" xfId="0" applyBorder="1"/>
    <xf numFmtId="0" fontId="14" fillId="4" borderId="1" xfId="0" applyFont="1" applyFill="1" applyBorder="1" applyAlignment="1">
      <alignment horizontal="left" vertical="center" wrapText="1" indent="1"/>
    </xf>
    <xf numFmtId="14" fontId="10" fillId="5" borderId="1" xfId="0" applyNumberFormat="1" applyFont="1" applyFill="1" applyBorder="1" applyAlignment="1">
      <alignment horizontal="center" vertical="center" wrapText="1"/>
    </xf>
    <xf numFmtId="14" fontId="8" fillId="5" borderId="1" xfId="0" applyNumberFormat="1" applyFont="1" applyFill="1" applyBorder="1" applyAlignment="1">
      <alignment horizontal="center" vertical="center"/>
    </xf>
    <xf numFmtId="0" fontId="8" fillId="0" borderId="3" xfId="0" applyFont="1" applyBorder="1" applyAlignment="1">
      <alignment horizontal="left" vertical="center" wrapText="1" indent="1"/>
    </xf>
    <xf numFmtId="4" fontId="10" fillId="5" borderId="1" xfId="0" applyNumberFormat="1" applyFont="1" applyFill="1" applyBorder="1" applyAlignment="1">
      <alignment horizontal="center" vertical="center" wrapText="1"/>
    </xf>
    <xf numFmtId="4" fontId="8" fillId="5" borderId="1" xfId="0" applyNumberFormat="1" applyFont="1" applyFill="1" applyBorder="1" applyAlignment="1">
      <alignment horizontal="center" vertical="center"/>
    </xf>
    <xf numFmtId="0" fontId="11" fillId="6" borderId="4" xfId="0" applyFont="1" applyFill="1" applyBorder="1" applyAlignment="1">
      <alignment horizontal="left" vertical="center" wrapText="1" indent="1"/>
    </xf>
    <xf numFmtId="0" fontId="0" fillId="6" borderId="5" xfId="0" applyFill="1" applyBorder="1"/>
    <xf numFmtId="0" fontId="0" fillId="6" borderId="6" xfId="0" applyFill="1" applyBorder="1"/>
    <xf numFmtId="0" fontId="10" fillId="5" borderId="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4" fontId="9" fillId="4" borderId="1" xfId="0" applyNumberFormat="1" applyFont="1" applyFill="1" applyBorder="1" applyAlignment="1">
      <alignment horizontal="center" vertical="center" wrapText="1"/>
    </xf>
    <xf numFmtId="4" fontId="9" fillId="4" borderId="1" xfId="0" applyNumberFormat="1" applyFont="1" applyFill="1" applyBorder="1" applyAlignment="1">
      <alignment horizontal="center" vertical="center"/>
    </xf>
    <xf numFmtId="0" fontId="13" fillId="17" borderId="53" xfId="0" applyFont="1" applyFill="1" applyBorder="1" applyAlignment="1">
      <alignment horizontal="center" vertical="center"/>
    </xf>
    <xf numFmtId="0" fontId="0" fillId="17" borderId="53" xfId="0" applyFill="1" applyBorder="1"/>
    <xf numFmtId="0" fontId="40" fillId="16" borderId="53" xfId="0" applyFont="1" applyFill="1" applyBorder="1" applyAlignment="1">
      <alignment horizontal="center" vertical="center"/>
    </xf>
    <xf numFmtId="0" fontId="0" fillId="16" borderId="53" xfId="0" applyFill="1" applyBorder="1"/>
    <xf numFmtId="0" fontId="9" fillId="0" borderId="0" xfId="0" applyFont="1" applyAlignment="1">
      <alignment horizontal="left" vertical="top" wrapText="1" indent="1"/>
    </xf>
    <xf numFmtId="0" fontId="9" fillId="0" borderId="0" xfId="0" applyFont="1" applyAlignment="1">
      <alignment horizontal="left" vertical="center" wrapText="1" indent="1"/>
    </xf>
    <xf numFmtId="0" fontId="16" fillId="11" borderId="53" xfId="0" applyFont="1" applyFill="1" applyBorder="1" applyAlignment="1">
      <alignment horizontal="center" vertical="center"/>
    </xf>
    <xf numFmtId="0" fontId="0" fillId="11" borderId="53" xfId="0" applyFill="1" applyBorder="1"/>
    <xf numFmtId="0" fontId="39" fillId="15" borderId="53" xfId="0" applyFont="1" applyFill="1" applyBorder="1" applyAlignment="1">
      <alignment horizontal="center" vertical="center"/>
    </xf>
    <xf numFmtId="0" fontId="0" fillId="15" borderId="53" xfId="0" applyFill="1" applyBorder="1"/>
    <xf numFmtId="0" fontId="16" fillId="7" borderId="53" xfId="0" applyFont="1" applyFill="1" applyBorder="1" applyAlignment="1">
      <alignment horizontal="center" vertical="center"/>
    </xf>
    <xf numFmtId="0" fontId="0" fillId="7" borderId="53" xfId="0" applyFill="1" applyBorder="1"/>
    <xf numFmtId="0" fontId="16" fillId="18" borderId="53" xfId="0" applyFont="1" applyFill="1" applyBorder="1" applyAlignment="1">
      <alignment horizontal="center" vertical="center"/>
    </xf>
    <xf numFmtId="0" fontId="0" fillId="18" borderId="53" xfId="0" applyFill="1" applyBorder="1"/>
    <xf numFmtId="0" fontId="38" fillId="14" borderId="53" xfId="0" applyFont="1" applyFill="1" applyBorder="1" applyAlignment="1">
      <alignment horizontal="center" vertical="center"/>
    </xf>
    <xf numFmtId="0" fontId="0" fillId="14" borderId="53" xfId="0" applyFill="1" applyBorder="1"/>
    <xf numFmtId="0" fontId="25" fillId="4" borderId="1" xfId="0" applyFont="1" applyFill="1" applyBorder="1" applyAlignment="1">
      <alignment horizontal="center" vertical="center"/>
    </xf>
    <xf numFmtId="0" fontId="13" fillId="19" borderId="53" xfId="0" applyFont="1" applyFill="1" applyBorder="1" applyAlignment="1">
      <alignment horizontal="center" vertical="center"/>
    </xf>
    <xf numFmtId="0" fontId="0" fillId="19" borderId="53" xfId="0" applyFill="1" applyBorder="1"/>
    <xf numFmtId="0" fontId="16" fillId="20" borderId="53" xfId="0" applyFont="1" applyFill="1" applyBorder="1" applyAlignment="1">
      <alignment horizontal="center" vertical="center"/>
    </xf>
    <xf numFmtId="0" fontId="0" fillId="20" borderId="53" xfId="0" applyFill="1" applyBorder="1"/>
    <xf numFmtId="0" fontId="10" fillId="5" borderId="1" xfId="0" applyFont="1" applyFill="1" applyBorder="1" applyAlignment="1">
      <alignment horizontal="center" vertical="center"/>
    </xf>
    <xf numFmtId="0" fontId="16" fillId="3" borderId="53" xfId="0" applyFont="1" applyFill="1" applyBorder="1" applyAlignment="1">
      <alignment horizontal="center" vertical="center"/>
    </xf>
    <xf numFmtId="0" fontId="0" fillId="3" borderId="53" xfId="0" applyFill="1" applyBorder="1"/>
  </cellXfs>
  <cellStyles count="1">
    <cellStyle name="Standard" xfId="0" builtinId="0"/>
  </cellStyles>
  <dxfs count="49">
    <dxf>
      <font>
        <b/>
        <color rgb="FF8A5300"/>
      </font>
      <fill>
        <patternFill patternType="solid">
          <fgColor rgb="FFFDF0CF"/>
          <bgColor rgb="FFFDF0CF"/>
        </patternFill>
      </fill>
    </dxf>
    <dxf>
      <font>
        <b/>
        <color rgb="FF146C43"/>
      </font>
      <fill>
        <patternFill patternType="solid">
          <fgColor rgb="FFDCF2E7"/>
          <bgColor rgb="FFDCF2E7"/>
        </patternFill>
      </fill>
    </dxf>
    <dxf>
      <font>
        <b/>
        <color rgb="FF146C43"/>
      </font>
      <fill>
        <patternFill patternType="solid">
          <fgColor rgb="FFDCF2E7"/>
          <bgColor rgb="FFDCF2E7"/>
        </patternFill>
      </fill>
    </dxf>
    <dxf>
      <font>
        <b/>
        <color rgb="FF8A5300"/>
      </font>
      <fill>
        <patternFill patternType="solid">
          <fgColor rgb="FFFDF0CF"/>
          <bgColor rgb="FFFDF0CF"/>
        </patternFill>
      </fill>
    </dxf>
    <dxf>
      <font>
        <b/>
        <color rgb="FFA4161A"/>
      </font>
      <fill>
        <patternFill patternType="solid">
          <fgColor rgb="FFFADBDD"/>
          <bgColor rgb="FFFADBDD"/>
        </patternFill>
      </fill>
    </dxf>
    <dxf>
      <font>
        <b/>
        <color rgb="FF52606D"/>
      </font>
      <fill>
        <patternFill patternType="solid">
          <fgColor rgb="FFE9EDF2"/>
          <bgColor rgb="FFE9EDF2"/>
        </patternFill>
      </fill>
    </dxf>
    <dxf>
      <font>
        <b/>
        <color rgb="FF146C43"/>
      </font>
      <fill>
        <patternFill patternType="solid">
          <fgColor rgb="FFDCF2E7"/>
          <bgColor rgb="FFDCF2E7"/>
        </patternFill>
      </fill>
    </dxf>
    <dxf>
      <font>
        <b/>
        <color rgb="FF8A5300"/>
      </font>
      <fill>
        <patternFill patternType="solid">
          <fgColor rgb="FFFDF0CF"/>
          <bgColor rgb="FFFDF0CF"/>
        </patternFill>
      </fill>
    </dxf>
    <dxf>
      <font>
        <b/>
        <color rgb="FFA4161A"/>
      </font>
      <fill>
        <patternFill patternType="solid">
          <fgColor rgb="FFFADBDD"/>
          <bgColor rgb="FFFADBDD"/>
        </patternFill>
      </fill>
    </dxf>
    <dxf>
      <font>
        <b/>
        <color rgb="FFA4161A"/>
      </font>
    </dxf>
    <dxf>
      <border>
        <bottom style="thin">
          <color rgb="FFD6DDE6"/>
        </bottom>
      </border>
    </dxf>
    <dxf>
      <fill>
        <patternFill patternType="solid">
          <fgColor rgb="FFF6F8FB"/>
          <bgColor rgb="FFF6F8FB"/>
        </patternFill>
      </fill>
    </dxf>
    <dxf>
      <font>
        <b/>
        <color rgb="FFA4161A"/>
      </font>
      <fill>
        <patternFill patternType="solid">
          <fgColor rgb="FFFADBDD"/>
          <bgColor rgb="FFFADBDD"/>
        </patternFill>
      </fill>
    </dxf>
    <dxf>
      <font>
        <b/>
        <color rgb="FF146C43"/>
      </font>
      <fill>
        <patternFill patternType="solid">
          <fgColor rgb="FFDCF2E7"/>
          <bgColor rgb="FFDCF2E7"/>
        </patternFill>
      </fill>
    </dxf>
    <dxf>
      <font>
        <b/>
        <color rgb="FF52606D"/>
      </font>
      <fill>
        <patternFill patternType="solid">
          <fgColor rgb="FFE9EDF2"/>
          <bgColor rgb="FFE9EDF2"/>
        </patternFill>
      </fill>
    </dxf>
    <dxf>
      <font>
        <b/>
        <color rgb="FF146C43"/>
      </font>
      <fill>
        <patternFill patternType="solid">
          <fgColor rgb="FFDCF2E7"/>
          <bgColor rgb="FFDCF2E7"/>
        </patternFill>
      </fill>
    </dxf>
    <dxf>
      <font>
        <b/>
        <color rgb="FF8A5300"/>
      </font>
      <fill>
        <patternFill patternType="solid">
          <fgColor rgb="FFFDF0CF"/>
          <bgColor rgb="FFFDF0CF"/>
        </patternFill>
      </fill>
    </dxf>
    <dxf>
      <font>
        <b/>
        <color rgb="FFA4161A"/>
      </font>
      <fill>
        <patternFill patternType="solid">
          <fgColor rgb="FFFADBDD"/>
          <bgColor rgb="FFFADBDD"/>
        </patternFill>
      </fill>
    </dxf>
    <dxf>
      <font>
        <b/>
        <color rgb="FFA4161A"/>
      </font>
    </dxf>
    <dxf>
      <fill>
        <patternFill patternType="solid">
          <fgColor rgb="FFFDF0CF"/>
          <bgColor rgb="FFFDF0CF"/>
        </patternFill>
      </fill>
    </dxf>
    <dxf>
      <font>
        <b/>
        <color rgb="FFA4161A"/>
      </font>
      <fill>
        <patternFill patternType="solid">
          <fgColor rgb="FFFADBDD"/>
          <bgColor rgb="FFFADBDD"/>
        </patternFill>
      </fill>
    </dxf>
    <dxf>
      <font>
        <b/>
        <color rgb="FFA4161A"/>
      </font>
    </dxf>
    <dxf>
      <font>
        <b/>
        <color rgb="FF52606D"/>
      </font>
      <fill>
        <patternFill patternType="solid">
          <fgColor rgb="FFE9EDF2"/>
          <bgColor rgb="FFE9EDF2"/>
        </patternFill>
      </fill>
    </dxf>
    <dxf>
      <font>
        <b/>
        <color rgb="FF146C43"/>
      </font>
      <fill>
        <patternFill patternType="solid">
          <fgColor rgb="FFDCF2E7"/>
          <bgColor rgb="FFDCF2E7"/>
        </patternFill>
      </fill>
    </dxf>
    <dxf>
      <font>
        <b/>
        <color rgb="FF8A5300"/>
      </font>
      <fill>
        <patternFill patternType="solid">
          <fgColor rgb="FFFDF0CF"/>
          <bgColor rgb="FFFDF0CF"/>
        </patternFill>
      </fill>
    </dxf>
    <dxf>
      <font>
        <b/>
        <color rgb="FFA4161A"/>
      </font>
      <fill>
        <patternFill patternType="solid">
          <fgColor rgb="FFFADBDD"/>
          <bgColor rgb="FFFADBDD"/>
        </patternFill>
      </fill>
    </dxf>
    <dxf>
      <font>
        <b/>
        <color rgb="FFA4161A"/>
      </font>
    </dxf>
    <dxf>
      <fill>
        <patternFill patternType="solid">
          <fgColor rgb="FFFDF0CF"/>
          <bgColor rgb="FFFDF0CF"/>
        </patternFill>
      </fill>
    </dxf>
    <dxf>
      <font>
        <b/>
        <color rgb="FF8A5300"/>
      </font>
      <fill>
        <patternFill patternType="solid">
          <fgColor rgb="FFFDF0CF"/>
          <bgColor rgb="FFFDF0CF"/>
        </patternFill>
      </fill>
    </dxf>
    <dxf>
      <font>
        <b/>
        <color rgb="FF146C43"/>
      </font>
      <fill>
        <patternFill patternType="solid">
          <fgColor rgb="FFDCF2E7"/>
          <bgColor rgb="FFDCF2E7"/>
        </patternFill>
      </fill>
    </dxf>
    <dxf>
      <font>
        <b/>
        <color rgb="FF8A5300"/>
      </font>
      <fill>
        <patternFill patternType="solid">
          <fgColor rgb="FFFDF0CF"/>
          <bgColor rgb="FFFDF0CF"/>
        </patternFill>
      </fill>
    </dxf>
    <dxf>
      <font>
        <b/>
        <color rgb="FFA4161A"/>
      </font>
      <fill>
        <patternFill patternType="solid">
          <fgColor rgb="FFFADBDD"/>
          <bgColor rgb="FFFADBDD"/>
        </patternFill>
      </fill>
    </dxf>
    <dxf>
      <font>
        <b/>
        <color rgb="FF8A5300"/>
      </font>
      <fill>
        <patternFill patternType="solid">
          <fgColor rgb="FFFDF0CF"/>
          <bgColor rgb="FFFDF0CF"/>
        </patternFill>
      </fill>
    </dxf>
    <dxf>
      <font>
        <b/>
        <color rgb="FF8A5300"/>
      </font>
      <fill>
        <patternFill patternType="solid">
          <fgColor rgb="FFFDF0CF"/>
          <bgColor rgb="FFFDF0CF"/>
        </patternFill>
      </fill>
    </dxf>
    <dxf>
      <fill>
        <patternFill patternType="solid">
          <fgColor rgb="FFFDF0F1"/>
          <bgColor rgb="FFFDF0F1"/>
        </patternFill>
      </fill>
    </dxf>
    <dxf>
      <font>
        <b/>
        <color rgb="FF52606D"/>
      </font>
      <fill>
        <patternFill patternType="solid">
          <fgColor rgb="FFE9EDF2"/>
          <bgColor rgb="FFE9EDF2"/>
        </patternFill>
      </fill>
    </dxf>
    <dxf>
      <font>
        <b/>
        <color rgb="FF146C43"/>
      </font>
      <fill>
        <patternFill patternType="solid">
          <fgColor rgb="FFDCF2E7"/>
          <bgColor rgb="FFDCF2E7"/>
        </patternFill>
      </fill>
    </dxf>
    <dxf>
      <font>
        <b/>
        <color rgb="FF8A5300"/>
      </font>
      <fill>
        <patternFill patternType="solid">
          <fgColor rgb="FFFDF0CF"/>
          <bgColor rgb="FFFDF0CF"/>
        </patternFill>
      </fill>
    </dxf>
    <dxf>
      <font>
        <b/>
        <color rgb="FFA4161A"/>
      </font>
      <fill>
        <patternFill patternType="solid">
          <fgColor rgb="FFFADBDD"/>
          <bgColor rgb="FFFADBDD"/>
        </patternFill>
      </fill>
    </dxf>
    <dxf>
      <font>
        <b/>
        <color rgb="FF8A5300"/>
      </font>
    </dxf>
    <dxf>
      <font>
        <b/>
        <color rgb="FFA4161A"/>
      </font>
    </dxf>
    <dxf>
      <font>
        <b/>
        <color rgb="FFA4161A"/>
      </font>
    </dxf>
    <dxf>
      <font>
        <b/>
        <color rgb="FF8A5300"/>
      </font>
    </dxf>
    <dxf>
      <font>
        <b/>
        <color rgb="FFA4161A"/>
      </font>
    </dxf>
    <dxf>
      <font>
        <b/>
        <color rgb="FF146C43"/>
      </font>
      <fill>
        <patternFill patternType="solid">
          <fgColor rgb="FFDCF2E7"/>
          <bgColor rgb="FFDCF2E7"/>
        </patternFill>
      </fill>
    </dxf>
    <dxf>
      <font>
        <b/>
        <color rgb="FF8A5300"/>
      </font>
      <fill>
        <patternFill patternType="solid">
          <fgColor rgb="FFFDF0CF"/>
          <bgColor rgb="FFFDF0CF"/>
        </patternFill>
      </fill>
    </dxf>
    <dxf>
      <font>
        <b/>
        <color rgb="FFA4161A"/>
      </font>
      <fill>
        <patternFill patternType="solid">
          <fgColor rgb="FFFADBDD"/>
          <bgColor rgb="FFFADBDD"/>
        </patternFill>
      </fill>
    </dxf>
    <dxf>
      <border>
        <bottom style="thin">
          <color rgb="FFE6EAF0"/>
        </bottom>
      </border>
    </dxf>
    <dxf>
      <fill>
        <patternFill patternType="solid">
          <fgColor rgb="FFF6F8FB"/>
          <bgColor rgb="FFF6F8FB"/>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autoTitleDeleted val="1"/>
    <c:plotArea>
      <c:layout/>
      <c:barChart>
        <c:barDir val="col"/>
        <c:grouping val="stacked"/>
        <c:varyColors val="1"/>
        <c:ser>
          <c:idx val="0"/>
          <c:order val="0"/>
          <c:tx>
            <c:strRef>
              <c:f>'Tableau de bord'!$X$13</c:f>
              <c:strCache>
                <c:ptCount val="1"/>
                <c:pt idx="0">
                  <c:v>Organique</c:v>
                </c:pt>
              </c:strCache>
            </c:strRef>
          </c:tx>
          <c:spPr>
            <a:solidFill>
              <a:srgbClr val="C9922E"/>
            </a:solidFill>
            <a:ln>
              <a:solidFill>
                <a:srgbClr val="C9922E"/>
              </a:solidFill>
              <a:prstDash val="solid"/>
            </a:ln>
          </c:spPr>
          <c:invertIfNegative val="1"/>
          <c:cat>
            <c:strRef>
              <c:f>'Tableau de bord'!$W$14:$W$25</c:f>
              <c:strCache>
                <c:ptCount val="12"/>
                <c:pt idx="0">
                  <c:v>sept. 26</c:v>
                </c:pt>
                <c:pt idx="1">
                  <c:v>oct. 26</c:v>
                </c:pt>
                <c:pt idx="2">
                  <c:v>nov. 26</c:v>
                </c:pt>
                <c:pt idx="3">
                  <c:v>déc. 26</c:v>
                </c:pt>
                <c:pt idx="4">
                  <c:v>janv. 27</c:v>
                </c:pt>
                <c:pt idx="5">
                  <c:v>févr. 27</c:v>
                </c:pt>
                <c:pt idx="6">
                  <c:v>mars 27</c:v>
                </c:pt>
                <c:pt idx="7">
                  <c:v>avr. 27</c:v>
                </c:pt>
                <c:pt idx="8">
                  <c:v>mai 27</c:v>
                </c:pt>
                <c:pt idx="9">
                  <c:v>juin 27</c:v>
                </c:pt>
                <c:pt idx="10">
                  <c:v>juil. 27</c:v>
                </c:pt>
                <c:pt idx="11">
                  <c:v>août 27</c:v>
                </c:pt>
              </c:strCache>
            </c:strRef>
          </c:cat>
          <c:val>
            <c:numRef>
              <c:f>'Tableau de bord'!$X$14:$X$25</c:f>
              <c:numCache>
                <c:formatCode>#,##0</c:formatCode>
                <c:ptCount val="12"/>
                <c:pt idx="0">
                  <c:v>7412.55</c:v>
                </c:pt>
                <c:pt idx="1">
                  <c:v>804.6</c:v>
                </c:pt>
                <c:pt idx="2">
                  <c:v>1944</c:v>
                </c:pt>
                <c:pt idx="3">
                  <c:v>0</c:v>
                </c:pt>
                <c:pt idx="4">
                  <c:v>0</c:v>
                </c:pt>
                <c:pt idx="5">
                  <c:v>1850</c:v>
                </c:pt>
                <c:pt idx="6">
                  <c:v>2897.35</c:v>
                </c:pt>
                <c:pt idx="7">
                  <c:v>4016</c:v>
                </c:pt>
                <c:pt idx="8">
                  <c:v>0</c:v>
                </c:pt>
                <c:pt idx="9">
                  <c:v>712</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C9922E"/>
                    </a:solidFill>
                    <a:prstDash val="solid"/>
                  </a:ln>
                </c14:spPr>
              </c14:invertSolidFillFmt>
            </c:ext>
            <c:ext xmlns:c16="http://schemas.microsoft.com/office/drawing/2014/chart" uri="{C3380CC4-5D6E-409C-BE32-E72D297353CC}">
              <c16:uniqueId val="{00000000-A89F-4239-9EDF-FE0AE228DA59}"/>
            </c:ext>
          </c:extLst>
        </c:ser>
        <c:ser>
          <c:idx val="1"/>
          <c:order val="1"/>
          <c:tx>
            <c:strRef>
              <c:f>'Tableau de bord'!$Y$13</c:f>
              <c:strCache>
                <c:ptCount val="1"/>
                <c:pt idx="0">
                  <c:v>Minéral</c:v>
                </c:pt>
              </c:strCache>
            </c:strRef>
          </c:tx>
          <c:spPr>
            <a:solidFill>
              <a:srgbClr val="2E5C8A"/>
            </a:solidFill>
            <a:ln>
              <a:solidFill>
                <a:srgbClr val="2E5C8A"/>
              </a:solidFill>
              <a:prstDash val="solid"/>
            </a:ln>
          </c:spPr>
          <c:invertIfNegative val="1"/>
          <c:cat>
            <c:strRef>
              <c:f>'Tableau de bord'!$W$14:$W$25</c:f>
              <c:strCache>
                <c:ptCount val="12"/>
                <c:pt idx="0">
                  <c:v>sept. 26</c:v>
                </c:pt>
                <c:pt idx="1">
                  <c:v>oct. 26</c:v>
                </c:pt>
                <c:pt idx="2">
                  <c:v>nov. 26</c:v>
                </c:pt>
                <c:pt idx="3">
                  <c:v>déc. 26</c:v>
                </c:pt>
                <c:pt idx="4">
                  <c:v>janv. 27</c:v>
                </c:pt>
                <c:pt idx="5">
                  <c:v>févr. 27</c:v>
                </c:pt>
                <c:pt idx="6">
                  <c:v>mars 27</c:v>
                </c:pt>
                <c:pt idx="7">
                  <c:v>avr. 27</c:v>
                </c:pt>
                <c:pt idx="8">
                  <c:v>mai 27</c:v>
                </c:pt>
                <c:pt idx="9">
                  <c:v>juin 27</c:v>
                </c:pt>
                <c:pt idx="10">
                  <c:v>juil. 27</c:v>
                </c:pt>
                <c:pt idx="11">
                  <c:v>août 27</c:v>
                </c:pt>
              </c:strCache>
            </c:strRef>
          </c:cat>
          <c:val>
            <c:numRef>
              <c:f>'Tableau de bord'!$Y$14:$Y$25</c:f>
              <c:numCache>
                <c:formatCode>#,##0</c:formatCode>
                <c:ptCount val="12"/>
                <c:pt idx="0">
                  <c:v>0</c:v>
                </c:pt>
                <c:pt idx="1">
                  <c:v>0</c:v>
                </c:pt>
                <c:pt idx="2">
                  <c:v>0</c:v>
                </c:pt>
                <c:pt idx="3">
                  <c:v>0</c:v>
                </c:pt>
                <c:pt idx="4">
                  <c:v>0</c:v>
                </c:pt>
                <c:pt idx="5">
                  <c:v>1377.5474999999999</c:v>
                </c:pt>
                <c:pt idx="6">
                  <c:v>2088.7515000000003</c:v>
                </c:pt>
                <c:pt idx="7">
                  <c:v>2123.4725000000003</c:v>
                </c:pt>
                <c:pt idx="8">
                  <c:v>636.80250000000001</c:v>
                </c:pt>
                <c:pt idx="9">
                  <c:v>578.68000000000006</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E5C8A"/>
                    </a:solidFill>
                    <a:prstDash val="solid"/>
                  </a:ln>
                </c14:spPr>
              </c14:invertSolidFillFmt>
            </c:ext>
            <c:ext xmlns:c16="http://schemas.microsoft.com/office/drawing/2014/chart" uri="{C3380CC4-5D6E-409C-BE32-E72D297353CC}">
              <c16:uniqueId val="{00000001-A89F-4239-9EDF-FE0AE228DA59}"/>
            </c:ext>
          </c:extLst>
        </c:ser>
        <c:dLbls>
          <c:showLegendKey val="0"/>
          <c:showVal val="0"/>
          <c:showCatName val="0"/>
          <c:showSerName val="0"/>
          <c:showPercent val="0"/>
          <c:showBubbleSize val="0"/>
        </c:dLbls>
        <c:gapWidth val="55"/>
        <c:overlap val="100"/>
        <c:axId val="10"/>
        <c:axId val="100"/>
      </c:barChart>
      <c:catAx>
        <c:axId val="10"/>
        <c:scaling>
          <c:orientation val="minMax"/>
        </c:scaling>
        <c:delete val="0"/>
        <c:axPos val="b"/>
        <c:numFmt formatCode="General" sourceLinked="1"/>
        <c:majorTickMark val="none"/>
        <c:minorTickMark val="none"/>
        <c:tickLblPos val="nextTo"/>
        <c:spPr>
          <a:ln>
            <a:solidFill>
              <a:srgbClr val="C8D1DC"/>
            </a:solidFill>
            <a:prstDash val="solid"/>
          </a:ln>
        </c:spPr>
        <c:txPr>
          <a:bodyPr/>
          <a:lstStyle/>
          <a:p>
            <a:pPr>
              <a:defRPr sz="900">
                <a:solidFill>
                  <a:srgbClr val="7B8794"/>
                </a:solidFill>
                <a:latin typeface="Calibri"/>
              </a:defRPr>
            </a:pPr>
            <a:endParaRPr lang="de-DE"/>
          </a:p>
        </c:txPr>
        <c:crossAx val="100"/>
        <c:crosses val="autoZero"/>
        <c:auto val="1"/>
        <c:lblAlgn val="ctr"/>
        <c:lblOffset val="100"/>
        <c:noMultiLvlLbl val="1"/>
      </c:catAx>
      <c:valAx>
        <c:axId val="100"/>
        <c:scaling>
          <c:orientation val="minMax"/>
        </c:scaling>
        <c:delete val="0"/>
        <c:axPos val="l"/>
        <c:majorGridlines>
          <c:spPr>
            <a:ln>
              <a:solidFill>
                <a:srgbClr val="E3E8EE"/>
              </a:solidFill>
              <a:prstDash val="solid"/>
            </a:ln>
          </c:spPr>
        </c:majorGridlines>
        <c:numFmt formatCode="#,##0" sourceLinked="0"/>
        <c:majorTickMark val="none"/>
        <c:minorTickMark val="none"/>
        <c:tickLblPos val="nextTo"/>
        <c:spPr>
          <a:ln>
            <a:noFill/>
            <a:prstDash val="solid"/>
          </a:ln>
        </c:spPr>
        <c:txPr>
          <a:bodyPr/>
          <a:lstStyle/>
          <a:p>
            <a:pPr>
              <a:defRPr sz="900">
                <a:solidFill>
                  <a:srgbClr val="7B8794"/>
                </a:solidFill>
                <a:latin typeface="Calibri"/>
              </a:defRPr>
            </a:pPr>
            <a:endParaRPr lang="de-DE"/>
          </a:p>
        </c:txPr>
        <c:crossAx val="10"/>
        <c:crosses val="autoZero"/>
        <c:crossBetween val="between"/>
      </c:valAx>
    </c:plotArea>
    <c:legend>
      <c:legendPos val="t"/>
      <c:overlay val="1"/>
      <c:txPr>
        <a:bodyPr/>
        <a:lstStyle/>
        <a:p>
          <a:pPr>
            <a:defRPr sz="900">
              <a:solidFill>
                <a:srgbClr val="3E4C59"/>
              </a:solidFill>
              <a:latin typeface="Calibri"/>
            </a:defRPr>
          </a:pPr>
          <a:endParaRPr lang="de-DE"/>
        </a:p>
      </c:txPr>
    </c:legend>
    <c:plotVisOnly val="0"/>
    <c:dispBlanksAs val="gap"/>
    <c:showDLblsOverMax val="1"/>
  </c:chart>
  <c:spPr>
    <a:ln>
      <a:noFill/>
      <a:prstDash val="soli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autoTitleDeleted val="1"/>
    <c:plotArea>
      <c:layout/>
      <c:doughnutChart>
        <c:varyColors val="1"/>
        <c:ser>
          <c:idx val="0"/>
          <c:order val="0"/>
          <c:tx>
            <c:strRef>
              <c:f>'Tableau de bord'!$S$30</c:f>
              <c:strCache>
                <c:ptCount val="1"/>
                <c:pt idx="0">
                  <c:v>KG N</c:v>
                </c:pt>
              </c:strCache>
            </c:strRef>
          </c:tx>
          <c:spPr>
            <a:ln>
              <a:prstDash val="solid"/>
            </a:ln>
          </c:spPr>
          <c:dPt>
            <c:idx val="0"/>
            <c:bubble3D val="0"/>
            <c:spPr>
              <a:solidFill>
                <a:srgbClr val="9AA5B1"/>
              </a:solidFill>
              <a:ln>
                <a:solidFill>
                  <a:srgbClr val="FFFFFF"/>
                </a:solidFill>
                <a:prstDash val="solid"/>
              </a:ln>
            </c:spPr>
            <c:extLst>
              <c:ext xmlns:c16="http://schemas.microsoft.com/office/drawing/2014/chart" uri="{C3380CC4-5D6E-409C-BE32-E72D297353CC}">
                <c16:uniqueId val="{00000001-F6D1-40BC-8A3A-522813CFB633}"/>
              </c:ext>
            </c:extLst>
          </c:dPt>
          <c:dPt>
            <c:idx val="1"/>
            <c:bubble3D val="0"/>
            <c:spPr>
              <a:solidFill>
                <a:srgbClr val="C9922E"/>
              </a:solidFill>
              <a:ln>
                <a:solidFill>
                  <a:srgbClr val="FFFFFF"/>
                </a:solidFill>
                <a:prstDash val="solid"/>
              </a:ln>
            </c:spPr>
            <c:extLst>
              <c:ext xmlns:c16="http://schemas.microsoft.com/office/drawing/2014/chart" uri="{C3380CC4-5D6E-409C-BE32-E72D297353CC}">
                <c16:uniqueId val="{00000003-F6D1-40BC-8A3A-522813CFB633}"/>
              </c:ext>
            </c:extLst>
          </c:dPt>
          <c:dPt>
            <c:idx val="2"/>
            <c:bubble3D val="0"/>
            <c:spPr>
              <a:solidFill>
                <a:srgbClr val="E7C27A"/>
              </a:solidFill>
              <a:ln>
                <a:solidFill>
                  <a:srgbClr val="FFFFFF"/>
                </a:solidFill>
                <a:prstDash val="solid"/>
              </a:ln>
            </c:spPr>
            <c:extLst>
              <c:ext xmlns:c16="http://schemas.microsoft.com/office/drawing/2014/chart" uri="{C3380CC4-5D6E-409C-BE32-E72D297353CC}">
                <c16:uniqueId val="{00000005-F6D1-40BC-8A3A-522813CFB633}"/>
              </c:ext>
            </c:extLst>
          </c:dPt>
          <c:dPt>
            <c:idx val="3"/>
            <c:bubble3D val="0"/>
            <c:spPr>
              <a:solidFill>
                <a:srgbClr val="12A18A"/>
              </a:solidFill>
              <a:ln>
                <a:solidFill>
                  <a:srgbClr val="FFFFFF"/>
                </a:solidFill>
                <a:prstDash val="solid"/>
              </a:ln>
            </c:spPr>
            <c:extLst>
              <c:ext xmlns:c16="http://schemas.microsoft.com/office/drawing/2014/chart" uri="{C3380CC4-5D6E-409C-BE32-E72D297353CC}">
                <c16:uniqueId val="{00000007-F6D1-40BC-8A3A-522813CFB633}"/>
              </c:ext>
            </c:extLst>
          </c:dPt>
          <c:dPt>
            <c:idx val="4"/>
            <c:bubble3D val="0"/>
            <c:spPr>
              <a:solidFill>
                <a:srgbClr val="2E5C8A"/>
              </a:solidFill>
              <a:ln>
                <a:solidFill>
                  <a:srgbClr val="FFFFFF"/>
                </a:solidFill>
                <a:prstDash val="solid"/>
              </a:ln>
            </c:spPr>
            <c:extLst>
              <c:ext xmlns:c16="http://schemas.microsoft.com/office/drawing/2014/chart" uri="{C3380CC4-5D6E-409C-BE32-E72D297353CC}">
                <c16:uniqueId val="{00000009-F6D1-40BC-8A3A-522813CFB633}"/>
              </c:ext>
            </c:extLst>
          </c:dPt>
          <c:cat>
            <c:strRef>
              <c:f>'Tableau de bord'!$R$31:$R$35</c:f>
              <c:strCache>
                <c:ptCount val="5"/>
                <c:pt idx="0">
                  <c:v>Type 0</c:v>
                </c:pt>
                <c:pt idx="1">
                  <c:v>Type Ia</c:v>
                </c:pt>
                <c:pt idx="2">
                  <c:v>Type Ib</c:v>
                </c:pt>
                <c:pt idx="3">
                  <c:v>Type II</c:v>
                </c:pt>
                <c:pt idx="4">
                  <c:v>Type III</c:v>
                </c:pt>
              </c:strCache>
            </c:strRef>
          </c:cat>
          <c:val>
            <c:numRef>
              <c:f>'Tableau de bord'!$S$31:$S$35</c:f>
              <c:numCache>
                <c:formatCode>#,##0;\-#,##0;"–"</c:formatCode>
                <c:ptCount val="5"/>
                <c:pt idx="0">
                  <c:v>0</c:v>
                </c:pt>
                <c:pt idx="1">
                  <c:v>6545.1500000000005</c:v>
                </c:pt>
                <c:pt idx="2">
                  <c:v>0</c:v>
                </c:pt>
                <c:pt idx="3">
                  <c:v>13091.349999999999</c:v>
                </c:pt>
                <c:pt idx="4">
                  <c:v>6805.2539999999999</c:v>
                </c:pt>
              </c:numCache>
            </c:numRef>
          </c:val>
          <c:extLst>
            <c:ext xmlns:c16="http://schemas.microsoft.com/office/drawing/2014/chart" uri="{C3380CC4-5D6E-409C-BE32-E72D297353CC}">
              <c16:uniqueId val="{0000000A-F6D1-40BC-8A3A-522813CFB633}"/>
            </c:ext>
          </c:extLst>
        </c:ser>
        <c:dLbls>
          <c:showLegendKey val="0"/>
          <c:showVal val="0"/>
          <c:showCatName val="0"/>
          <c:showSerName val="0"/>
          <c:showPercent val="0"/>
          <c:showBubbleSize val="0"/>
          <c:showLeaderLines val="1"/>
        </c:dLbls>
        <c:firstSliceAng val="0"/>
        <c:holeSize val="58"/>
      </c:doughnutChart>
    </c:plotArea>
    <c:legend>
      <c:legendPos val="b"/>
      <c:overlay val="1"/>
      <c:txPr>
        <a:bodyPr/>
        <a:lstStyle/>
        <a:p>
          <a:pPr>
            <a:defRPr sz="800">
              <a:solidFill>
                <a:srgbClr val="3E4C59"/>
              </a:solidFill>
              <a:latin typeface="Calibri"/>
            </a:defRPr>
          </a:pPr>
          <a:endParaRPr lang="de-DE"/>
        </a:p>
      </c:txPr>
    </c:legend>
    <c:plotVisOnly val="1"/>
    <c:dispBlanksAs val="gap"/>
    <c:showDLblsOverMax val="1"/>
  </c:chart>
  <c:spPr>
    <a:ln>
      <a:noFill/>
      <a:prstDash val="soli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11206</xdr:colOff>
      <xdr:row>13</xdr:row>
      <xdr:rowOff>11205</xdr:rowOff>
    </xdr:from>
    <xdr:ext cx="6813176" cy="3361765"/>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17</xdr:col>
      <xdr:colOff>22412</xdr:colOff>
      <xdr:row>36</xdr:row>
      <xdr:rowOff>0</xdr:rowOff>
    </xdr:from>
    <xdr:ext cx="2140323" cy="2736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253D"/>
    <pageSetUpPr fitToPage="1"/>
  </sheetPr>
  <dimension ref="A1:AA54"/>
  <sheetViews>
    <sheetView showGridLines="0" tabSelected="1" zoomScale="85" workbookViewId="0">
      <selection activeCell="AD47" sqref="AD47"/>
    </sheetView>
  </sheetViews>
  <sheetFormatPr baseColWidth="10" defaultColWidth="9.140625" defaultRowHeight="15" outlineLevelCol="1" x14ac:dyDescent="0.25"/>
  <cols>
    <col min="1" max="1" width="2" customWidth="1"/>
    <col min="2" max="4" width="11" customWidth="1"/>
    <col min="5" max="5" width="2" customWidth="1"/>
    <col min="6" max="8" width="11" customWidth="1"/>
    <col min="9" max="9" width="2" customWidth="1"/>
    <col min="10" max="12" width="11" customWidth="1"/>
    <col min="13" max="13" width="2" customWidth="1"/>
    <col min="14" max="16" width="11" customWidth="1"/>
    <col min="17" max="17" width="2" customWidth="1"/>
    <col min="18" max="20" width="11" customWidth="1"/>
    <col min="21" max="21" width="2" customWidth="1"/>
    <col min="22" max="22" width="3" customWidth="1"/>
    <col min="23" max="26" width="12" hidden="1" customWidth="1" outlineLevel="1"/>
    <col min="27" max="27" width="9.140625" collapsed="1"/>
  </cols>
  <sheetData>
    <row r="1" spans="1:26" ht="8.1" customHeight="1" x14ac:dyDescent="0.25">
      <c r="A1" s="1"/>
      <c r="B1" s="1"/>
      <c r="C1" s="1"/>
      <c r="D1" s="1"/>
      <c r="E1" s="1"/>
      <c r="F1" s="1"/>
      <c r="G1" s="1"/>
      <c r="H1" s="1"/>
      <c r="I1" s="1"/>
      <c r="J1" s="1"/>
      <c r="K1" s="1"/>
      <c r="L1" s="1"/>
      <c r="M1" s="1"/>
      <c r="N1" s="1"/>
      <c r="O1" s="1"/>
      <c r="P1" s="1"/>
      <c r="Q1" s="1"/>
      <c r="R1" s="1"/>
      <c r="S1" s="1"/>
      <c r="T1" s="1"/>
      <c r="U1" s="1"/>
    </row>
    <row r="2" spans="1:26" ht="32.1" customHeight="1" x14ac:dyDescent="0.25">
      <c r="A2" s="1"/>
      <c r="B2" s="2" t="s">
        <v>0</v>
      </c>
      <c r="C2" s="1"/>
      <c r="D2" s="1"/>
      <c r="E2" s="1"/>
      <c r="F2" s="1"/>
      <c r="G2" s="1"/>
      <c r="H2" s="1"/>
      <c r="I2" s="1"/>
      <c r="J2" s="1"/>
      <c r="K2" s="1"/>
      <c r="L2" s="1"/>
      <c r="M2" s="1"/>
      <c r="N2" s="1"/>
      <c r="O2" s="1"/>
      <c r="P2" s="1"/>
      <c r="Q2" s="1"/>
      <c r="R2" s="1"/>
      <c r="S2" s="1"/>
      <c r="T2" s="3" t="str">
        <f>RaisonSociale</f>
        <v>SCEA du Val de Mérienne</v>
      </c>
      <c r="U2" s="1"/>
    </row>
    <row r="3" spans="1:26" ht="24" customHeight="1" x14ac:dyDescent="0.25">
      <c r="A3" s="1"/>
      <c r="B3" s="4" t="str">
        <f>"Tableau de bord de la campagne "&amp;(AnneeRecolte-1)&amp;"-"&amp;AnneeRecolte&amp;"  ·  récolte "&amp;AnneeRecolte</f>
        <v>Tableau de bord de la campagne 2026-2027  ·  récolte 2027</v>
      </c>
      <c r="C3" s="1"/>
      <c r="D3" s="1"/>
      <c r="E3" s="1"/>
      <c r="F3" s="1"/>
      <c r="G3" s="1"/>
      <c r="H3" s="1"/>
      <c r="I3" s="1"/>
      <c r="J3" s="1"/>
      <c r="K3" s="1"/>
      <c r="L3" s="1"/>
      <c r="M3" s="1"/>
      <c r="N3" s="129" t="s">
        <v>1</v>
      </c>
      <c r="O3" s="130"/>
      <c r="P3" s="130"/>
      <c r="Q3" s="130"/>
      <c r="R3" s="130"/>
      <c r="S3" s="130"/>
      <c r="T3" s="5">
        <f>IF(COUNT(Registre!$C$8:$C$507)=0,"",MAX(Registre!$C$8:$C$507))</f>
        <v>46552</v>
      </c>
      <c r="U3" s="1"/>
    </row>
    <row r="4" spans="1:26" ht="3" customHeight="1" x14ac:dyDescent="0.25">
      <c r="A4" s="6"/>
      <c r="B4" s="6"/>
      <c r="C4" s="6"/>
      <c r="D4" s="6"/>
      <c r="E4" s="6"/>
      <c r="F4" s="6"/>
      <c r="G4" s="6"/>
      <c r="H4" s="6"/>
      <c r="I4" s="6"/>
      <c r="J4" s="6"/>
      <c r="K4" s="6"/>
      <c r="L4" s="6"/>
      <c r="M4" s="6"/>
      <c r="N4" s="6"/>
      <c r="O4" s="6"/>
      <c r="P4" s="6"/>
      <c r="Q4" s="6"/>
      <c r="R4" s="6"/>
      <c r="S4" s="6"/>
      <c r="T4" s="6"/>
      <c r="U4" s="6"/>
    </row>
    <row r="5" spans="1:26" ht="24" customHeight="1" x14ac:dyDescent="0.25">
      <c r="A5" s="7"/>
      <c r="B5" s="8" t="s">
        <v>2</v>
      </c>
      <c r="C5" s="8" t="s">
        <v>3</v>
      </c>
      <c r="D5" s="8" t="s">
        <v>4</v>
      </c>
      <c r="E5" s="7"/>
      <c r="F5" s="137" t="s">
        <v>5</v>
      </c>
      <c r="G5" s="130"/>
      <c r="H5" s="8" t="s">
        <v>6</v>
      </c>
      <c r="I5" s="7"/>
      <c r="J5" s="137" t="s">
        <v>7</v>
      </c>
      <c r="K5" s="130"/>
      <c r="L5" s="137" t="s">
        <v>8</v>
      </c>
      <c r="M5" s="130"/>
      <c r="N5" s="130"/>
      <c r="O5" s="7"/>
      <c r="P5" s="7"/>
      <c r="Q5" s="7"/>
      <c r="R5" s="7"/>
      <c r="S5" s="7"/>
      <c r="T5" s="7"/>
      <c r="U5" s="7"/>
    </row>
    <row r="6" spans="1:26" ht="6" customHeight="1" x14ac:dyDescent="0.25">
      <c r="A6" s="7"/>
      <c r="B6" s="7"/>
      <c r="C6" s="7"/>
      <c r="D6" s="7"/>
      <c r="E6" s="7"/>
      <c r="F6" s="7"/>
      <c r="G6" s="7"/>
      <c r="H6" s="7"/>
      <c r="I6" s="7"/>
      <c r="J6" s="7"/>
      <c r="K6" s="7"/>
      <c r="L6" s="7"/>
      <c r="M6" s="7"/>
      <c r="N6" s="7"/>
      <c r="O6" s="7"/>
      <c r="P6" s="7"/>
      <c r="Q6" s="7"/>
      <c r="R6" s="7"/>
      <c r="S6" s="7"/>
      <c r="T6" s="7"/>
      <c r="U6" s="7"/>
    </row>
    <row r="7" spans="1:26" ht="20.100000000000001" customHeight="1" x14ac:dyDescent="0.25">
      <c r="A7" s="7"/>
      <c r="B7" s="126" t="s">
        <v>9</v>
      </c>
      <c r="C7" s="127"/>
      <c r="D7" s="128"/>
      <c r="E7" s="7"/>
      <c r="F7" s="126" t="s">
        <v>10</v>
      </c>
      <c r="G7" s="127"/>
      <c r="H7" s="128"/>
      <c r="I7" s="7"/>
      <c r="J7" s="126" t="s">
        <v>11</v>
      </c>
      <c r="K7" s="127"/>
      <c r="L7" s="128"/>
      <c r="M7" s="7"/>
      <c r="N7" s="126" t="s">
        <v>12</v>
      </c>
      <c r="O7" s="127"/>
      <c r="P7" s="128"/>
      <c r="Q7" s="7"/>
      <c r="R7" s="126" t="s">
        <v>13</v>
      </c>
      <c r="S7" s="127"/>
      <c r="T7" s="128"/>
      <c r="U7" s="7"/>
    </row>
    <row r="8" spans="1:26" ht="21" customHeight="1" x14ac:dyDescent="0.25">
      <c r="A8" s="7"/>
      <c r="B8" s="145">
        <f>COUNT(Registre!$C$8:$C$507)</f>
        <v>29</v>
      </c>
      <c r="C8" s="130"/>
      <c r="D8" s="133"/>
      <c r="E8" s="7"/>
      <c r="F8" s="146">
        <f>SUM(Registre!$Q$8:$Q$507)</f>
        <v>26441.754000000001</v>
      </c>
      <c r="G8" s="130"/>
      <c r="H8" s="133"/>
      <c r="I8" s="7"/>
      <c r="J8" s="132">
        <f>IFERROR(SUMIFS(Registre!$Q$8:$Q$507,Registre!$AM$8:$AM$507,1)/SAU,0)</f>
        <v>153.62872387727879</v>
      </c>
      <c r="K8" s="130"/>
      <c r="L8" s="133"/>
      <c r="M8" s="7"/>
      <c r="N8" s="150">
        <f>COUNTIF($H$15:$H$24,"Conforme")</f>
        <v>3</v>
      </c>
      <c r="O8" s="130"/>
      <c r="P8" s="133"/>
      <c r="Q8" s="7"/>
      <c r="R8" s="142">
        <f>SUM(Fertilisants!$R$8:$R$47)</f>
        <v>11850.735000000001</v>
      </c>
      <c r="S8" s="130"/>
      <c r="T8" s="133"/>
      <c r="U8" s="7"/>
    </row>
    <row r="9" spans="1:26" ht="21" customHeight="1" x14ac:dyDescent="0.25">
      <c r="A9" s="7"/>
      <c r="B9" s="134"/>
      <c r="C9" s="130"/>
      <c r="D9" s="133"/>
      <c r="E9" s="7"/>
      <c r="F9" s="134"/>
      <c r="G9" s="130"/>
      <c r="H9" s="133"/>
      <c r="I9" s="7"/>
      <c r="J9" s="134"/>
      <c r="K9" s="130"/>
      <c r="L9" s="133"/>
      <c r="M9" s="7"/>
      <c r="N9" s="134"/>
      <c r="O9" s="130"/>
      <c r="P9" s="133"/>
      <c r="Q9" s="7"/>
      <c r="R9" s="134"/>
      <c r="S9" s="130"/>
      <c r="T9" s="133"/>
      <c r="U9" s="7"/>
    </row>
    <row r="10" spans="1:26" ht="18" customHeight="1" x14ac:dyDescent="0.25">
      <c r="A10" s="7"/>
      <c r="B10" s="136" t="str">
        <f>"sur "&amp;COUNTIF(Îlots!$X$8:$X$57,"&gt;0")&amp;" îlots fertilisés"</f>
        <v>sur 9 îlots fertilisés</v>
      </c>
      <c r="C10" s="130"/>
      <c r="D10" s="133"/>
      <c r="E10" s="7"/>
      <c r="F10" s="136" t="str">
        <f>"soit "&amp;ROUND(IFERROR(SUM(Registre!$Q$8:$Q$507)/SAU,0),0)&amp;" kg N par ha de SAU"</f>
        <v>soit 235 kg N par ha de SAU</v>
      </c>
      <c r="G10" s="130"/>
      <c r="H10" s="133"/>
      <c r="I10" s="7"/>
      <c r="J10" s="136" t="str">
        <f>ROUND(IFERROR(J8/PlafondN,0)*100,0)&amp;" % du plafond de "&amp;PlafondN&amp;" kg N/ha SAU"</f>
        <v>90 % du plafond de 170 kg N/ha SAU</v>
      </c>
      <c r="K10" s="130"/>
      <c r="L10" s="133"/>
      <c r="M10" s="7"/>
      <c r="N10" s="136" t="str">
        <f>COUNTIF($H$15:$H$24,"Non conforme")&amp;" non conforme(s) · "&amp;COUNTIF($H$15:$H$24,"Vigilance")&amp;" en vigilance"</f>
        <v>3 non conforme(s) · 4 en vigilance</v>
      </c>
      <c r="O10" s="130"/>
      <c r="P10" s="133"/>
      <c r="Q10" s="7"/>
      <c r="R10" s="136" t="str">
        <f>"soit "&amp;ROUND(IFERROR(R8/SAU,0),0)&amp;" € par ha de SAU"</f>
        <v>soit 105 € par ha de SAU</v>
      </c>
      <c r="S10" s="130"/>
      <c r="T10" s="133"/>
      <c r="U10" s="7"/>
    </row>
    <row r="11" spans="1:26" ht="9" customHeight="1" x14ac:dyDescent="0.25">
      <c r="A11" s="7"/>
      <c r="B11" s="109"/>
      <c r="C11" s="110"/>
      <c r="D11" s="111"/>
      <c r="E11" s="7"/>
      <c r="F11" s="109"/>
      <c r="G11" s="110"/>
      <c r="H11" s="111"/>
      <c r="I11" s="7"/>
      <c r="J11" s="118">
        <f>IFERROR(J8/PlafondN,0)</f>
        <v>0.90369837574869871</v>
      </c>
      <c r="K11" s="110"/>
      <c r="L11" s="111"/>
      <c r="M11" s="7"/>
      <c r="N11" s="118">
        <f>N8/10</f>
        <v>0.3</v>
      </c>
      <c r="O11" s="110"/>
      <c r="P11" s="111"/>
      <c r="Q11" s="7"/>
      <c r="R11" s="109"/>
      <c r="S11" s="110"/>
      <c r="T11" s="111"/>
      <c r="U11" s="7"/>
    </row>
    <row r="12" spans="1:26" ht="14.1" customHeight="1" x14ac:dyDescent="0.25">
      <c r="A12" s="7"/>
      <c r="B12" s="7"/>
      <c r="C12" s="7"/>
      <c r="D12" s="7"/>
      <c r="E12" s="7"/>
      <c r="F12" s="7"/>
      <c r="G12" s="7"/>
      <c r="H12" s="7"/>
      <c r="I12" s="7"/>
      <c r="J12" s="7"/>
      <c r="K12" s="7"/>
      <c r="L12" s="7"/>
      <c r="M12" s="7"/>
      <c r="N12" s="7"/>
      <c r="O12" s="7"/>
      <c r="P12" s="7"/>
      <c r="Q12" s="7"/>
      <c r="R12" s="7"/>
      <c r="S12" s="7"/>
      <c r="T12" s="7"/>
      <c r="U12" s="7"/>
    </row>
    <row r="13" spans="1:26" ht="26.1" customHeight="1" x14ac:dyDescent="0.25">
      <c r="A13" s="7"/>
      <c r="B13" s="139" t="s">
        <v>14</v>
      </c>
      <c r="C13" s="140"/>
      <c r="D13" s="140"/>
      <c r="E13" s="140"/>
      <c r="F13" s="140"/>
      <c r="G13" s="140"/>
      <c r="H13" s="141"/>
      <c r="I13" s="7"/>
      <c r="J13" s="139" t="s">
        <v>15</v>
      </c>
      <c r="K13" s="140"/>
      <c r="L13" s="140"/>
      <c r="M13" s="140"/>
      <c r="N13" s="140"/>
      <c r="O13" s="140"/>
      <c r="P13" s="140"/>
      <c r="Q13" s="140"/>
      <c r="R13" s="140"/>
      <c r="S13" s="140"/>
      <c r="T13" s="141"/>
      <c r="U13" s="7"/>
      <c r="W13" s="9" t="s">
        <v>16</v>
      </c>
      <c r="X13" s="9" t="s">
        <v>17</v>
      </c>
      <c r="Y13" s="9" t="s">
        <v>18</v>
      </c>
      <c r="Z13" s="9" t="s">
        <v>19</v>
      </c>
    </row>
    <row r="14" spans="1:26" ht="20.100000000000001" customHeight="1" x14ac:dyDescent="0.25">
      <c r="A14" s="7"/>
      <c r="B14" s="125" t="s">
        <v>20</v>
      </c>
      <c r="C14" s="122"/>
      <c r="D14" s="122"/>
      <c r="E14" s="122"/>
      <c r="F14" s="147" t="s">
        <v>21</v>
      </c>
      <c r="G14" s="122"/>
      <c r="H14" s="11" t="s">
        <v>22</v>
      </c>
      <c r="I14" s="7"/>
      <c r="J14" s="12"/>
      <c r="K14" s="13"/>
      <c r="L14" s="13"/>
      <c r="M14" s="13"/>
      <c r="N14" s="13"/>
      <c r="O14" s="13"/>
      <c r="P14" s="13"/>
      <c r="Q14" s="13"/>
      <c r="R14" s="13"/>
      <c r="S14" s="13"/>
      <c r="T14" s="14"/>
      <c r="U14" s="7"/>
      <c r="W14" s="15" t="str">
        <f>CHOOSE(MONTH(DATE(AnneeRecolte-1,9,1)),"janv.","févr.","mars","avr.","mai","juin","juil.","août","sept.","oct.","nov.","déc.")&amp;" "&amp;MOD(YEAR(DATE(AnneeRecolte-1,9,1)),100)</f>
        <v>sept. 26</v>
      </c>
      <c r="X14" s="16">
        <f>SUMIFS(Registre!$Q$8:$Q$507,Registre!$AN$8:$AN$507,"Organique",Registre!$C$8:$C$507,"&gt;="&amp;DATE(AnneeRecolte-1,9,1),Registre!$C$8:$C$507,"&lt;"&amp;DATE(AnneeRecolte-1,10,1))</f>
        <v>7412.55</v>
      </c>
      <c r="Y14" s="16">
        <f>SUMIFS(Registre!$Q$8:$Q$507,Registre!$AN$8:$AN$507,"Minéral",Registre!$C$8:$C$507,"&gt;="&amp;DATE(AnneeRecolte-1,9,1),Registre!$C$8:$C$507,"&lt;"&amp;DATE(AnneeRecolte-1,10,1))</f>
        <v>0</v>
      </c>
      <c r="Z14" s="16">
        <f t="shared" ref="Z14:Z25" si="0">X14+Y14</f>
        <v>7412.55</v>
      </c>
    </row>
    <row r="15" spans="1:26" ht="21" customHeight="1" x14ac:dyDescent="0.25">
      <c r="A15" s="7"/>
      <c r="B15" s="123" t="s">
        <v>23</v>
      </c>
      <c r="C15" s="116"/>
      <c r="D15" s="116"/>
      <c r="E15" s="116"/>
      <c r="F15" s="115" t="str">
        <f>ROUND($J$8,0)&amp;" kg N/ha"</f>
        <v>154 kg N/ha</v>
      </c>
      <c r="G15" s="116"/>
      <c r="H15" s="17" t="str">
        <f>IF($J$8&gt;PlafondN,"Non conforme",IF($J$8&gt;0.9*PlafondN,"Vigilance","Conforme"))</f>
        <v>Vigilance</v>
      </c>
      <c r="I15" s="7"/>
      <c r="J15" s="12"/>
      <c r="K15" s="13"/>
      <c r="L15" s="13"/>
      <c r="M15" s="13"/>
      <c r="N15" s="13"/>
      <c r="O15" s="13"/>
      <c r="P15" s="13"/>
      <c r="Q15" s="13"/>
      <c r="R15" s="13"/>
      <c r="S15" s="13"/>
      <c r="T15" s="14"/>
      <c r="U15" s="7"/>
      <c r="W15" s="15" t="str">
        <f>CHOOSE(MONTH(DATE(AnneeRecolte-1,10,1)),"janv.","févr.","mars","avr.","mai","juin","juil.","août","sept.","oct.","nov.","déc.")&amp;" "&amp;MOD(YEAR(DATE(AnneeRecolte-1,10,1)),100)</f>
        <v>oct. 26</v>
      </c>
      <c r="X15" s="16">
        <f>SUMIFS(Registre!$Q$8:$Q$507,Registre!$AN$8:$AN$507,"Organique",Registre!$C$8:$C$507,"&gt;="&amp;DATE(AnneeRecolte-1,10,1),Registre!$C$8:$C$507,"&lt;"&amp;DATE(AnneeRecolte-1,11,1))</f>
        <v>804.6</v>
      </c>
      <c r="Y15" s="16">
        <f>SUMIFS(Registre!$Q$8:$Q$507,Registre!$AN$8:$AN$507,"Minéral",Registre!$C$8:$C$507,"&gt;="&amp;DATE(AnneeRecolte-1,10,1),Registre!$C$8:$C$507,"&lt;"&amp;DATE(AnneeRecolte-1,11,1))</f>
        <v>0</v>
      </c>
      <c r="Z15" s="16">
        <f t="shared" si="0"/>
        <v>804.6</v>
      </c>
    </row>
    <row r="16" spans="1:26" ht="21" customHeight="1" x14ac:dyDescent="0.25">
      <c r="A16" s="7"/>
      <c r="B16" s="123" t="s">
        <v>24</v>
      </c>
      <c r="C16" s="116"/>
      <c r="D16" s="116"/>
      <c r="E16" s="116"/>
      <c r="F16" s="115" t="str">
        <f>IF((COUNTIF(Registre!$W$8:$W$507,"Période interdite"))=0,"Aucun",(COUNTIF(Registre!$W$8:$W$507,"Période interdite"))&amp;IF((COUNTIF(Registre!$W$8:$W$507,"Période interdite"))&gt;1," apports"," apport"))</f>
        <v>1 apport</v>
      </c>
      <c r="G16" s="116"/>
      <c r="H16" s="17" t="str">
        <f>IF((COUNTIF(Registre!$W$8:$W$507,"Période interdite"))&gt;0,"Non conforme","Conforme")</f>
        <v>Non conforme</v>
      </c>
      <c r="I16" s="7"/>
      <c r="J16" s="12"/>
      <c r="K16" s="13"/>
      <c r="L16" s="13"/>
      <c r="M16" s="13"/>
      <c r="N16" s="13"/>
      <c r="O16" s="13"/>
      <c r="P16" s="13"/>
      <c r="Q16" s="13"/>
      <c r="R16" s="13"/>
      <c r="S16" s="13"/>
      <c r="T16" s="14"/>
      <c r="U16" s="7"/>
      <c r="W16" s="15" t="str">
        <f>CHOOSE(MONTH(DATE(AnneeRecolte-1,11,1)),"janv.","févr.","mars","avr.","mai","juin","juil.","août","sept.","oct.","nov.","déc.")&amp;" "&amp;MOD(YEAR(DATE(AnneeRecolte-1,11,1)),100)</f>
        <v>nov. 26</v>
      </c>
      <c r="X16" s="16">
        <f>SUMIFS(Registre!$Q$8:$Q$507,Registre!$AN$8:$AN$507,"Organique",Registre!$C$8:$C$507,"&gt;="&amp;DATE(AnneeRecolte-1,11,1),Registre!$C$8:$C$507,"&lt;"&amp;DATE(AnneeRecolte-1,12,1))</f>
        <v>1944</v>
      </c>
      <c r="Y16" s="16">
        <f>SUMIFS(Registre!$Q$8:$Q$507,Registre!$AN$8:$AN$507,"Minéral",Registre!$C$8:$C$507,"&gt;="&amp;DATE(AnneeRecolte-1,11,1),Registre!$C$8:$C$507,"&lt;"&amp;DATE(AnneeRecolte-1,12,1))</f>
        <v>0</v>
      </c>
      <c r="Z16" s="16">
        <f t="shared" si="0"/>
        <v>1944</v>
      </c>
    </row>
    <row r="17" spans="1:26" ht="21" customHeight="1" x14ac:dyDescent="0.25">
      <c r="A17" s="7"/>
      <c r="B17" s="123" t="s">
        <v>25</v>
      </c>
      <c r="C17" s="116"/>
      <c r="D17" s="116"/>
      <c r="E17" s="116"/>
      <c r="F17" s="115" t="str">
        <f>IF((COUNTIF(Registre!$W$8:$W$507,"Sol interdit"))=0,"Aucun",(COUNTIF(Registre!$W$8:$W$507,"Sol interdit"))&amp;IF((COUNTIF(Registre!$W$8:$W$507,"Sol interdit"))&gt;1," apports"," apport"))</f>
        <v>1 apport</v>
      </c>
      <c r="G17" s="116"/>
      <c r="H17" s="17" t="str">
        <f>IF((COUNTIF(Registre!$W$8:$W$507,"Sol interdit"))&gt;0,"Non conforme","Conforme")</f>
        <v>Non conforme</v>
      </c>
      <c r="I17" s="7"/>
      <c r="J17" s="12"/>
      <c r="K17" s="13"/>
      <c r="L17" s="13"/>
      <c r="M17" s="13"/>
      <c r="N17" s="13"/>
      <c r="O17" s="13"/>
      <c r="P17" s="13"/>
      <c r="Q17" s="13"/>
      <c r="R17" s="13"/>
      <c r="S17" s="13"/>
      <c r="T17" s="14"/>
      <c r="U17" s="7"/>
      <c r="W17" s="15" t="str">
        <f>CHOOSE(MONTH(DATE(AnneeRecolte-1,12,1)),"janv.","févr.","mars","avr.","mai","juin","juil.","août","sept.","oct.","nov.","déc.")&amp;" "&amp;MOD(YEAR(DATE(AnneeRecolte-1,12,1)),100)</f>
        <v>déc. 26</v>
      </c>
      <c r="X17" s="16">
        <f>SUMIFS(Registre!$Q$8:$Q$507,Registre!$AN$8:$AN$507,"Organique",Registre!$C$8:$C$507,"&gt;="&amp;DATE(AnneeRecolte-1,12,1),Registre!$C$8:$C$507,"&lt;"&amp;DATE(AnneeRecolte-1,13,1))</f>
        <v>0</v>
      </c>
      <c r="Y17" s="16">
        <f>SUMIFS(Registre!$Q$8:$Q$507,Registre!$AN$8:$AN$507,"Minéral",Registre!$C$8:$C$507,"&gt;="&amp;DATE(AnneeRecolte-1,12,1),Registre!$C$8:$C$507,"&lt;"&amp;DATE(AnneeRecolte-1,13,1))</f>
        <v>0</v>
      </c>
      <c r="Z17" s="16">
        <f t="shared" si="0"/>
        <v>0</v>
      </c>
    </row>
    <row r="18" spans="1:26" ht="21" customHeight="1" x14ac:dyDescent="0.25">
      <c r="A18" s="7"/>
      <c r="B18" s="123" t="s">
        <v>26</v>
      </c>
      <c r="C18" s="116"/>
      <c r="D18" s="116"/>
      <c r="E18" s="116"/>
      <c r="F18" s="115" t="str">
        <f>IF((COUNTIF(Îlots!$Y$8:$Y$57,"Dépassement PPF"))=0,"Aucun",(COUNTIF(Îlots!$Y$8:$Y$57,"Dépassement PPF"))&amp;IF((COUNTIF(Îlots!$Y$8:$Y$57,"Dépassement PPF"))&gt;1," îlots"," îlot"))</f>
        <v>1 îlot</v>
      </c>
      <c r="G18" s="116"/>
      <c r="H18" s="17" t="str">
        <f>IF((COUNTIF(Îlots!$Y$8:$Y$57,"Dépassement PPF"))&gt;0,"Non conforme","Conforme")</f>
        <v>Non conforme</v>
      </c>
      <c r="I18" s="7"/>
      <c r="J18" s="12"/>
      <c r="K18" s="13"/>
      <c r="L18" s="13"/>
      <c r="M18" s="13"/>
      <c r="N18" s="13"/>
      <c r="O18" s="13"/>
      <c r="P18" s="13"/>
      <c r="Q18" s="13"/>
      <c r="R18" s="13"/>
      <c r="S18" s="13"/>
      <c r="T18" s="14"/>
      <c r="U18" s="7"/>
      <c r="W18" s="15" t="str">
        <f>CHOOSE(MONTH(DATE(AnneeRecolte-1,13,1)),"janv.","févr.","mars","avr.","mai","juin","juil.","août","sept.","oct.","nov.","déc.")&amp;" "&amp;MOD(YEAR(DATE(AnneeRecolte-1,13,1)),100)</f>
        <v>janv. 27</v>
      </c>
      <c r="X18" s="16">
        <f>SUMIFS(Registre!$Q$8:$Q$507,Registre!$AN$8:$AN$507,"Organique",Registre!$C$8:$C$507,"&gt;="&amp;DATE(AnneeRecolte-1,13,1),Registre!$C$8:$C$507,"&lt;"&amp;DATE(AnneeRecolte-1,14,1))</f>
        <v>0</v>
      </c>
      <c r="Y18" s="16">
        <f>SUMIFS(Registre!$Q$8:$Q$507,Registre!$AN$8:$AN$507,"Minéral",Registre!$C$8:$C$507,"&gt;="&amp;DATE(AnneeRecolte-1,13,1),Registre!$C$8:$C$507,"&lt;"&amp;DATE(AnneeRecolte-1,14,1))</f>
        <v>0</v>
      </c>
      <c r="Z18" s="16">
        <f t="shared" si="0"/>
        <v>0</v>
      </c>
    </row>
    <row r="19" spans="1:26" ht="21" customHeight="1" x14ac:dyDescent="0.25">
      <c r="A19" s="7"/>
      <c r="B19" s="123" t="s">
        <v>27</v>
      </c>
      <c r="C19" s="116"/>
      <c r="D19" s="116"/>
      <c r="E19" s="116"/>
      <c r="F19" s="115" t="str">
        <f>IF((COUNTIF(Îlots!$Y$8:$Y$57,"PPF à renseigner"))=0,"Aucun",(COUNTIF(Îlots!$Y$8:$Y$57,"PPF à renseigner"))&amp;IF((COUNTIF(Îlots!$Y$8:$Y$57,"PPF à renseigner"))&gt;1," îlots"," îlot"))</f>
        <v>Aucun</v>
      </c>
      <c r="G19" s="116"/>
      <c r="H19" s="17" t="str">
        <f>IF((COUNTIF(Îlots!$Y$8:$Y$57,"PPF à renseigner"))&gt;0,"Vigilance","Conforme")</f>
        <v>Conforme</v>
      </c>
      <c r="I19" s="7"/>
      <c r="J19" s="12"/>
      <c r="K19" s="13"/>
      <c r="L19" s="13"/>
      <c r="M19" s="13"/>
      <c r="N19" s="13"/>
      <c r="O19" s="13"/>
      <c r="P19" s="13"/>
      <c r="Q19" s="13"/>
      <c r="R19" s="13"/>
      <c r="S19" s="13"/>
      <c r="T19" s="14"/>
      <c r="U19" s="7"/>
      <c r="W19" s="15" t="str">
        <f>CHOOSE(MONTH(DATE(AnneeRecolte-1,14,1)),"janv.","févr.","mars","avr.","mai","juin","juil.","août","sept.","oct.","nov.","déc.")&amp;" "&amp;MOD(YEAR(DATE(AnneeRecolte-1,14,1)),100)</f>
        <v>févr. 27</v>
      </c>
      <c r="X19" s="16">
        <f>SUMIFS(Registre!$Q$8:$Q$507,Registre!$AN$8:$AN$507,"Organique",Registre!$C$8:$C$507,"&gt;="&amp;DATE(AnneeRecolte-1,14,1),Registre!$C$8:$C$507,"&lt;"&amp;DATE(AnneeRecolte-1,15,1))</f>
        <v>1850</v>
      </c>
      <c r="Y19" s="16">
        <f>SUMIFS(Registre!$Q$8:$Q$507,Registre!$AN$8:$AN$507,"Minéral",Registre!$C$8:$C$507,"&gt;="&amp;DATE(AnneeRecolte-1,14,1),Registre!$C$8:$C$507,"&lt;"&amp;DATE(AnneeRecolte-1,15,1))</f>
        <v>1377.5474999999999</v>
      </c>
      <c r="Z19" s="16">
        <f t="shared" si="0"/>
        <v>3227.5474999999997</v>
      </c>
    </row>
    <row r="20" spans="1:26" ht="21" customHeight="1" x14ac:dyDescent="0.25">
      <c r="A20" s="7"/>
      <c r="B20" s="123" t="s">
        <v>28</v>
      </c>
      <c r="C20" s="116"/>
      <c r="D20" s="116"/>
      <c r="E20" s="116"/>
      <c r="F20" s="115" t="str">
        <f>IF((COUNTIF(Registre!$W$8:$W$507,"Surface &gt; îlot"))=0,"Aucun",(COUNTIF(Registre!$W$8:$W$507,"Surface &gt; îlot"))&amp;IF((COUNTIF(Registre!$W$8:$W$507,"Surface &gt; îlot"))&gt;1," lignes"," ligne"))</f>
        <v>Aucun</v>
      </c>
      <c r="G20" s="116"/>
      <c r="H20" s="17" t="str">
        <f>IF((COUNTIF(Registre!$W$8:$W$507,"Surface &gt; îlot"))&gt;0,"Vigilance","Conforme")</f>
        <v>Conforme</v>
      </c>
      <c r="I20" s="7"/>
      <c r="J20" s="12"/>
      <c r="K20" s="13"/>
      <c r="L20" s="13"/>
      <c r="M20" s="13"/>
      <c r="N20" s="13"/>
      <c r="O20" s="13"/>
      <c r="P20" s="13"/>
      <c r="Q20" s="13"/>
      <c r="R20" s="13"/>
      <c r="S20" s="13"/>
      <c r="T20" s="14"/>
      <c r="U20" s="7"/>
      <c r="W20" s="15" t="str">
        <f>CHOOSE(MONTH(DATE(AnneeRecolte-1,15,1)),"janv.","févr.","mars","avr.","mai","juin","juil.","août","sept.","oct.","nov.","déc.")&amp;" "&amp;MOD(YEAR(DATE(AnneeRecolte-1,15,1)),100)</f>
        <v>mars 27</v>
      </c>
      <c r="X20" s="16">
        <f>SUMIFS(Registre!$Q$8:$Q$507,Registre!$AN$8:$AN$507,"Organique",Registre!$C$8:$C$507,"&gt;="&amp;DATE(AnneeRecolte-1,15,1),Registre!$C$8:$C$507,"&lt;"&amp;DATE(AnneeRecolte-1,16,1))</f>
        <v>2897.35</v>
      </c>
      <c r="Y20" s="16">
        <f>SUMIFS(Registre!$Q$8:$Q$507,Registre!$AN$8:$AN$507,"Minéral",Registre!$C$8:$C$507,"&gt;="&amp;DATE(AnneeRecolte-1,15,1),Registre!$C$8:$C$507,"&lt;"&amp;DATE(AnneeRecolte-1,16,1))</f>
        <v>2088.7515000000003</v>
      </c>
      <c r="Z20" s="16">
        <f t="shared" si="0"/>
        <v>4986.1015000000007</v>
      </c>
    </row>
    <row r="21" spans="1:26" ht="21" customHeight="1" x14ac:dyDescent="0.25">
      <c r="A21" s="7"/>
      <c r="B21" s="123" t="s">
        <v>29</v>
      </c>
      <c r="C21" s="116"/>
      <c r="D21" s="116"/>
      <c r="E21" s="116"/>
      <c r="F21" s="115" t="str">
        <f>IF((COUNTIF(Registre!$W$8:$W$507,"Incomplet")+COUNTIF(Registre!$W$8:$W$507,"Hors campagne"))=0,"Aucun",(COUNTIF(Registre!$W$8:$W$507,"Incomplet")+COUNTIF(Registre!$W$8:$W$507,"Hors campagne"))&amp;IF((COUNTIF(Registre!$W$8:$W$507,"Incomplet")+COUNTIF(Registre!$W$8:$W$507,"Hors campagne"))&gt;1," lignes"," ligne"))</f>
        <v>Aucun</v>
      </c>
      <c r="G21" s="116"/>
      <c r="H21" s="17" t="str">
        <f>IF((COUNTIF(Registre!$W$8:$W$507,"Incomplet")+COUNTIF(Registre!$W$8:$W$507,"Hors campagne"))&gt;0,"Vigilance","Conforme")</f>
        <v>Conforme</v>
      </c>
      <c r="I21" s="7"/>
      <c r="J21" s="12"/>
      <c r="K21" s="13"/>
      <c r="L21" s="13"/>
      <c r="M21" s="13"/>
      <c r="N21" s="13"/>
      <c r="O21" s="13"/>
      <c r="P21" s="13"/>
      <c r="Q21" s="13"/>
      <c r="R21" s="13"/>
      <c r="S21" s="13"/>
      <c r="T21" s="14"/>
      <c r="U21" s="7"/>
      <c r="W21" s="15" t="str">
        <f>CHOOSE(MONTH(DATE(AnneeRecolte-1,16,1)),"janv.","févr.","mars","avr.","mai","juin","juil.","août","sept.","oct.","nov.","déc.")&amp;" "&amp;MOD(YEAR(DATE(AnneeRecolte-1,16,1)),100)</f>
        <v>avr. 27</v>
      </c>
      <c r="X21" s="16">
        <f>SUMIFS(Registre!$Q$8:$Q$507,Registre!$AN$8:$AN$507,"Organique",Registre!$C$8:$C$507,"&gt;="&amp;DATE(AnneeRecolte-1,16,1),Registre!$C$8:$C$507,"&lt;"&amp;DATE(AnneeRecolte-1,17,1))</f>
        <v>4016</v>
      </c>
      <c r="Y21" s="16">
        <f>SUMIFS(Registre!$Q$8:$Q$507,Registre!$AN$8:$AN$507,"Minéral",Registre!$C$8:$C$507,"&gt;="&amp;DATE(AnneeRecolte-1,16,1),Registre!$C$8:$C$507,"&lt;"&amp;DATE(AnneeRecolte-1,17,1))</f>
        <v>2123.4725000000003</v>
      </c>
      <c r="Z21" s="16">
        <f t="shared" si="0"/>
        <v>6139.4724999999999</v>
      </c>
    </row>
    <row r="22" spans="1:26" ht="21" customHeight="1" x14ac:dyDescent="0.25">
      <c r="A22" s="7"/>
      <c r="B22" s="123" t="s">
        <v>30</v>
      </c>
      <c r="C22" s="116"/>
      <c r="D22" s="116"/>
      <c r="E22" s="116"/>
      <c r="F22" s="115" t="str">
        <f>IF((COUNTIF(Registre!$W$8:$W$507,"Saisie tardive"))=0,"Aucun",(COUNTIF(Registre!$W$8:$W$507,"Saisie tardive"))&amp;IF((COUNTIF(Registre!$W$8:$W$507,"Saisie tardive"))&gt;1," lignes"," ligne"))</f>
        <v>1 ligne</v>
      </c>
      <c r="G22" s="116"/>
      <c r="H22" s="17" t="str">
        <f>IF((COUNTIF(Registre!$W$8:$W$507,"Saisie tardive"))&gt;0,"Vigilance","Conforme")</f>
        <v>Vigilance</v>
      </c>
      <c r="I22" s="7"/>
      <c r="J22" s="12"/>
      <c r="K22" s="13"/>
      <c r="L22" s="13"/>
      <c r="M22" s="13"/>
      <c r="N22" s="13"/>
      <c r="O22" s="13"/>
      <c r="P22" s="13"/>
      <c r="Q22" s="13"/>
      <c r="R22" s="13"/>
      <c r="S22" s="13"/>
      <c r="T22" s="14"/>
      <c r="U22" s="7"/>
      <c r="W22" s="15" t="str">
        <f>CHOOSE(MONTH(DATE(AnneeRecolte-1,17,1)),"janv.","févr.","mars","avr.","mai","juin","juil.","août","sept.","oct.","nov.","déc.")&amp;" "&amp;MOD(YEAR(DATE(AnneeRecolte-1,17,1)),100)</f>
        <v>mai 27</v>
      </c>
      <c r="X22" s="16">
        <f>SUMIFS(Registre!$Q$8:$Q$507,Registre!$AN$8:$AN$507,"Organique",Registre!$C$8:$C$507,"&gt;="&amp;DATE(AnneeRecolte-1,17,1),Registre!$C$8:$C$507,"&lt;"&amp;DATE(AnneeRecolte-1,18,1))</f>
        <v>0</v>
      </c>
      <c r="Y22" s="16">
        <f>SUMIFS(Registre!$Q$8:$Q$507,Registre!$AN$8:$AN$507,"Minéral",Registre!$C$8:$C$507,"&gt;="&amp;DATE(AnneeRecolte-1,17,1),Registre!$C$8:$C$507,"&lt;"&amp;DATE(AnneeRecolte-1,18,1))</f>
        <v>636.80250000000001</v>
      </c>
      <c r="Z22" s="16">
        <f t="shared" si="0"/>
        <v>636.80250000000001</v>
      </c>
    </row>
    <row r="23" spans="1:26" ht="21" customHeight="1" x14ac:dyDescent="0.25">
      <c r="A23" s="7"/>
      <c r="B23" s="123" t="s">
        <v>31</v>
      </c>
      <c r="C23" s="116"/>
      <c r="D23" s="116"/>
      <c r="E23" s="116"/>
      <c r="F23" s="115" t="str">
        <f>IF((COUNTIFS('Échanges &amp; stockage'!$B$12:$B$51,"?*",'Échanges &amp; stockage'!$L$12:$L$51,"&lt;&gt;Oui"))=0,"Aucun",(COUNTIFS('Échanges &amp; stockage'!$B$12:$B$51,"?*",'Échanges &amp; stockage'!$L$12:$L$51,"&lt;&gt;Oui"))&amp;IF((COUNTIFS('Échanges &amp; stockage'!$B$12:$B$51,"?*",'Échanges &amp; stockage'!$L$12:$L$51,"&lt;&gt;Oui"))&gt;1," bordereaux"," bordereau"))</f>
        <v>1 bordereau</v>
      </c>
      <c r="G23" s="116"/>
      <c r="H23" s="17" t="str">
        <f>IF((COUNTIFS('Échanges &amp; stockage'!$B$12:$B$51,"?*",'Échanges &amp; stockage'!$L$12:$L$51,"&lt;&gt;Oui"))&gt;0,"Vigilance","Conforme")</f>
        <v>Vigilance</v>
      </c>
      <c r="I23" s="7"/>
      <c r="J23" s="12"/>
      <c r="K23" s="13"/>
      <c r="L23" s="13"/>
      <c r="M23" s="13"/>
      <c r="N23" s="13"/>
      <c r="O23" s="13"/>
      <c r="P23" s="13"/>
      <c r="Q23" s="13"/>
      <c r="R23" s="13"/>
      <c r="S23" s="13"/>
      <c r="T23" s="14"/>
      <c r="U23" s="7"/>
      <c r="W23" s="15" t="str">
        <f>CHOOSE(MONTH(DATE(AnneeRecolte-1,18,1)),"janv.","févr.","mars","avr.","mai","juin","juil.","août","sept.","oct.","nov.","déc.")&amp;" "&amp;MOD(YEAR(DATE(AnneeRecolte-1,18,1)),100)</f>
        <v>juin 27</v>
      </c>
      <c r="X23" s="16">
        <f>SUMIFS(Registre!$Q$8:$Q$507,Registre!$AN$8:$AN$507,"Organique",Registre!$C$8:$C$507,"&gt;="&amp;DATE(AnneeRecolte-1,18,1),Registre!$C$8:$C$507,"&lt;"&amp;DATE(AnneeRecolte-1,19,1))</f>
        <v>712</v>
      </c>
      <c r="Y23" s="16">
        <f>SUMIFS(Registre!$Q$8:$Q$507,Registre!$AN$8:$AN$507,"Minéral",Registre!$C$8:$C$507,"&gt;="&amp;DATE(AnneeRecolte-1,18,1),Registre!$C$8:$C$507,"&lt;"&amp;DATE(AnneeRecolte-1,19,1))</f>
        <v>578.68000000000006</v>
      </c>
      <c r="Z23" s="16">
        <f t="shared" si="0"/>
        <v>1290.68</v>
      </c>
    </row>
    <row r="24" spans="1:26" ht="21" customHeight="1" x14ac:dyDescent="0.25">
      <c r="A24" s="7"/>
      <c r="B24" s="123" t="s">
        <v>32</v>
      </c>
      <c r="C24" s="116"/>
      <c r="D24" s="116"/>
      <c r="E24" s="116"/>
      <c r="F24" s="115" t="str">
        <f>IF((COUNTIF('Échanges &amp; stockage'!$I$55:$I$74,"Durée &gt; 9 mois")+COUNTIF('Échanges &amp; stockage'!$I$55:$I$74,"Hiver : vérifier les conditions"))=0,"Aucun",(COUNTIF('Échanges &amp; stockage'!$I$55:$I$74,"Durée &gt; 9 mois")+COUNTIF('Échanges &amp; stockage'!$I$55:$I$74,"Hiver : vérifier les conditions"))&amp;IF((COUNTIF('Échanges &amp; stockage'!$I$55:$I$74,"Durée &gt; 9 mois")+COUNTIF('Échanges &amp; stockage'!$I$55:$I$74,"Hiver : vérifier les conditions"))&gt;1," dépôts"," dépôt"))</f>
        <v>1 dépôt</v>
      </c>
      <c r="G24" s="116"/>
      <c r="H24" s="17" t="str">
        <f>IF((COUNTIF('Échanges &amp; stockage'!$I$55:$I$74,"Durée &gt; 9 mois"))&gt;0,"Non conforme",IF((COUNTIF('Échanges &amp; stockage'!$I$55:$I$74,"Hiver : vérifier les conditions"))&gt;0,"Vigilance","Conforme"))</f>
        <v>Vigilance</v>
      </c>
      <c r="I24" s="7"/>
      <c r="J24" s="12"/>
      <c r="K24" s="13"/>
      <c r="L24" s="13"/>
      <c r="M24" s="13"/>
      <c r="N24" s="13"/>
      <c r="O24" s="13"/>
      <c r="P24" s="13"/>
      <c r="Q24" s="13"/>
      <c r="R24" s="13"/>
      <c r="S24" s="13"/>
      <c r="T24" s="14"/>
      <c r="U24" s="7"/>
      <c r="W24" s="15" t="str">
        <f>CHOOSE(MONTH(DATE(AnneeRecolte-1,19,1)),"janv.","févr.","mars","avr.","mai","juin","juil.","août","sept.","oct.","nov.","déc.")&amp;" "&amp;MOD(YEAR(DATE(AnneeRecolte-1,19,1)),100)</f>
        <v>juil. 27</v>
      </c>
      <c r="X24" s="16">
        <f>SUMIFS(Registre!$Q$8:$Q$507,Registre!$AN$8:$AN$507,"Organique",Registre!$C$8:$C$507,"&gt;="&amp;DATE(AnneeRecolte-1,19,1),Registre!$C$8:$C$507,"&lt;"&amp;DATE(AnneeRecolte-1,20,1))</f>
        <v>0</v>
      </c>
      <c r="Y24" s="16">
        <f>SUMIFS(Registre!$Q$8:$Q$507,Registre!$AN$8:$AN$507,"Minéral",Registre!$C$8:$C$507,"&gt;="&amp;DATE(AnneeRecolte-1,19,1),Registre!$C$8:$C$507,"&lt;"&amp;DATE(AnneeRecolte-1,20,1))</f>
        <v>0</v>
      </c>
      <c r="Z24" s="16">
        <f t="shared" si="0"/>
        <v>0</v>
      </c>
    </row>
    <row r="25" spans="1:26" ht="15.95" customHeight="1" x14ac:dyDescent="0.25">
      <c r="A25" s="7"/>
      <c r="B25" s="148" t="s">
        <v>33</v>
      </c>
      <c r="C25" s="113"/>
      <c r="D25" s="113"/>
      <c r="E25" s="113"/>
      <c r="F25" s="113"/>
      <c r="G25" s="113"/>
      <c r="H25" s="120"/>
      <c r="I25" s="7"/>
      <c r="J25" s="12"/>
      <c r="K25" s="13"/>
      <c r="L25" s="13"/>
      <c r="M25" s="13"/>
      <c r="N25" s="13"/>
      <c r="O25" s="13"/>
      <c r="P25" s="13"/>
      <c r="Q25" s="13"/>
      <c r="R25" s="13"/>
      <c r="S25" s="13"/>
      <c r="T25" s="14"/>
      <c r="U25" s="7"/>
      <c r="W25" s="15" t="str">
        <f>CHOOSE(MONTH(DATE(AnneeRecolte-1,20,1)),"janv.","févr.","mars","avr.","mai","juin","juil.","août","sept.","oct.","nov.","déc.")&amp;" "&amp;MOD(YEAR(DATE(AnneeRecolte-1,20,1)),100)</f>
        <v>août 27</v>
      </c>
      <c r="X25" s="16">
        <f>SUMIFS(Registre!$Q$8:$Q$507,Registre!$AN$8:$AN$507,"Organique",Registre!$C$8:$C$507,"&gt;="&amp;DATE(AnneeRecolte-1,20,1),Registre!$C$8:$C$507,"&lt;"&amp;DATE(AnneeRecolte-1,21,1))</f>
        <v>0</v>
      </c>
      <c r="Y25" s="16">
        <f>SUMIFS(Registre!$Q$8:$Q$507,Registre!$AN$8:$AN$507,"Minéral",Registre!$C$8:$C$507,"&gt;="&amp;DATE(AnneeRecolte-1,20,1),Registre!$C$8:$C$507,"&lt;"&amp;DATE(AnneeRecolte-1,21,1))</f>
        <v>0</v>
      </c>
      <c r="Z25" s="16">
        <f t="shared" si="0"/>
        <v>0</v>
      </c>
    </row>
    <row r="26" spans="1:26" ht="15.95" customHeight="1" x14ac:dyDescent="0.25">
      <c r="A26" s="7"/>
      <c r="B26" s="149"/>
      <c r="C26" s="113"/>
      <c r="D26" s="113"/>
      <c r="E26" s="113"/>
      <c r="F26" s="113"/>
      <c r="G26" s="113"/>
      <c r="H26" s="120"/>
      <c r="I26" s="7"/>
      <c r="J26" s="12"/>
      <c r="K26" s="13"/>
      <c r="L26" s="13"/>
      <c r="M26" s="13"/>
      <c r="N26" s="13"/>
      <c r="O26" s="13"/>
      <c r="P26" s="13"/>
      <c r="Q26" s="13"/>
      <c r="R26" s="13"/>
      <c r="S26" s="13"/>
      <c r="T26" s="14"/>
      <c r="U26" s="7"/>
    </row>
    <row r="27" spans="1:26" ht="6" customHeight="1" x14ac:dyDescent="0.25">
      <c r="A27" s="7"/>
      <c r="B27" s="18"/>
      <c r="C27" s="19"/>
      <c r="D27" s="19"/>
      <c r="E27" s="19"/>
      <c r="F27" s="19"/>
      <c r="G27" s="19"/>
      <c r="H27" s="20"/>
      <c r="I27" s="7"/>
      <c r="J27" s="18"/>
      <c r="K27" s="19"/>
      <c r="L27" s="19"/>
      <c r="M27" s="19"/>
      <c r="N27" s="19"/>
      <c r="O27" s="19"/>
      <c r="P27" s="19"/>
      <c r="Q27" s="19"/>
      <c r="R27" s="19"/>
      <c r="S27" s="19"/>
      <c r="T27" s="20"/>
      <c r="U27" s="7"/>
    </row>
    <row r="28" spans="1:26" ht="14.1" customHeight="1" x14ac:dyDescent="0.25">
      <c r="A28" s="7"/>
      <c r="B28" s="7"/>
      <c r="C28" s="7"/>
      <c r="D28" s="7"/>
      <c r="E28" s="7"/>
      <c r="F28" s="7"/>
      <c r="G28" s="7"/>
      <c r="H28" s="7"/>
      <c r="I28" s="7"/>
      <c r="J28" s="7"/>
      <c r="K28" s="7"/>
      <c r="L28" s="7"/>
      <c r="M28" s="7"/>
      <c r="N28" s="7"/>
      <c r="O28" s="7"/>
      <c r="P28" s="7"/>
      <c r="Q28" s="7"/>
      <c r="R28" s="7"/>
      <c r="S28" s="7"/>
      <c r="T28" s="7"/>
      <c r="U28" s="7"/>
    </row>
    <row r="29" spans="1:26" ht="26.1" customHeight="1" x14ac:dyDescent="0.25">
      <c r="A29" s="7"/>
      <c r="B29" s="139" t="s">
        <v>34</v>
      </c>
      <c r="C29" s="140"/>
      <c r="D29" s="140"/>
      <c r="E29" s="140"/>
      <c r="F29" s="140"/>
      <c r="G29" s="140"/>
      <c r="H29" s="140"/>
      <c r="I29" s="140"/>
      <c r="J29" s="140"/>
      <c r="K29" s="140"/>
      <c r="L29" s="140"/>
      <c r="M29" s="140"/>
      <c r="N29" s="140"/>
      <c r="O29" s="140"/>
      <c r="P29" s="141"/>
      <c r="Q29" s="7"/>
      <c r="R29" s="139" t="s">
        <v>35</v>
      </c>
      <c r="S29" s="140"/>
      <c r="T29" s="141"/>
      <c r="U29" s="7"/>
    </row>
    <row r="30" spans="1:26" ht="30" customHeight="1" x14ac:dyDescent="0.25">
      <c r="A30" s="7"/>
      <c r="B30" s="121" t="s">
        <v>36</v>
      </c>
      <c r="C30" s="122"/>
      <c r="D30" s="122"/>
      <c r="E30" s="135" t="s">
        <v>37</v>
      </c>
      <c r="F30" s="122"/>
      <c r="G30" s="122"/>
      <c r="H30" s="21" t="s">
        <v>38</v>
      </c>
      <c r="I30" s="131" t="s">
        <v>39</v>
      </c>
      <c r="J30" s="122"/>
      <c r="K30" s="21" t="s">
        <v>40</v>
      </c>
      <c r="L30" s="21" t="s">
        <v>41</v>
      </c>
      <c r="M30" s="131" t="s">
        <v>42</v>
      </c>
      <c r="N30" s="122"/>
      <c r="O30" s="143" t="s">
        <v>43</v>
      </c>
      <c r="P30" s="144"/>
      <c r="Q30" s="7"/>
      <c r="R30" s="10" t="s">
        <v>44</v>
      </c>
      <c r="S30" s="22" t="s">
        <v>45</v>
      </c>
      <c r="T30" s="23" t="s">
        <v>46</v>
      </c>
      <c r="U30" s="7"/>
    </row>
    <row r="31" spans="1:26" ht="18.95" customHeight="1" x14ac:dyDescent="0.25">
      <c r="A31" s="7"/>
      <c r="B31" s="112" t="str">
        <f>IF(Îlots!$D$8="","",Îlots!$D$8)</f>
        <v>01 – La Croix Blanche</v>
      </c>
      <c r="C31" s="113"/>
      <c r="D31" s="113"/>
      <c r="E31" s="117" t="str">
        <f>IF($B31="","",Îlots!$N$8&amp;"")</f>
        <v>Maïs ensilage</v>
      </c>
      <c r="F31" s="113"/>
      <c r="G31" s="113"/>
      <c r="H31" s="24">
        <f>IF($B31="","",Îlots!$E$8)</f>
        <v>14.8</v>
      </c>
      <c r="I31" s="124">
        <f>IF(OR($B31="",Îlots!$S$8=""),"",Îlots!$S$8)</f>
        <v>145</v>
      </c>
      <c r="J31" s="113"/>
      <c r="K31" s="25">
        <f>IF($B31="","",N(Îlots!$T$8))</f>
        <v>144.50000000000003</v>
      </c>
      <c r="L31" s="26">
        <f t="shared" ref="L31:L50" si="1">IF(OR($B31="",$I31=""),"",ROUND($K31-$I31,0))</f>
        <v>0</v>
      </c>
      <c r="M31" s="114">
        <f t="shared" ref="M31:M50" si="2">IF(OR($B31="",N($I31)=0),"",$K31/$I31)</f>
        <v>0.99655172413793125</v>
      </c>
      <c r="N31" s="113"/>
      <c r="O31" s="119" t="str">
        <f>IF($B31="","",Îlots!$Y$8&amp;"")</f>
        <v>Conforme</v>
      </c>
      <c r="P31" s="120"/>
      <c r="Q31" s="7"/>
      <c r="R31" s="27" t="s">
        <v>47</v>
      </c>
      <c r="S31" s="28">
        <f>SUMIFS(Registre!$Q$8:$Q$507,Registre!$H$8:$H$507,R31)</f>
        <v>0</v>
      </c>
      <c r="T31" s="29">
        <f>IFERROR(S31/$S$36,0)</f>
        <v>0</v>
      </c>
      <c r="U31" s="7"/>
    </row>
    <row r="32" spans="1:26" ht="18.95" customHeight="1" x14ac:dyDescent="0.25">
      <c r="A32" s="7"/>
      <c r="B32" s="112" t="str">
        <f>IF(Îlots!$D$9="","",Îlots!$D$9)</f>
        <v>02 – Les Noues</v>
      </c>
      <c r="C32" s="113"/>
      <c r="D32" s="113"/>
      <c r="E32" s="117" t="str">
        <f>IF($B32="","",Îlots!$N$9&amp;"")</f>
        <v>Blé tendre d'hiver</v>
      </c>
      <c r="F32" s="113"/>
      <c r="G32" s="113"/>
      <c r="H32" s="24">
        <f>IF($B32="","",Îlots!$E$9)</f>
        <v>11.35</v>
      </c>
      <c r="I32" s="124">
        <f>IF(OR($B32="",Îlots!$S$9=""),"",Îlots!$S$9)</f>
        <v>175</v>
      </c>
      <c r="J32" s="113"/>
      <c r="K32" s="25">
        <f>IF($B32="","",N(Îlots!$T$9))</f>
        <v>174.07000000000002</v>
      </c>
      <c r="L32" s="26">
        <f t="shared" si="1"/>
        <v>-1</v>
      </c>
      <c r="M32" s="114">
        <f t="shared" si="2"/>
        <v>0.9946857142857144</v>
      </c>
      <c r="N32" s="113"/>
      <c r="O32" s="119" t="str">
        <f>IF($B32="","",Îlots!$Y$9&amp;"")</f>
        <v>Conforme</v>
      </c>
      <c r="P32" s="120"/>
      <c r="Q32" s="7"/>
      <c r="R32" s="27" t="s">
        <v>48</v>
      </c>
      <c r="S32" s="28">
        <f>SUMIFS(Registre!$Q$8:$Q$507,Registre!$H$8:$H$507,R32)</f>
        <v>6545.1500000000005</v>
      </c>
      <c r="T32" s="29">
        <f>IFERROR(S32/$S$36,0)</f>
        <v>0.24753085593338475</v>
      </c>
      <c r="U32" s="7"/>
    </row>
    <row r="33" spans="1:21" ht="18.95" customHeight="1" x14ac:dyDescent="0.25">
      <c r="A33" s="7"/>
      <c r="B33" s="112" t="str">
        <f>IF(Îlots!$D$10="","",Îlots!$D$10)</f>
        <v>03 – La Garenne</v>
      </c>
      <c r="C33" s="113"/>
      <c r="D33" s="113"/>
      <c r="E33" s="117" t="str">
        <f>IF($B33="","",Îlots!$N$10&amp;"")</f>
        <v>Colza d'hiver</v>
      </c>
      <c r="F33" s="113"/>
      <c r="G33" s="113"/>
      <c r="H33" s="24">
        <f>IF($B33="","",Îlots!$E$10)</f>
        <v>9.6</v>
      </c>
      <c r="I33" s="124">
        <f>IF(OR($B33="",Îlots!$S$10=""),"",Îlots!$S$10)</f>
        <v>160</v>
      </c>
      <c r="J33" s="113"/>
      <c r="K33" s="25">
        <f>IF($B33="","",N(Îlots!$T$10))</f>
        <v>161.12</v>
      </c>
      <c r="L33" s="26">
        <f t="shared" si="1"/>
        <v>1</v>
      </c>
      <c r="M33" s="114">
        <f t="shared" si="2"/>
        <v>1.0070000000000001</v>
      </c>
      <c r="N33" s="113"/>
      <c r="O33" s="119" t="str">
        <f>IF($B33="","",Îlots!$Y$10&amp;"")</f>
        <v>Conforme</v>
      </c>
      <c r="P33" s="120"/>
      <c r="Q33" s="7"/>
      <c r="R33" s="27" t="s">
        <v>49</v>
      </c>
      <c r="S33" s="28">
        <f>SUMIFS(Registre!$Q$8:$Q$507,Registre!$H$8:$H$507,R33)</f>
        <v>0</v>
      </c>
      <c r="T33" s="29">
        <f>IFERROR(S33/$S$36,0)</f>
        <v>0</v>
      </c>
      <c r="U33" s="7"/>
    </row>
    <row r="34" spans="1:21" ht="18.95" customHeight="1" x14ac:dyDescent="0.25">
      <c r="A34" s="7"/>
      <c r="B34" s="112" t="str">
        <f>IF(Îlots!$D$11="","",Îlots!$D$11)</f>
        <v>04 – Le Paradis</v>
      </c>
      <c r="C34" s="113"/>
      <c r="D34" s="113"/>
      <c r="E34" s="117" t="str">
        <f>IF($B34="","",Îlots!$N$11&amp;"")</f>
        <v>Maïs ensilage</v>
      </c>
      <c r="F34" s="113"/>
      <c r="G34" s="113"/>
      <c r="H34" s="24">
        <f>IF($B34="","",Îlots!$E$11)</f>
        <v>16.2</v>
      </c>
      <c r="I34" s="124">
        <f>IF(OR($B34="",Îlots!$S$11=""),"",Îlots!$S$11)</f>
        <v>140</v>
      </c>
      <c r="J34" s="113"/>
      <c r="K34" s="25">
        <f>IF($B34="","",N(Îlots!$T$11))</f>
        <v>136.20000000000002</v>
      </c>
      <c r="L34" s="26">
        <f t="shared" si="1"/>
        <v>-4</v>
      </c>
      <c r="M34" s="114">
        <f t="shared" si="2"/>
        <v>0.97285714285714298</v>
      </c>
      <c r="N34" s="113"/>
      <c r="O34" s="119" t="str">
        <f>IF($B34="","",Îlots!$Y$11&amp;"")</f>
        <v>Conforme</v>
      </c>
      <c r="P34" s="120"/>
      <c r="Q34" s="7"/>
      <c r="R34" s="27" t="s">
        <v>50</v>
      </c>
      <c r="S34" s="28">
        <f>SUMIFS(Registre!$Q$8:$Q$507,Registre!$H$8:$H$507,R34)</f>
        <v>13091.349999999999</v>
      </c>
      <c r="T34" s="29">
        <f>IFERROR(S34/$S$36,0)</f>
        <v>0.49510142178918987</v>
      </c>
      <c r="U34" s="7"/>
    </row>
    <row r="35" spans="1:21" ht="18.95" customHeight="1" x14ac:dyDescent="0.25">
      <c r="A35" s="7"/>
      <c r="B35" s="112" t="str">
        <f>IF(Îlots!$D$12="","",Îlots!$D$12)</f>
        <v>05 – Les Rouches</v>
      </c>
      <c r="C35" s="113"/>
      <c r="D35" s="113"/>
      <c r="E35" s="117" t="str">
        <f>IF($B35="","",Îlots!$N$12&amp;"")</f>
        <v>Orge d'hiver</v>
      </c>
      <c r="F35" s="113"/>
      <c r="G35" s="113"/>
      <c r="H35" s="24">
        <f>IF($B35="","",Îlots!$E$12)</f>
        <v>12.75</v>
      </c>
      <c r="I35" s="124">
        <f>IF(OR($B35="",Îlots!$S$12=""),"",Îlots!$S$12)</f>
        <v>150</v>
      </c>
      <c r="J35" s="113"/>
      <c r="K35" s="25">
        <f>IF($B35="","",N(Îlots!$T$12))</f>
        <v>138.14705882352942</v>
      </c>
      <c r="L35" s="26">
        <f t="shared" si="1"/>
        <v>-12</v>
      </c>
      <c r="M35" s="114">
        <f t="shared" si="2"/>
        <v>0.92098039215686278</v>
      </c>
      <c r="N35" s="113"/>
      <c r="O35" s="119" t="str">
        <f>IF($B35="","",Îlots!$Y$12&amp;"")</f>
        <v>Conforme</v>
      </c>
      <c r="P35" s="120"/>
      <c r="Q35" s="7"/>
      <c r="R35" s="27" t="s">
        <v>51</v>
      </c>
      <c r="S35" s="28">
        <f>SUMIFS(Registre!$Q$8:$Q$507,Registre!$H$8:$H$507,R35)</f>
        <v>6805.2539999999999</v>
      </c>
      <c r="T35" s="29">
        <f>IFERROR(S35/$S$36,0)</f>
        <v>0.25736772227742533</v>
      </c>
      <c r="U35" s="7"/>
    </row>
    <row r="36" spans="1:21" ht="18.95" customHeight="1" x14ac:dyDescent="0.25">
      <c r="A36" s="7"/>
      <c r="B36" s="112" t="str">
        <f>IF(Îlots!$D$13="","",Îlots!$D$13)</f>
        <v>06 – Pré Long</v>
      </c>
      <c r="C36" s="113"/>
      <c r="D36" s="113"/>
      <c r="E36" s="117" t="str">
        <f>IF($B36="","",Îlots!$N$13&amp;"")</f>
        <v>Prairie permanente</v>
      </c>
      <c r="F36" s="113"/>
      <c r="G36" s="113"/>
      <c r="H36" s="24">
        <f>IF($B36="","",Îlots!$E$13)</f>
        <v>8.9</v>
      </c>
      <c r="I36" s="124">
        <f>IF(OR($B36="",Îlots!$S$13=""),"",Îlots!$S$13)</f>
        <v>100</v>
      </c>
      <c r="J36" s="113"/>
      <c r="K36" s="25">
        <f>IF($B36="","",N(Îlots!$T$13))</f>
        <v>130</v>
      </c>
      <c r="L36" s="26">
        <f t="shared" si="1"/>
        <v>30</v>
      </c>
      <c r="M36" s="114">
        <f t="shared" si="2"/>
        <v>1.3</v>
      </c>
      <c r="N36" s="113"/>
      <c r="O36" s="119" t="str">
        <f>IF($B36="","",Îlots!$Y$13&amp;"")</f>
        <v>Dépassement PPF</v>
      </c>
      <c r="P36" s="120"/>
      <c r="Q36" s="7"/>
      <c r="R36" s="30" t="s">
        <v>19</v>
      </c>
      <c r="S36" s="31">
        <f>SUM(S31:S35)</f>
        <v>26441.754000000001</v>
      </c>
      <c r="T36" s="32">
        <f>IF($S$36=0,0,1)</f>
        <v>1</v>
      </c>
      <c r="U36" s="7"/>
    </row>
    <row r="37" spans="1:21" ht="18.95" customHeight="1" x14ac:dyDescent="0.25">
      <c r="A37" s="7"/>
      <c r="B37" s="112" t="str">
        <f>IF(Îlots!$D$14="","",Îlots!$D$14)</f>
        <v>07 – La Fosse aux Loups</v>
      </c>
      <c r="C37" s="113"/>
      <c r="D37" s="113"/>
      <c r="E37" s="117" t="str">
        <f>IF($B37="","",Îlots!$N$14&amp;"")</f>
        <v>Prairie temporaire</v>
      </c>
      <c r="F37" s="113"/>
      <c r="G37" s="113"/>
      <c r="H37" s="24">
        <f>IF($B37="","",Îlots!$E$14)</f>
        <v>7.45</v>
      </c>
      <c r="I37" s="124">
        <f>IF(OR($B37="",Îlots!$S$14=""),"",Îlots!$S$14)</f>
        <v>120</v>
      </c>
      <c r="J37" s="113"/>
      <c r="K37" s="25">
        <f>IF($B37="","",N(Îlots!$T$14))</f>
        <v>98.490000000000009</v>
      </c>
      <c r="L37" s="26">
        <f t="shared" si="1"/>
        <v>-22</v>
      </c>
      <c r="M37" s="114">
        <f t="shared" si="2"/>
        <v>0.82075000000000009</v>
      </c>
      <c r="N37" s="113"/>
      <c r="O37" s="119" t="str">
        <f>IF($B37="","",Îlots!$Y$14&amp;"")</f>
        <v>Conforme</v>
      </c>
      <c r="P37" s="120"/>
      <c r="Q37" s="7"/>
      <c r="R37" s="12"/>
      <c r="S37" s="13"/>
      <c r="T37" s="14"/>
      <c r="U37" s="7"/>
    </row>
    <row r="38" spans="1:21" ht="18.95" customHeight="1" x14ac:dyDescent="0.25">
      <c r="A38" s="7"/>
      <c r="B38" s="112" t="str">
        <f>IF(Îlots!$D$15="","",Îlots!$D$15)</f>
        <v>08 – Les Terres Fortes</v>
      </c>
      <c r="C38" s="113"/>
      <c r="D38" s="113"/>
      <c r="E38" s="117" t="str">
        <f>IF($B38="","",Îlots!$N$15&amp;"")</f>
        <v>Orge de printemps</v>
      </c>
      <c r="F38" s="113"/>
      <c r="G38" s="113"/>
      <c r="H38" s="24">
        <f>IF($B38="","",Îlots!$E$15)</f>
        <v>13.1</v>
      </c>
      <c r="I38" s="124">
        <f>IF(OR($B38="",Îlots!$S$15=""),"",Îlots!$S$15)</f>
        <v>105</v>
      </c>
      <c r="J38" s="113"/>
      <c r="K38" s="25">
        <f>IF($B38="","",N(Îlots!$T$15))</f>
        <v>103.65</v>
      </c>
      <c r="L38" s="26">
        <f t="shared" si="1"/>
        <v>-1</v>
      </c>
      <c r="M38" s="114">
        <f t="shared" si="2"/>
        <v>0.98714285714285721</v>
      </c>
      <c r="N38" s="113"/>
      <c r="O38" s="119" t="str">
        <f>IF($B38="","",Îlots!$Y$15&amp;"")</f>
        <v>Conforme</v>
      </c>
      <c r="P38" s="120"/>
      <c r="Q38" s="7"/>
      <c r="R38" s="12"/>
      <c r="S38" s="13"/>
      <c r="T38" s="14"/>
      <c r="U38" s="7"/>
    </row>
    <row r="39" spans="1:21" ht="18.95" customHeight="1" x14ac:dyDescent="0.25">
      <c r="A39" s="7"/>
      <c r="B39" s="112" t="str">
        <f>IF(Îlots!$D$16="","",Îlots!$D$16)</f>
        <v>09 – Les Sablons</v>
      </c>
      <c r="C39" s="113"/>
      <c r="D39" s="113"/>
      <c r="E39" s="117" t="str">
        <f>IF($B39="","",Îlots!$N$16&amp;"")</f>
        <v>Triticale</v>
      </c>
      <c r="F39" s="113"/>
      <c r="G39" s="113"/>
      <c r="H39" s="24">
        <f>IF($B39="","",Îlots!$E$16)</f>
        <v>10.050000000000001</v>
      </c>
      <c r="I39" s="124">
        <f>IF(OR($B39="",Îlots!$S$16=""),"",Îlots!$S$16)</f>
        <v>140</v>
      </c>
      <c r="J39" s="113"/>
      <c r="K39" s="25">
        <f>IF($B39="","",N(Îlots!$T$16))</f>
        <v>136.80000000000001</v>
      </c>
      <c r="L39" s="26">
        <f t="shared" si="1"/>
        <v>-3</v>
      </c>
      <c r="M39" s="114">
        <f t="shared" si="2"/>
        <v>0.9771428571428572</v>
      </c>
      <c r="N39" s="113"/>
      <c r="O39" s="119" t="str">
        <f>IF($B39="","",Îlots!$Y$16&amp;"")</f>
        <v>Conforme</v>
      </c>
      <c r="P39" s="120"/>
      <c r="Q39" s="7"/>
      <c r="R39" s="12"/>
      <c r="S39" s="13"/>
      <c r="T39" s="14"/>
      <c r="U39" s="7"/>
    </row>
    <row r="40" spans="1:21" ht="18.95" customHeight="1" x14ac:dyDescent="0.25">
      <c r="A40" s="7"/>
      <c r="B40" s="112" t="str">
        <f>IF(Îlots!$D$17="","",Îlots!$D$17)</f>
        <v>10 – Le Bois Rond</v>
      </c>
      <c r="C40" s="113"/>
      <c r="D40" s="113"/>
      <c r="E40" s="117" t="str">
        <f>IF($B40="","",Îlots!$N$17&amp;"")</f>
        <v>Luzerne</v>
      </c>
      <c r="F40" s="113"/>
      <c r="G40" s="113"/>
      <c r="H40" s="24">
        <f>IF($B40="","",Îlots!$E$17)</f>
        <v>8.25</v>
      </c>
      <c r="I40" s="124">
        <f>IF(OR($B40="",Îlots!$S$17=""),"",Îlots!$S$17)</f>
        <v>0</v>
      </c>
      <c r="J40" s="113"/>
      <c r="K40" s="25">
        <f>IF($B40="","",N(Îlots!$T$17))</f>
        <v>0</v>
      </c>
      <c r="L40" s="26">
        <f t="shared" si="1"/>
        <v>0</v>
      </c>
      <c r="M40" s="114" t="str">
        <f t="shared" si="2"/>
        <v/>
      </c>
      <c r="N40" s="113"/>
      <c r="O40" s="119" t="str">
        <f>IF($B40="","",Îlots!$Y$17&amp;"")</f>
        <v>Aucun apport</v>
      </c>
      <c r="P40" s="120"/>
      <c r="Q40" s="7"/>
      <c r="R40" s="12"/>
      <c r="S40" s="13"/>
      <c r="T40" s="14"/>
      <c r="U40" s="7"/>
    </row>
    <row r="41" spans="1:21" ht="18.95" customHeight="1" x14ac:dyDescent="0.25">
      <c r="A41" s="7"/>
      <c r="B41" s="112" t="str">
        <f>IF(Îlots!$D$18="","",Îlots!$D$18)</f>
        <v/>
      </c>
      <c r="C41" s="113"/>
      <c r="D41" s="113"/>
      <c r="E41" s="117" t="str">
        <f>IF($B41="","",Îlots!$N$18&amp;"")</f>
        <v/>
      </c>
      <c r="F41" s="113"/>
      <c r="G41" s="113"/>
      <c r="H41" s="24" t="str">
        <f>IF($B41="","",Îlots!$E$18)</f>
        <v/>
      </c>
      <c r="I41" s="124" t="str">
        <f>IF(OR($B41="",Îlots!$S$18=""),"",Îlots!$S$18)</f>
        <v/>
      </c>
      <c r="J41" s="113"/>
      <c r="K41" s="25" t="str">
        <f>IF($B41="","",N(Îlots!$T$18))</f>
        <v/>
      </c>
      <c r="L41" s="26" t="str">
        <f t="shared" si="1"/>
        <v/>
      </c>
      <c r="M41" s="114" t="str">
        <f t="shared" si="2"/>
        <v/>
      </c>
      <c r="N41" s="113"/>
      <c r="O41" s="119" t="str">
        <f>IF($B41="","",Îlots!$Y$18&amp;"")</f>
        <v/>
      </c>
      <c r="P41" s="120"/>
      <c r="Q41" s="7"/>
      <c r="R41" s="12"/>
      <c r="S41" s="13"/>
      <c r="T41" s="14"/>
      <c r="U41" s="7"/>
    </row>
    <row r="42" spans="1:21" ht="18.95" customHeight="1" x14ac:dyDescent="0.25">
      <c r="A42" s="7"/>
      <c r="B42" s="112" t="str">
        <f>IF(Îlots!$D$19="","",Îlots!$D$19)</f>
        <v/>
      </c>
      <c r="C42" s="113"/>
      <c r="D42" s="113"/>
      <c r="E42" s="117" t="str">
        <f>IF($B42="","",Îlots!$N$19&amp;"")</f>
        <v/>
      </c>
      <c r="F42" s="113"/>
      <c r="G42" s="113"/>
      <c r="H42" s="24" t="str">
        <f>IF($B42="","",Îlots!$E$19)</f>
        <v/>
      </c>
      <c r="I42" s="124" t="str">
        <f>IF(OR($B42="",Îlots!$S$19=""),"",Îlots!$S$19)</f>
        <v/>
      </c>
      <c r="J42" s="113"/>
      <c r="K42" s="25" t="str">
        <f>IF($B42="","",N(Îlots!$T$19))</f>
        <v/>
      </c>
      <c r="L42" s="26" t="str">
        <f t="shared" si="1"/>
        <v/>
      </c>
      <c r="M42" s="114" t="str">
        <f t="shared" si="2"/>
        <v/>
      </c>
      <c r="N42" s="113"/>
      <c r="O42" s="119" t="str">
        <f>IF($B42="","",Îlots!$Y$19&amp;"")</f>
        <v/>
      </c>
      <c r="P42" s="120"/>
      <c r="Q42" s="7"/>
      <c r="R42" s="12"/>
      <c r="S42" s="13"/>
      <c r="T42" s="14"/>
      <c r="U42" s="7"/>
    </row>
    <row r="43" spans="1:21" ht="18.95" customHeight="1" x14ac:dyDescent="0.25">
      <c r="A43" s="7"/>
      <c r="B43" s="112" t="str">
        <f>IF(Îlots!$D$20="","",Îlots!$D$20)</f>
        <v/>
      </c>
      <c r="C43" s="113"/>
      <c r="D43" s="113"/>
      <c r="E43" s="117" t="str">
        <f>IF($B43="","",Îlots!$N$20&amp;"")</f>
        <v/>
      </c>
      <c r="F43" s="113"/>
      <c r="G43" s="113"/>
      <c r="H43" s="24" t="str">
        <f>IF($B43="","",Îlots!$E$20)</f>
        <v/>
      </c>
      <c r="I43" s="124" t="str">
        <f>IF(OR($B43="",Îlots!$S$20=""),"",Îlots!$S$20)</f>
        <v/>
      </c>
      <c r="J43" s="113"/>
      <c r="K43" s="25" t="str">
        <f>IF($B43="","",N(Îlots!$T$20))</f>
        <v/>
      </c>
      <c r="L43" s="26" t="str">
        <f t="shared" si="1"/>
        <v/>
      </c>
      <c r="M43" s="114" t="str">
        <f t="shared" si="2"/>
        <v/>
      </c>
      <c r="N43" s="113"/>
      <c r="O43" s="119" t="str">
        <f>IF($B43="","",Îlots!$Y$20&amp;"")</f>
        <v/>
      </c>
      <c r="P43" s="120"/>
      <c r="Q43" s="7"/>
      <c r="R43" s="12"/>
      <c r="S43" s="13"/>
      <c r="T43" s="14"/>
      <c r="U43" s="7"/>
    </row>
    <row r="44" spans="1:21" ht="18.95" customHeight="1" x14ac:dyDescent="0.25">
      <c r="A44" s="7"/>
      <c r="B44" s="112" t="str">
        <f>IF(Îlots!$D$21="","",Îlots!$D$21)</f>
        <v/>
      </c>
      <c r="C44" s="113"/>
      <c r="D44" s="113"/>
      <c r="E44" s="117" t="str">
        <f>IF($B44="","",Îlots!$N$21&amp;"")</f>
        <v/>
      </c>
      <c r="F44" s="113"/>
      <c r="G44" s="113"/>
      <c r="H44" s="24" t="str">
        <f>IF($B44="","",Îlots!$E$21)</f>
        <v/>
      </c>
      <c r="I44" s="124" t="str">
        <f>IF(OR($B44="",Îlots!$S$21=""),"",Îlots!$S$21)</f>
        <v/>
      </c>
      <c r="J44" s="113"/>
      <c r="K44" s="25" t="str">
        <f>IF($B44="","",N(Îlots!$T$21))</f>
        <v/>
      </c>
      <c r="L44" s="26" t="str">
        <f t="shared" si="1"/>
        <v/>
      </c>
      <c r="M44" s="114" t="str">
        <f t="shared" si="2"/>
        <v/>
      </c>
      <c r="N44" s="113"/>
      <c r="O44" s="119" t="str">
        <f>IF($B44="","",Îlots!$Y$21&amp;"")</f>
        <v/>
      </c>
      <c r="P44" s="120"/>
      <c r="Q44" s="7"/>
      <c r="R44" s="12"/>
      <c r="S44" s="13"/>
      <c r="T44" s="14"/>
      <c r="U44" s="7"/>
    </row>
    <row r="45" spans="1:21" ht="18.95" customHeight="1" x14ac:dyDescent="0.25">
      <c r="A45" s="7"/>
      <c r="B45" s="112" t="str">
        <f>IF(Îlots!$D$22="","",Îlots!$D$22)</f>
        <v/>
      </c>
      <c r="C45" s="113"/>
      <c r="D45" s="113"/>
      <c r="E45" s="117" t="str">
        <f>IF($B45="","",Îlots!$N$22&amp;"")</f>
        <v/>
      </c>
      <c r="F45" s="113"/>
      <c r="G45" s="113"/>
      <c r="H45" s="24" t="str">
        <f>IF($B45="","",Îlots!$E$22)</f>
        <v/>
      </c>
      <c r="I45" s="124" t="str">
        <f>IF(OR($B45="",Îlots!$S$22=""),"",Îlots!$S$22)</f>
        <v/>
      </c>
      <c r="J45" s="113"/>
      <c r="K45" s="25" t="str">
        <f>IF($B45="","",N(Îlots!$T$22))</f>
        <v/>
      </c>
      <c r="L45" s="26" t="str">
        <f t="shared" si="1"/>
        <v/>
      </c>
      <c r="M45" s="114" t="str">
        <f t="shared" si="2"/>
        <v/>
      </c>
      <c r="N45" s="113"/>
      <c r="O45" s="119" t="str">
        <f>IF($B45="","",Îlots!$Y$22&amp;"")</f>
        <v/>
      </c>
      <c r="P45" s="120"/>
      <c r="Q45" s="7"/>
      <c r="R45" s="12"/>
      <c r="S45" s="13"/>
      <c r="T45" s="14"/>
      <c r="U45" s="7"/>
    </row>
    <row r="46" spans="1:21" ht="18.95" customHeight="1" x14ac:dyDescent="0.25">
      <c r="A46" s="7"/>
      <c r="B46" s="112" t="str">
        <f>IF(Îlots!$D$23="","",Îlots!$D$23)</f>
        <v/>
      </c>
      <c r="C46" s="113"/>
      <c r="D46" s="113"/>
      <c r="E46" s="117" t="str">
        <f>IF($B46="","",Îlots!$N$23&amp;"")</f>
        <v/>
      </c>
      <c r="F46" s="113"/>
      <c r="G46" s="113"/>
      <c r="H46" s="24" t="str">
        <f>IF($B46="","",Îlots!$E$23)</f>
        <v/>
      </c>
      <c r="I46" s="124" t="str">
        <f>IF(OR($B46="",Îlots!$S$23=""),"",Îlots!$S$23)</f>
        <v/>
      </c>
      <c r="J46" s="113"/>
      <c r="K46" s="25" t="str">
        <f>IF($B46="","",N(Îlots!$T$23))</f>
        <v/>
      </c>
      <c r="L46" s="26" t="str">
        <f t="shared" si="1"/>
        <v/>
      </c>
      <c r="M46" s="114" t="str">
        <f t="shared" si="2"/>
        <v/>
      </c>
      <c r="N46" s="113"/>
      <c r="O46" s="119" t="str">
        <f>IF($B46="","",Îlots!$Y$23&amp;"")</f>
        <v/>
      </c>
      <c r="P46" s="120"/>
      <c r="Q46" s="7"/>
      <c r="R46" s="12"/>
      <c r="S46" s="13"/>
      <c r="T46" s="14"/>
      <c r="U46" s="7"/>
    </row>
    <row r="47" spans="1:21" ht="18.95" customHeight="1" x14ac:dyDescent="0.25">
      <c r="A47" s="7"/>
      <c r="B47" s="112" t="str">
        <f>IF(Îlots!$D$24="","",Îlots!$D$24)</f>
        <v/>
      </c>
      <c r="C47" s="113"/>
      <c r="D47" s="113"/>
      <c r="E47" s="117" t="str">
        <f>IF($B47="","",Îlots!$N$24&amp;"")</f>
        <v/>
      </c>
      <c r="F47" s="113"/>
      <c r="G47" s="113"/>
      <c r="H47" s="24" t="str">
        <f>IF($B47="","",Îlots!$E$24)</f>
        <v/>
      </c>
      <c r="I47" s="124" t="str">
        <f>IF(OR($B47="",Îlots!$S$24=""),"",Îlots!$S$24)</f>
        <v/>
      </c>
      <c r="J47" s="113"/>
      <c r="K47" s="25" t="str">
        <f>IF($B47="","",N(Îlots!$T$24))</f>
        <v/>
      </c>
      <c r="L47" s="26" t="str">
        <f t="shared" si="1"/>
        <v/>
      </c>
      <c r="M47" s="114" t="str">
        <f t="shared" si="2"/>
        <v/>
      </c>
      <c r="N47" s="113"/>
      <c r="O47" s="119" t="str">
        <f>IF($B47="","",Îlots!$Y$24&amp;"")</f>
        <v/>
      </c>
      <c r="P47" s="120"/>
      <c r="Q47" s="7"/>
      <c r="R47" s="12"/>
      <c r="S47" s="13"/>
      <c r="T47" s="14"/>
      <c r="U47" s="7"/>
    </row>
    <row r="48" spans="1:21" ht="18.95" customHeight="1" x14ac:dyDescent="0.25">
      <c r="A48" s="7"/>
      <c r="B48" s="112" t="str">
        <f>IF(Îlots!$D$25="","",Îlots!$D$25)</f>
        <v/>
      </c>
      <c r="C48" s="113"/>
      <c r="D48" s="113"/>
      <c r="E48" s="117" t="str">
        <f>IF($B48="","",Îlots!$N$25&amp;"")</f>
        <v/>
      </c>
      <c r="F48" s="113"/>
      <c r="G48" s="113"/>
      <c r="H48" s="24" t="str">
        <f>IF($B48="","",Îlots!$E$25)</f>
        <v/>
      </c>
      <c r="I48" s="124" t="str">
        <f>IF(OR($B48="",Îlots!$S$25=""),"",Îlots!$S$25)</f>
        <v/>
      </c>
      <c r="J48" s="113"/>
      <c r="K48" s="25" t="str">
        <f>IF($B48="","",N(Îlots!$T$25))</f>
        <v/>
      </c>
      <c r="L48" s="26" t="str">
        <f t="shared" si="1"/>
        <v/>
      </c>
      <c r="M48" s="114" t="str">
        <f t="shared" si="2"/>
        <v/>
      </c>
      <c r="N48" s="113"/>
      <c r="O48" s="119" t="str">
        <f>IF($B48="","",Îlots!$Y$25&amp;"")</f>
        <v/>
      </c>
      <c r="P48" s="120"/>
      <c r="Q48" s="7"/>
      <c r="R48" s="12"/>
      <c r="S48" s="13"/>
      <c r="T48" s="14"/>
      <c r="U48" s="7"/>
    </row>
    <row r="49" spans="1:21" ht="18.95" customHeight="1" x14ac:dyDescent="0.25">
      <c r="A49" s="7"/>
      <c r="B49" s="112" t="str">
        <f>IF(Îlots!$D$26="","",Îlots!$D$26)</f>
        <v/>
      </c>
      <c r="C49" s="113"/>
      <c r="D49" s="113"/>
      <c r="E49" s="117" t="str">
        <f>IF($B49="","",Îlots!$N$26&amp;"")</f>
        <v/>
      </c>
      <c r="F49" s="113"/>
      <c r="G49" s="113"/>
      <c r="H49" s="24" t="str">
        <f>IF($B49="","",Îlots!$E$26)</f>
        <v/>
      </c>
      <c r="I49" s="124" t="str">
        <f>IF(OR($B49="",Îlots!$S$26=""),"",Îlots!$S$26)</f>
        <v/>
      </c>
      <c r="J49" s="113"/>
      <c r="K49" s="25" t="str">
        <f>IF($B49="","",N(Îlots!$T$26))</f>
        <v/>
      </c>
      <c r="L49" s="26" t="str">
        <f t="shared" si="1"/>
        <v/>
      </c>
      <c r="M49" s="114" t="str">
        <f t="shared" si="2"/>
        <v/>
      </c>
      <c r="N49" s="113"/>
      <c r="O49" s="119" t="str">
        <f>IF($B49="","",Îlots!$Y$26&amp;"")</f>
        <v/>
      </c>
      <c r="P49" s="120"/>
      <c r="Q49" s="7"/>
      <c r="R49" s="12"/>
      <c r="S49" s="13"/>
      <c r="T49" s="14"/>
      <c r="U49" s="7"/>
    </row>
    <row r="50" spans="1:21" ht="18.95" customHeight="1" x14ac:dyDescent="0.25">
      <c r="A50" s="7"/>
      <c r="B50" s="112" t="str">
        <f>IF(Îlots!$D$27="","",Îlots!$D$27)</f>
        <v/>
      </c>
      <c r="C50" s="113"/>
      <c r="D50" s="113"/>
      <c r="E50" s="117" t="str">
        <f>IF($B50="","",Îlots!$N$27&amp;"")</f>
        <v/>
      </c>
      <c r="F50" s="113"/>
      <c r="G50" s="113"/>
      <c r="H50" s="24" t="str">
        <f>IF($B50="","",Îlots!$E$27)</f>
        <v/>
      </c>
      <c r="I50" s="124" t="str">
        <f>IF(OR($B50="",Îlots!$S$27=""),"",Îlots!$S$27)</f>
        <v/>
      </c>
      <c r="J50" s="113"/>
      <c r="K50" s="25" t="str">
        <f>IF($B50="","",N(Îlots!$T$27))</f>
        <v/>
      </c>
      <c r="L50" s="26" t="str">
        <f t="shared" si="1"/>
        <v/>
      </c>
      <c r="M50" s="114" t="str">
        <f t="shared" si="2"/>
        <v/>
      </c>
      <c r="N50" s="113"/>
      <c r="O50" s="119" t="str">
        <f>IF($B50="","",Îlots!$Y$27&amp;"")</f>
        <v/>
      </c>
      <c r="P50" s="120"/>
      <c r="Q50" s="7"/>
      <c r="R50" s="12"/>
      <c r="S50" s="13"/>
      <c r="T50" s="14"/>
      <c r="U50" s="7"/>
    </row>
    <row r="51" spans="1:21" ht="18" customHeight="1" x14ac:dyDescent="0.25">
      <c r="A51" s="7"/>
      <c r="B51" s="138" t="s">
        <v>52</v>
      </c>
      <c r="C51" s="113"/>
      <c r="D51" s="113"/>
      <c r="E51" s="113"/>
      <c r="F51" s="113"/>
      <c r="G51" s="113"/>
      <c r="H51" s="113"/>
      <c r="I51" s="113"/>
      <c r="J51" s="113"/>
      <c r="K51" s="113"/>
      <c r="L51" s="113"/>
      <c r="M51" s="113"/>
      <c r="N51" s="113"/>
      <c r="O51" s="113"/>
      <c r="P51" s="120"/>
      <c r="Q51" s="7"/>
      <c r="R51" s="12"/>
      <c r="S51" s="13"/>
      <c r="T51" s="14"/>
      <c r="U51" s="7"/>
    </row>
    <row r="52" spans="1:21" ht="6" customHeight="1" x14ac:dyDescent="0.25">
      <c r="A52" s="7"/>
      <c r="B52" s="18"/>
      <c r="C52" s="19"/>
      <c r="D52" s="19"/>
      <c r="E52" s="19"/>
      <c r="F52" s="19"/>
      <c r="G52" s="19"/>
      <c r="H52" s="19"/>
      <c r="I52" s="19"/>
      <c r="J52" s="19"/>
      <c r="K52" s="19"/>
      <c r="L52" s="19"/>
      <c r="M52" s="19"/>
      <c r="N52" s="19"/>
      <c r="O52" s="19"/>
      <c r="P52" s="20"/>
      <c r="Q52" s="7"/>
      <c r="R52" s="18"/>
      <c r="S52" s="19"/>
      <c r="T52" s="20"/>
      <c r="U52" s="7"/>
    </row>
    <row r="53" spans="1:21" ht="14.1" customHeight="1" x14ac:dyDescent="0.25">
      <c r="A53" s="7"/>
      <c r="B53" s="7"/>
      <c r="C53" s="7"/>
      <c r="D53" s="7"/>
      <c r="E53" s="7"/>
      <c r="F53" s="7"/>
      <c r="G53" s="7"/>
      <c r="H53" s="7"/>
      <c r="I53" s="7"/>
      <c r="J53" s="7"/>
      <c r="K53" s="7"/>
      <c r="L53" s="7"/>
      <c r="M53" s="7"/>
      <c r="N53" s="7"/>
      <c r="O53" s="7"/>
      <c r="P53" s="7"/>
      <c r="Q53" s="7"/>
      <c r="R53" s="7"/>
      <c r="S53" s="7"/>
      <c r="T53" s="7"/>
      <c r="U53" s="7"/>
    </row>
    <row r="54" spans="1:21" x14ac:dyDescent="0.25">
      <c r="A54" s="7"/>
      <c r="B54" s="7"/>
      <c r="C54" s="7"/>
      <c r="D54" s="7"/>
      <c r="E54" s="7"/>
      <c r="F54" s="7"/>
      <c r="G54" s="7"/>
      <c r="H54" s="7"/>
      <c r="I54" s="7"/>
      <c r="J54" s="7"/>
      <c r="K54" s="7"/>
      <c r="L54" s="7"/>
      <c r="M54" s="7"/>
      <c r="N54" s="7"/>
      <c r="O54" s="7"/>
      <c r="P54" s="7"/>
      <c r="Q54" s="7"/>
      <c r="R54" s="7"/>
      <c r="S54" s="7"/>
      <c r="T54" s="7"/>
      <c r="U54" s="7"/>
    </row>
  </sheetData>
  <mergeCells count="157">
    <mergeCell ref="R10:T10"/>
    <mergeCell ref="M32:N32"/>
    <mergeCell ref="E39:G39"/>
    <mergeCell ref="E48:G48"/>
    <mergeCell ref="I31:J31"/>
    <mergeCell ref="O37:P37"/>
    <mergeCell ref="R7:T7"/>
    <mergeCell ref="I40:J40"/>
    <mergeCell ref="E38:G38"/>
    <mergeCell ref="J5:K5"/>
    <mergeCell ref="L5:N5"/>
    <mergeCell ref="I49:J49"/>
    <mergeCell ref="O33:P33"/>
    <mergeCell ref="I36:J36"/>
    <mergeCell ref="B20:E20"/>
    <mergeCell ref="B38:D38"/>
    <mergeCell ref="J13:T13"/>
    <mergeCell ref="F24:G24"/>
    <mergeCell ref="E49:G49"/>
    <mergeCell ref="O49:P49"/>
    <mergeCell ref="B40:D40"/>
    <mergeCell ref="B33:D33"/>
    <mergeCell ref="M30:N30"/>
    <mergeCell ref="M46:N46"/>
    <mergeCell ref="B32:D32"/>
    <mergeCell ref="M42:N42"/>
    <mergeCell ref="O42:P42"/>
    <mergeCell ref="I39:J39"/>
    <mergeCell ref="N8:P9"/>
    <mergeCell ref="B7:D7"/>
    <mergeCell ref="I48:J48"/>
    <mergeCell ref="F10:H10"/>
    <mergeCell ref="N7:P7"/>
    <mergeCell ref="R8:T9"/>
    <mergeCell ref="O39:P39"/>
    <mergeCell ref="M48:N48"/>
    <mergeCell ref="O36:P36"/>
    <mergeCell ref="F21:G21"/>
    <mergeCell ref="B29:P29"/>
    <mergeCell ref="O30:P30"/>
    <mergeCell ref="E36:G36"/>
    <mergeCell ref="I47:J47"/>
    <mergeCell ref="E45:G45"/>
    <mergeCell ref="I37:J37"/>
    <mergeCell ref="M31:N31"/>
    <mergeCell ref="B8:D9"/>
    <mergeCell ref="M40:N40"/>
    <mergeCell ref="B41:D41"/>
    <mergeCell ref="E37:G37"/>
    <mergeCell ref="M37:N37"/>
    <mergeCell ref="B35:D35"/>
    <mergeCell ref="O46:P46"/>
    <mergeCell ref="F8:H9"/>
    <mergeCell ref="F22:G22"/>
    <mergeCell ref="O47:P47"/>
    <mergeCell ref="N11:P11"/>
    <mergeCell ref="B17:E17"/>
    <mergeCell ref="R29:T29"/>
    <mergeCell ref="R11:T11"/>
    <mergeCell ref="E33:G33"/>
    <mergeCell ref="B31:D31"/>
    <mergeCell ref="B46:D46"/>
    <mergeCell ref="B39:D39"/>
    <mergeCell ref="B48:D48"/>
    <mergeCell ref="M34:N34"/>
    <mergeCell ref="O34:P34"/>
    <mergeCell ref="B15:E15"/>
    <mergeCell ref="E34:G34"/>
    <mergeCell ref="I45:J45"/>
    <mergeCell ref="B24:E24"/>
    <mergeCell ref="M39:N39"/>
    <mergeCell ref="O48:P48"/>
    <mergeCell ref="B13:H13"/>
    <mergeCell ref="M38:N38"/>
    <mergeCell ref="O38:P38"/>
    <mergeCell ref="F14:G14"/>
    <mergeCell ref="B19:E19"/>
    <mergeCell ref="B25:H26"/>
    <mergeCell ref="I34:J34"/>
    <mergeCell ref="I38:J38"/>
    <mergeCell ref="B51:P51"/>
    <mergeCell ref="B45:D45"/>
    <mergeCell ref="I33:J33"/>
    <mergeCell ref="E47:G47"/>
    <mergeCell ref="M41:N41"/>
    <mergeCell ref="E43:G43"/>
    <mergeCell ref="F11:H11"/>
    <mergeCell ref="B47:D47"/>
    <mergeCell ref="I35:J35"/>
    <mergeCell ref="M49:N49"/>
    <mergeCell ref="B49:D49"/>
    <mergeCell ref="B50:D50"/>
    <mergeCell ref="I50:J50"/>
    <mergeCell ref="O50:P50"/>
    <mergeCell ref="E50:G50"/>
    <mergeCell ref="N3:S3"/>
    <mergeCell ref="I30:J30"/>
    <mergeCell ref="I46:J46"/>
    <mergeCell ref="F19:G19"/>
    <mergeCell ref="M44:N44"/>
    <mergeCell ref="J8:L9"/>
    <mergeCell ref="E30:G30"/>
    <mergeCell ref="O45:P45"/>
    <mergeCell ref="B10:D10"/>
    <mergeCell ref="J7:L7"/>
    <mergeCell ref="E46:G46"/>
    <mergeCell ref="N10:P10"/>
    <mergeCell ref="I32:J32"/>
    <mergeCell ref="F5:G5"/>
    <mergeCell ref="F20:G20"/>
    <mergeCell ref="B16:E16"/>
    <mergeCell ref="F18:G18"/>
    <mergeCell ref="I41:J41"/>
    <mergeCell ref="O44:P44"/>
    <mergeCell ref="O31:P31"/>
    <mergeCell ref="F17:G17"/>
    <mergeCell ref="E32:G32"/>
    <mergeCell ref="I43:J43"/>
    <mergeCell ref="B18:E18"/>
    <mergeCell ref="M45:N45"/>
    <mergeCell ref="B14:E14"/>
    <mergeCell ref="I44:J44"/>
    <mergeCell ref="B23:E23"/>
    <mergeCell ref="E42:G42"/>
    <mergeCell ref="M47:N47"/>
    <mergeCell ref="E35:G35"/>
    <mergeCell ref="M50:N50"/>
    <mergeCell ref="F7:H7"/>
    <mergeCell ref="B43:D43"/>
    <mergeCell ref="E44:G44"/>
    <mergeCell ref="B36:D36"/>
    <mergeCell ref="E41:G41"/>
    <mergeCell ref="J10:L10"/>
    <mergeCell ref="O32:P32"/>
    <mergeCell ref="B30:D30"/>
    <mergeCell ref="O41:P41"/>
    <mergeCell ref="O35:P35"/>
    <mergeCell ref="B22:E22"/>
    <mergeCell ref="O43:P43"/>
    <mergeCell ref="I42:J42"/>
    <mergeCell ref="B21:E21"/>
    <mergeCell ref="F23:G23"/>
    <mergeCell ref="O40:P40"/>
    <mergeCell ref="M36:N36"/>
    <mergeCell ref="M33:N33"/>
    <mergeCell ref="B11:D11"/>
    <mergeCell ref="B42:D42"/>
    <mergeCell ref="M43:N43"/>
    <mergeCell ref="F16:G16"/>
    <mergeCell ref="E31:G31"/>
    <mergeCell ref="E40:G40"/>
    <mergeCell ref="B44:D44"/>
    <mergeCell ref="J11:L11"/>
    <mergeCell ref="B34:D34"/>
    <mergeCell ref="M35:N35"/>
    <mergeCell ref="B37:D37"/>
    <mergeCell ref="F15:G15"/>
  </mergeCells>
  <conditionalFormatting sqref="B31:P50">
    <cfRule type="expression" dxfId="48" priority="16">
      <formula>AND($B31&lt;&gt;"",MOD(ROW(),2)=1)</formula>
    </cfRule>
    <cfRule type="expression" dxfId="47" priority="17">
      <formula>$B31&lt;&gt;""</formula>
    </cfRule>
  </conditionalFormatting>
  <conditionalFormatting sqref="H15:H24">
    <cfRule type="expression" dxfId="46" priority="7" stopIfTrue="1">
      <formula>$H15="Non conforme"</formula>
    </cfRule>
    <cfRule type="expression" dxfId="45" priority="8" stopIfTrue="1">
      <formula>$H15="Vigilance"</formula>
    </cfRule>
    <cfRule type="expression" dxfId="44" priority="9" stopIfTrue="1">
      <formula>$H15="Conforme"</formula>
    </cfRule>
  </conditionalFormatting>
  <conditionalFormatting sqref="J8:L9">
    <cfRule type="expression" dxfId="43" priority="3">
      <formula>$J$8&gt;PlafondN</formula>
    </cfRule>
    <cfRule type="expression" dxfId="42" priority="4">
      <formula>$J$8&gt;0.9*PlafondN</formula>
    </cfRule>
  </conditionalFormatting>
  <conditionalFormatting sqref="J11:L11">
    <cfRule type="dataBar" priority="1">
      <dataBar showValue="0">
        <cfvo type="num" val="0"/>
        <cfvo type="num" val="1"/>
        <color rgb="FFC9922E"/>
      </dataBar>
    </cfRule>
  </conditionalFormatting>
  <conditionalFormatting sqref="L31:L50">
    <cfRule type="expression" dxfId="41" priority="15">
      <formula>AND(ISNUMBER($L31),$L31&gt;TolerancePPF)</formula>
    </cfRule>
  </conditionalFormatting>
  <conditionalFormatting sqref="M31:N50">
    <cfRule type="dataBar" priority="14">
      <dataBar>
        <cfvo type="num" val="0"/>
        <cfvo type="num" val="1.2"/>
        <color rgb="FF7CCDBF"/>
      </dataBar>
    </cfRule>
  </conditionalFormatting>
  <conditionalFormatting sqref="N8:P9">
    <cfRule type="expression" dxfId="40" priority="5">
      <formula>COUNTIF($H$15:$H$24,"Non conforme")&gt;0</formula>
    </cfRule>
    <cfRule type="expression" dxfId="39" priority="6">
      <formula>COUNTIF($H$15:$H$24,"Vigilance")&gt;0</formula>
    </cfRule>
  </conditionalFormatting>
  <conditionalFormatting sqref="N11:P11">
    <cfRule type="dataBar" priority="2">
      <dataBar showValue="0">
        <cfvo type="num" val="0"/>
        <cfvo type="num" val="1"/>
        <color rgb="FF12A18A"/>
      </dataBar>
    </cfRule>
  </conditionalFormatting>
  <conditionalFormatting sqref="O31:P50">
    <cfRule type="expression" dxfId="38" priority="10" stopIfTrue="1">
      <formula>$O31="Dépassement PPF"</formula>
    </cfRule>
    <cfRule type="expression" dxfId="37" priority="11" stopIfTrue="1">
      <formula>$O31="PPF à renseigner"</formula>
    </cfRule>
    <cfRule type="expression" dxfId="36" priority="12" stopIfTrue="1">
      <formula>$O31="Conforme"</formula>
    </cfRule>
    <cfRule type="expression" dxfId="35" priority="13" stopIfTrue="1">
      <formula>$O31="Aucun apport"</formula>
    </cfRule>
  </conditionalFormatting>
  <hyperlinks>
    <hyperlink ref="B5" location="'Registre'!A1" display="Registre  ›" xr:uid="{00000000-0004-0000-0000-000000000000}"/>
    <hyperlink ref="C5" location="'Îlots'!A1" display="Îlots  ›" xr:uid="{00000000-0004-0000-0000-000001000000}"/>
    <hyperlink ref="D5" location="'Fertilisants'!A1" display="Fertilisants  ›" xr:uid="{00000000-0004-0000-0000-000002000000}"/>
    <hyperlink ref="F5" location="'Échanges &amp; stockage'!A1" display="Échanges &amp; stockage  ›" xr:uid="{00000000-0004-0000-0000-000003000000}"/>
    <hyperlink ref="H5" location="'Fiche îlot'!A1" display="Fiche îlot  ›" xr:uid="{00000000-0004-0000-0000-000004000000}"/>
    <hyperlink ref="J5" location="'Configuration'!A1" display="Configuration  ›" xr:uid="{00000000-0004-0000-0000-000005000000}"/>
    <hyperlink ref="L5" location="'Mode d''emploi'!A1" display="Mode d'emploi  ›" xr:uid="{00000000-0004-0000-0000-000006000000}"/>
  </hyperlinks>
  <printOptions horizontalCentered="1"/>
  <pageMargins left="0.35" right="0.35" top="0.45" bottom="0.55000000000000004" header="0.5" footer="0.5"/>
  <pageSetup paperSize="9" orientation="landscape"/>
  <headerFooter>
    <oddFooter>&amp;L&amp;8 &amp;K7B8794Cahier d'épandage – &amp;A&amp;R&amp;8 &amp;K7B8794Page &amp;P /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2A18A"/>
    <pageSetUpPr fitToPage="1"/>
  </sheetPr>
  <dimension ref="A1:AR507"/>
  <sheetViews>
    <sheetView showGridLines="0" zoomScale="90" workbookViewId="0">
      <pane xSplit="4" ySplit="7" topLeftCell="E8" activePane="bottomRight" state="frozen"/>
      <selection pane="topRight"/>
      <selection pane="bottomLeft"/>
      <selection pane="bottomRight"/>
    </sheetView>
  </sheetViews>
  <sheetFormatPr baseColWidth="10" defaultColWidth="9.140625" defaultRowHeight="15" outlineLevelCol="1" x14ac:dyDescent="0.25"/>
  <cols>
    <col min="1" max="1" width="2" customWidth="1"/>
    <col min="2" max="2" width="5" customWidth="1"/>
    <col min="3" max="3" width="11" customWidth="1"/>
    <col min="4" max="4" width="24" customWidth="1"/>
    <col min="5" max="5" width="23" customWidth="1"/>
    <col min="6" max="6" width="20" customWidth="1"/>
    <col min="7" max="7" width="25" customWidth="1"/>
    <col min="8" max="8" width="8" customWidth="1"/>
    <col min="9" max="10" width="9" customWidth="1"/>
    <col min="11" max="11" width="6" customWidth="1"/>
    <col min="12" max="12" width="11" customWidth="1"/>
    <col min="13" max="14" width="9" customWidth="1"/>
    <col min="15" max="16" width="8" customWidth="1"/>
    <col min="17" max="18" width="11" customWidth="1"/>
    <col min="19" max="19" width="30" customWidth="1"/>
    <col min="20" max="20" width="10" customWidth="1"/>
    <col min="21" max="21" width="24" customWidth="1"/>
    <col min="22" max="22" width="11" customWidth="1"/>
    <col min="23" max="23" width="17" customWidth="1"/>
    <col min="24" max="24" width="46" customWidth="1"/>
    <col min="25" max="25" width="2" customWidth="1"/>
    <col min="26" max="44" width="11" hidden="1" customWidth="1" outlineLevel="1"/>
  </cols>
  <sheetData>
    <row r="1" spans="1:44" ht="30" customHeight="1" x14ac:dyDescent="0.35">
      <c r="A1" s="1"/>
      <c r="B1" s="33" t="s">
        <v>53</v>
      </c>
      <c r="C1" s="1"/>
      <c r="D1" s="1"/>
      <c r="E1" s="1"/>
      <c r="F1" s="1"/>
      <c r="G1" s="1"/>
      <c r="H1" s="1"/>
      <c r="I1" s="1"/>
      <c r="J1" s="1"/>
      <c r="K1" s="1"/>
      <c r="L1" s="1"/>
      <c r="M1" s="1"/>
      <c r="N1" s="1"/>
      <c r="O1" s="1"/>
      <c r="P1" s="1"/>
      <c r="Q1" s="1"/>
      <c r="R1" s="1"/>
      <c r="S1" s="1"/>
      <c r="T1" s="1"/>
      <c r="U1" s="1"/>
      <c r="V1" s="1"/>
      <c r="W1" s="1"/>
      <c r="X1" s="34" t="str">
        <f>RaisonSociale</f>
        <v>SCEA du Val de Mérienne</v>
      </c>
      <c r="Y1" s="1"/>
    </row>
    <row r="2" spans="1:44" ht="20.100000000000001" customHeight="1" x14ac:dyDescent="0.25">
      <c r="A2" s="1"/>
      <c r="B2" s="4" t="s">
        <v>54</v>
      </c>
      <c r="C2" s="1"/>
      <c r="D2" s="1"/>
      <c r="E2" s="1"/>
      <c r="F2" s="1"/>
      <c r="G2" s="1"/>
      <c r="H2" s="1"/>
      <c r="I2" s="1"/>
      <c r="J2" s="1"/>
      <c r="K2" s="1"/>
      <c r="L2" s="1"/>
      <c r="M2" s="1"/>
      <c r="N2" s="1"/>
      <c r="O2" s="1"/>
      <c r="P2" s="1"/>
      <c r="Q2" s="1"/>
      <c r="R2" s="1"/>
      <c r="S2" s="1"/>
      <c r="T2" s="1"/>
      <c r="U2" s="1"/>
      <c r="V2" s="1"/>
      <c r="W2" s="1"/>
      <c r="X2" s="35" t="str">
        <f>"Campagne "&amp;(AnneeRecolte-1)&amp;"-"&amp;AnneeRecolte&amp;"  ·  récolte "&amp;AnneeRecolte</f>
        <v>Campagne 2026-2027  ·  récolte 2027</v>
      </c>
      <c r="Y2" s="1"/>
    </row>
    <row r="3" spans="1:44" ht="3" customHeight="1" x14ac:dyDescent="0.25">
      <c r="A3" s="6"/>
      <c r="B3" s="6"/>
      <c r="C3" s="6"/>
      <c r="D3" s="6"/>
      <c r="E3" s="6"/>
      <c r="F3" s="6"/>
      <c r="G3" s="6"/>
      <c r="H3" s="6"/>
      <c r="I3" s="6"/>
      <c r="J3" s="6"/>
      <c r="K3" s="6"/>
      <c r="L3" s="6"/>
      <c r="M3" s="6"/>
      <c r="N3" s="6"/>
      <c r="O3" s="6"/>
      <c r="P3" s="6"/>
      <c r="Q3" s="6"/>
      <c r="R3" s="6"/>
      <c r="S3" s="6"/>
      <c r="T3" s="6"/>
      <c r="U3" s="6"/>
      <c r="V3" s="6"/>
      <c r="W3" s="6"/>
      <c r="X3" s="6"/>
      <c r="Y3" s="6"/>
    </row>
    <row r="4" spans="1:44" ht="21.95" customHeight="1" x14ac:dyDescent="0.25">
      <c r="B4" s="36" t="s">
        <v>55</v>
      </c>
      <c r="L4" s="153" t="s">
        <v>56</v>
      </c>
      <c r="M4" s="154"/>
      <c r="N4" s="155" t="s">
        <v>57</v>
      </c>
      <c r="O4" s="156"/>
      <c r="P4" s="156"/>
      <c r="Q4" s="156"/>
    </row>
    <row r="5" spans="1:44" ht="8.1" customHeight="1" x14ac:dyDescent="0.25"/>
    <row r="6" spans="1:44" ht="18" customHeight="1" x14ac:dyDescent="0.25">
      <c r="B6" s="151" t="s">
        <v>58</v>
      </c>
      <c r="C6" s="152"/>
      <c r="D6" s="152"/>
      <c r="E6" s="152"/>
      <c r="F6" s="152"/>
      <c r="G6" s="151" t="s">
        <v>59</v>
      </c>
      <c r="H6" s="152"/>
      <c r="I6" s="151" t="s">
        <v>60</v>
      </c>
      <c r="J6" s="152"/>
      <c r="K6" s="152"/>
      <c r="L6" s="152"/>
      <c r="M6" s="151" t="s">
        <v>61</v>
      </c>
      <c r="N6" s="152"/>
      <c r="O6" s="152"/>
      <c r="P6" s="152"/>
      <c r="Q6" s="152"/>
      <c r="R6" s="151" t="s">
        <v>62</v>
      </c>
      <c r="S6" s="152"/>
      <c r="T6" s="152"/>
      <c r="U6" s="152"/>
      <c r="V6" s="152"/>
      <c r="W6" s="151" t="s">
        <v>63</v>
      </c>
      <c r="X6" s="152"/>
      <c r="Z6" s="157" t="s">
        <v>64</v>
      </c>
      <c r="AA6" s="130"/>
      <c r="AB6" s="130"/>
      <c r="AC6" s="130"/>
      <c r="AD6" s="130"/>
      <c r="AE6" s="130"/>
      <c r="AF6" s="130"/>
      <c r="AG6" s="130"/>
      <c r="AH6" s="130"/>
      <c r="AI6" s="130"/>
      <c r="AJ6" s="130"/>
      <c r="AK6" s="130"/>
      <c r="AL6" s="130"/>
      <c r="AM6" s="130"/>
      <c r="AN6" s="130"/>
      <c r="AO6" s="130"/>
      <c r="AP6" s="130"/>
      <c r="AQ6" s="130"/>
      <c r="AR6" s="130"/>
    </row>
    <row r="7" spans="1:44" ht="45.95" customHeight="1" x14ac:dyDescent="0.25">
      <c r="B7" s="39" t="s">
        <v>65</v>
      </c>
      <c r="C7" s="40" t="s">
        <v>66</v>
      </c>
      <c r="D7" s="40" t="s">
        <v>36</v>
      </c>
      <c r="E7" s="39" t="s">
        <v>67</v>
      </c>
      <c r="F7" s="40" t="s">
        <v>68</v>
      </c>
      <c r="G7" s="40" t="s">
        <v>69</v>
      </c>
      <c r="H7" s="39" t="s">
        <v>70</v>
      </c>
      <c r="I7" s="40" t="s">
        <v>71</v>
      </c>
      <c r="J7" s="40" t="s">
        <v>72</v>
      </c>
      <c r="K7" s="39" t="s">
        <v>73</v>
      </c>
      <c r="L7" s="39" t="s">
        <v>74</v>
      </c>
      <c r="M7" s="39" t="s">
        <v>75</v>
      </c>
      <c r="N7" s="39" t="s">
        <v>76</v>
      </c>
      <c r="O7" s="39" t="s">
        <v>77</v>
      </c>
      <c r="P7" s="39" t="s">
        <v>78</v>
      </c>
      <c r="Q7" s="39" t="s">
        <v>79</v>
      </c>
      <c r="R7" s="40" t="s">
        <v>80</v>
      </c>
      <c r="S7" s="40" t="s">
        <v>81</v>
      </c>
      <c r="T7" s="40" t="s">
        <v>82</v>
      </c>
      <c r="U7" s="40" t="s">
        <v>83</v>
      </c>
      <c r="V7" s="40" t="s">
        <v>84</v>
      </c>
      <c r="W7" s="39" t="s">
        <v>85</v>
      </c>
      <c r="X7" s="40" t="s">
        <v>86</v>
      </c>
      <c r="Z7" s="41" t="s">
        <v>87</v>
      </c>
      <c r="AA7" s="41" t="s">
        <v>88</v>
      </c>
      <c r="AB7" s="41" t="s">
        <v>89</v>
      </c>
      <c r="AC7" s="41" t="s">
        <v>90</v>
      </c>
      <c r="AD7" s="41" t="s">
        <v>91</v>
      </c>
      <c r="AE7" s="41" t="s">
        <v>92</v>
      </c>
      <c r="AF7" s="41" t="s">
        <v>93</v>
      </c>
      <c r="AG7" s="41" t="s">
        <v>94</v>
      </c>
      <c r="AH7" s="41" t="s">
        <v>95</v>
      </c>
      <c r="AI7" s="41" t="s">
        <v>96</v>
      </c>
      <c r="AJ7" s="41" t="s">
        <v>97</v>
      </c>
      <c r="AK7" s="41" t="s">
        <v>98</v>
      </c>
      <c r="AL7" s="41" t="s">
        <v>99</v>
      </c>
      <c r="AM7" s="41" t="s">
        <v>100</v>
      </c>
      <c r="AN7" s="41" t="s">
        <v>101</v>
      </c>
      <c r="AO7" s="41" t="s">
        <v>102</v>
      </c>
      <c r="AP7" s="41" t="s">
        <v>103</v>
      </c>
      <c r="AQ7" s="41" t="s">
        <v>104</v>
      </c>
      <c r="AR7" s="41" t="s">
        <v>105</v>
      </c>
    </row>
    <row r="8" spans="1:44" ht="18.95" customHeight="1" x14ac:dyDescent="0.25">
      <c r="B8" s="42">
        <f>IF(C8="","",COUNT($C$8:C8))</f>
        <v>1</v>
      </c>
      <c r="C8" s="43">
        <v>46268</v>
      </c>
      <c r="D8" s="44" t="s">
        <v>106</v>
      </c>
      <c r="E8" s="45" t="str">
        <f>IF($Z8="","",IF($F8=ApportCouvert,INDEX(Îlots!$I$8:$I$57,$Z8)&amp;"",INDEX(Îlots!$N$8:$N$57,$Z8)&amp;""))</f>
        <v>CINE (non exporté)</v>
      </c>
      <c r="F8" s="44" t="s">
        <v>107</v>
      </c>
      <c r="G8" s="44" t="s">
        <v>108</v>
      </c>
      <c r="H8" s="46" t="str">
        <f>IF($AA8="","",INDEX(Fertilisants!$D$8:$D$47,$AA8)&amp;"")</f>
        <v>Type Ia</v>
      </c>
      <c r="I8" s="47">
        <v>13.1</v>
      </c>
      <c r="J8" s="48">
        <v>20</v>
      </c>
      <c r="K8" s="46" t="str">
        <f>IF($AA8="","",INDEX(Fertilisants!$E$8:$E$47,$AA8)&amp;"")</f>
        <v>t</v>
      </c>
      <c r="L8" s="49">
        <f t="shared" ref="L8:L71" si="0">IF(OR($I8="",$J8=""),"",$I8*$J8)</f>
        <v>262</v>
      </c>
      <c r="M8" s="50">
        <f>IF(OR($J8="",$AA8=""),"",$J8*N(INDEX(Fertilisants!$G$8:$G$47,$AA8)))</f>
        <v>116</v>
      </c>
      <c r="N8" s="50">
        <f>IF(OR($J8="",$AA8=""),"",$J8*N(INDEX(Fertilisants!$I$8:$I$47,$AA8)))</f>
        <v>11.6</v>
      </c>
      <c r="O8" s="50">
        <f>IF(OR($J8="",$AA8=""),"",$J8*N(INDEX(Fertilisants!$J$8:$J$47,$AA8)))</f>
        <v>52</v>
      </c>
      <c r="P8" s="50">
        <f>IF(OR($J8="",$AA8=""),"",$J8*N(INDEX(Fertilisants!$K$8:$K$47,$AA8)))</f>
        <v>190</v>
      </c>
      <c r="Q8" s="50">
        <f t="shared" ref="Q8:Q71" si="1">IF(OR($I8="",$M8=""),"",$I8*$M8)</f>
        <v>1519.6</v>
      </c>
      <c r="R8" s="44" t="s">
        <v>109</v>
      </c>
      <c r="S8" s="44" t="s">
        <v>110</v>
      </c>
      <c r="T8" s="51"/>
      <c r="U8" s="44" t="s">
        <v>111</v>
      </c>
      <c r="V8" s="43">
        <v>46270</v>
      </c>
      <c r="W8" s="52" t="str">
        <f t="shared" ref="W8:W71" si="2">IF($C8="","",IF(OR($D8="",$G8="",$I8="",$J8=""),"Incomplet",IF(OR($R8="Enneigé",$R8="Détrempé",$R8="Inondé",AND($R8="Gelé",$H8&lt;&gt;"Type 0",$H8&lt;&gt;"Type Ia")),"Sol interdit",IF($AL8=1,"Période interdite",IF(AND(ISNUMBER($AB8),$I8&gt;$AB8+0.001),"Surface &gt; îlot",IF(OR($C8&lt;DebutCampagne,$C8&gt;FinCampagne),"Hors campagne",IF(AND(ISNUMBER($V8),$V8-$C8&gt;DelaiSaisie),"Saisie tardive","Conforme")))))))</f>
        <v>Conforme</v>
      </c>
      <c r="X8" s="44" t="s">
        <v>112</v>
      </c>
      <c r="Z8" s="53">
        <f>IF($D8="","",IFERROR(MATCH($D8,Îlots!$D$8:$D$57,0),""))</f>
        <v>8</v>
      </c>
      <c r="AA8" s="53">
        <f>IF($G8="","",IFERROR(MATCH($G8,Fertilisants!$B$8:$B$47,0),""))</f>
        <v>1</v>
      </c>
      <c r="AB8" s="53">
        <f>IF($Z8="","",INDEX(Îlots!$E$8:$E$57,$Z8))</f>
        <v>13.1</v>
      </c>
      <c r="AC8" s="53" t="str">
        <f>IF($Z8="","",INDEX(Îlots!$G$8:$G$57,$Z8)&amp;"")</f>
        <v>Oui</v>
      </c>
      <c r="AD8" s="53" t="str">
        <f>IF($Z8="","",IF($F8=ApportCouvert,OccCouvert,INDEX(Îlots!$O$8:$O$57,$Z8)&amp;""))</f>
        <v>Couvert d'interculture (CINE, CIE)</v>
      </c>
      <c r="AE8" s="53">
        <f t="shared" ref="AE8:AE71" si="3">IF(OR($AD8="",$AC8="Non",ZoneVulnerable="Non"),"",IFERROR(MATCH($AD8,CalOccupations,0),""))</f>
        <v>5</v>
      </c>
      <c r="AF8" s="53">
        <f t="shared" ref="AF8:AF71" si="4">IF($H8="","",IFERROR(MATCH($H8,CalTypes,0),""))</f>
        <v>3</v>
      </c>
      <c r="AG8" s="53">
        <f t="shared" ref="AG8:AG71" si="5">IF(ISNUMBER($C8),MONTH($C8)*100+DAY($C8),"")</f>
        <v>903</v>
      </c>
      <c r="AH8" s="53">
        <f t="shared" ref="AH8:AH71" si="6">IF(OR($AE8="",$AF8=""),0,IF(N(INDEX(CalPrincipal,$AE8,$AF8+0))=0,0,MONTH(INDEX(CalPrincipal,$AE8,$AF8+0))*100+DAY(INDEX(CalPrincipal,$AE8,$AF8+0))))</f>
        <v>1115</v>
      </c>
      <c r="AI8" s="53">
        <f t="shared" ref="AI8:AI71" si="7">IF(OR($AE8="",$AF8=""),0,IF(N(INDEX(CalPrincipal,$AE8,$AF8+1))=0,0,MONTH(INDEX(CalPrincipal,$AE8,$AF8+1))*100+DAY(INDEX(CalPrincipal,$AE8,$AF8+1))))</f>
        <v>115</v>
      </c>
      <c r="AJ8" s="53">
        <f t="shared" ref="AJ8:AJ71" si="8">IF(OR($AE8="",$AF8=""),0,IF(N(INDEX(CalComplement,$AE8,$AF8+0))=0,0,MONTH(INDEX(CalComplement,$AE8,$AF8+0))*100+DAY(INDEX(CalComplement,$AE8,$AF8+0))))</f>
        <v>0</v>
      </c>
      <c r="AK8" s="53">
        <f t="shared" ref="AK8:AK71" si="9">IF(OR($AE8="",$AF8=""),0,IF(N(INDEX(CalComplement,$AE8,$AF8+1))=0,0,MONTH(INDEX(CalComplement,$AE8,$AF8+1))*100+DAY(INDEX(CalComplement,$AE8,$AF8+1))))</f>
        <v>0</v>
      </c>
      <c r="AL8" s="53">
        <f t="shared" ref="AL8:AL71" si="10">IF(OR($AE8="",$AF8="",$AG8=""),0,IF(OR(AND($AH8&gt;0,IF($AH8&lt;=$AI8,AND($AG8&gt;=$AH8,$AG8&lt;=$AI8),OR($AG8&gt;=$AH8,$AG8&lt;=$AI8))),AND($AJ8&gt;0,IF($AJ8&lt;=$AK8,AND($AG8&gt;=$AJ8,$AG8&lt;=$AK8),OR($AG8&gt;=$AJ8,$AG8&lt;=$AK8)))),1,0))</f>
        <v>0</v>
      </c>
      <c r="AM8" s="53">
        <f>IF($AA8="",0,IF(INDEX(Fertilisants!$C$8:$C$47,$AA8)="Effluent d'élevage",1,0))</f>
        <v>1</v>
      </c>
      <c r="AN8" s="53" t="str">
        <f>IF($AA8="","",IF(INDEX(Fertilisants!$C$8:$C$47,$AA8)="Engrais minéral","Minéral","Organique"))</f>
        <v>Organique</v>
      </c>
      <c r="AO8" s="53">
        <f t="shared" ref="AO8:AO71" si="11">IF(OR($I8="",$N8=""),"",$I8*$N8)</f>
        <v>151.95999999999998</v>
      </c>
      <c r="AP8" s="53">
        <f t="shared" ref="AP8:AP71" si="12">IF(OR($I8="",$O8=""),"",$I8*$O8)</f>
        <v>681.19999999999993</v>
      </c>
      <c r="AQ8" s="53">
        <f t="shared" ref="AQ8:AQ71" si="13">IF(OR($I8="",$P8=""),"",$I8*$P8)</f>
        <v>2489</v>
      </c>
      <c r="AR8" s="53" t="str">
        <f>IF(AND($D8&lt;&gt;"",$D8=FicheIlot),COUNTIF($D$8:$D8,FicheIlot),"")</f>
        <v/>
      </c>
    </row>
    <row r="9" spans="1:44" ht="18.95" customHeight="1" x14ac:dyDescent="0.25">
      <c r="B9" s="42">
        <f>IF(C9="","",COUNT($C$8:C9))</f>
        <v>2</v>
      </c>
      <c r="C9" s="43">
        <v>46273</v>
      </c>
      <c r="D9" s="44" t="s">
        <v>113</v>
      </c>
      <c r="E9" s="45" t="str">
        <f>IF($Z9="","",IF($F9=ApportCouvert,INDEX(Îlots!$I$8:$I$57,$Z9)&amp;"",INDEX(Îlots!$N$8:$N$57,$Z9)&amp;""))</f>
        <v>Colza d'hiver</v>
      </c>
      <c r="F9" s="44" t="s">
        <v>114</v>
      </c>
      <c r="G9" s="44" t="s">
        <v>115</v>
      </c>
      <c r="H9" s="46" t="str">
        <f>IF($AA9="","",INDEX(Fertilisants!$D$8:$D$47,$AA9)&amp;"")</f>
        <v>Type II</v>
      </c>
      <c r="I9" s="47">
        <v>9.6</v>
      </c>
      <c r="J9" s="48">
        <v>25</v>
      </c>
      <c r="K9" s="46" t="str">
        <f>IF($AA9="","",INDEX(Fertilisants!$E$8:$E$47,$AA9)&amp;"")</f>
        <v>m³</v>
      </c>
      <c r="L9" s="49">
        <f t="shared" si="0"/>
        <v>240</v>
      </c>
      <c r="M9" s="50">
        <f>IF(OR($J9="",$AA9=""),"",$J9*N(INDEX(Fertilisants!$G$8:$G$47,$AA9)))</f>
        <v>100</v>
      </c>
      <c r="N9" s="50">
        <f>IF(OR($J9="",$AA9=""),"",$J9*N(INDEX(Fertilisants!$I$8:$I$47,$AA9)))</f>
        <v>50</v>
      </c>
      <c r="O9" s="50">
        <f>IF(OR($J9="",$AA9=""),"",$J9*N(INDEX(Fertilisants!$J$8:$J$47,$AA9)))</f>
        <v>42.5</v>
      </c>
      <c r="P9" s="50">
        <f>IF(OR($J9="",$AA9=""),"",$J9*N(INDEX(Fertilisants!$K$8:$K$47,$AA9)))</f>
        <v>114.99999999999999</v>
      </c>
      <c r="Q9" s="50">
        <f t="shared" si="1"/>
        <v>960</v>
      </c>
      <c r="R9" s="44" t="s">
        <v>109</v>
      </c>
      <c r="S9" s="44" t="s">
        <v>116</v>
      </c>
      <c r="T9" s="51"/>
      <c r="U9" s="44" t="s">
        <v>117</v>
      </c>
      <c r="V9" s="43">
        <v>46274</v>
      </c>
      <c r="W9" s="52" t="str">
        <f t="shared" si="2"/>
        <v>Conforme</v>
      </c>
      <c r="X9" s="44"/>
      <c r="Z9" s="53">
        <f>IF($D9="","",IFERROR(MATCH($D9,Îlots!$D$8:$D$57,0),""))</f>
        <v>3</v>
      </c>
      <c r="AA9" s="53">
        <f>IF($G9="","",IFERROR(MATCH($G9,Fertilisants!$B$8:$B$47,0),""))</f>
        <v>2</v>
      </c>
      <c r="AB9" s="53">
        <f>IF($Z9="","",INDEX(Îlots!$E$8:$E$57,$Z9))</f>
        <v>9.6</v>
      </c>
      <c r="AC9" s="53" t="str">
        <f>IF($Z9="","",INDEX(Îlots!$G$8:$G$57,$Z9)&amp;"")</f>
        <v>Oui</v>
      </c>
      <c r="AD9" s="53" t="str">
        <f>IF($Z9="","",IF($F9=ApportCouvert,OccCouvert,INDEX(Îlots!$O$8:$O$57,$Z9)&amp;""))</f>
        <v>Colza d'automne</v>
      </c>
      <c r="AE9" s="53">
        <f t="shared" si="3"/>
        <v>2</v>
      </c>
      <c r="AF9" s="53">
        <f t="shared" si="4"/>
        <v>7</v>
      </c>
      <c r="AG9" s="53">
        <f t="shared" si="5"/>
        <v>908</v>
      </c>
      <c r="AH9" s="53">
        <f t="shared" si="6"/>
        <v>1015</v>
      </c>
      <c r="AI9" s="53">
        <f t="shared" si="7"/>
        <v>131</v>
      </c>
      <c r="AJ9" s="53">
        <f t="shared" si="8"/>
        <v>0</v>
      </c>
      <c r="AK9" s="53">
        <f t="shared" si="9"/>
        <v>0</v>
      </c>
      <c r="AL9" s="53">
        <f t="shared" si="10"/>
        <v>0</v>
      </c>
      <c r="AM9" s="53">
        <f>IF($AA9="",0,IF(INDEX(Fertilisants!$C$8:$C$47,$AA9)="Effluent d'élevage",1,0))</f>
        <v>1</v>
      </c>
      <c r="AN9" s="53" t="str">
        <f>IF($AA9="","",IF(INDEX(Fertilisants!$C$8:$C$47,$AA9)="Engrais minéral","Minéral","Organique"))</f>
        <v>Organique</v>
      </c>
      <c r="AO9" s="53">
        <f t="shared" si="11"/>
        <v>480</v>
      </c>
      <c r="AP9" s="53">
        <f t="shared" si="12"/>
        <v>408</v>
      </c>
      <c r="AQ9" s="53">
        <f t="shared" si="13"/>
        <v>1103.9999999999998</v>
      </c>
      <c r="AR9" s="53" t="str">
        <f>IF(AND($D9&lt;&gt;"",$D9=FicheIlot),COUNTIF($D$8:$D9,FicheIlot),"")</f>
        <v/>
      </c>
    </row>
    <row r="10" spans="1:44" ht="18.95" customHeight="1" x14ac:dyDescent="0.25">
      <c r="B10" s="42">
        <f>IF(C10="","",COUNT($C$8:C10))</f>
        <v>3</v>
      </c>
      <c r="C10" s="43">
        <v>46275</v>
      </c>
      <c r="D10" s="44" t="s">
        <v>118</v>
      </c>
      <c r="E10" s="45" t="str">
        <f>IF($Z10="","",IF($F10=ApportCouvert,INDEX(Îlots!$I$8:$I$57,$Z10)&amp;"",INDEX(Îlots!$N$8:$N$57,$Z10)&amp;""))</f>
        <v>CINE (non exporté)</v>
      </c>
      <c r="F10" s="44" t="s">
        <v>107</v>
      </c>
      <c r="G10" s="44" t="s">
        <v>108</v>
      </c>
      <c r="H10" s="46" t="str">
        <f>IF($AA10="","",INDEX(Fertilisants!$D$8:$D$47,$AA10)&amp;"")</f>
        <v>Type Ia</v>
      </c>
      <c r="I10" s="47">
        <v>14.8</v>
      </c>
      <c r="J10" s="48">
        <v>30</v>
      </c>
      <c r="K10" s="46" t="str">
        <f>IF($AA10="","",INDEX(Fertilisants!$E$8:$E$47,$AA10)&amp;"")</f>
        <v>t</v>
      </c>
      <c r="L10" s="49">
        <f t="shared" si="0"/>
        <v>444</v>
      </c>
      <c r="M10" s="50">
        <f>IF(OR($J10="",$AA10=""),"",$J10*N(INDEX(Fertilisants!$G$8:$G$47,$AA10)))</f>
        <v>174</v>
      </c>
      <c r="N10" s="50">
        <f>IF(OR($J10="",$AA10=""),"",$J10*N(INDEX(Fertilisants!$I$8:$I$47,$AA10)))</f>
        <v>17.399999999999999</v>
      </c>
      <c r="O10" s="50">
        <f>IF(OR($J10="",$AA10=""),"",$J10*N(INDEX(Fertilisants!$J$8:$J$47,$AA10)))</f>
        <v>78</v>
      </c>
      <c r="P10" s="50">
        <f>IF(OR($J10="",$AA10=""),"",$J10*N(INDEX(Fertilisants!$K$8:$K$47,$AA10)))</f>
        <v>285</v>
      </c>
      <c r="Q10" s="50">
        <f t="shared" si="1"/>
        <v>2575.2000000000003</v>
      </c>
      <c r="R10" s="44" t="s">
        <v>109</v>
      </c>
      <c r="S10" s="44" t="s">
        <v>110</v>
      </c>
      <c r="T10" s="51"/>
      <c r="U10" s="44" t="s">
        <v>111</v>
      </c>
      <c r="V10" s="43">
        <v>46279</v>
      </c>
      <c r="W10" s="52" t="str">
        <f t="shared" si="2"/>
        <v>Conforme</v>
      </c>
      <c r="X10" s="44"/>
      <c r="Z10" s="53">
        <f>IF($D10="","",IFERROR(MATCH($D10,Îlots!$D$8:$D$57,0),""))</f>
        <v>1</v>
      </c>
      <c r="AA10" s="53">
        <f>IF($G10="","",IFERROR(MATCH($G10,Fertilisants!$B$8:$B$47,0),""))</f>
        <v>1</v>
      </c>
      <c r="AB10" s="53">
        <f>IF($Z10="","",INDEX(Îlots!$E$8:$E$57,$Z10))</f>
        <v>14.8</v>
      </c>
      <c r="AC10" s="53" t="str">
        <f>IF($Z10="","",INDEX(Îlots!$G$8:$G$57,$Z10)&amp;"")</f>
        <v>Oui</v>
      </c>
      <c r="AD10" s="53" t="str">
        <f>IF($Z10="","",IF($F10=ApportCouvert,OccCouvert,INDEX(Îlots!$O$8:$O$57,$Z10)&amp;""))</f>
        <v>Couvert d'interculture (CINE, CIE)</v>
      </c>
      <c r="AE10" s="53">
        <f t="shared" si="3"/>
        <v>5</v>
      </c>
      <c r="AF10" s="53">
        <f t="shared" si="4"/>
        <v>3</v>
      </c>
      <c r="AG10" s="53">
        <f t="shared" si="5"/>
        <v>910</v>
      </c>
      <c r="AH10" s="53">
        <f t="shared" si="6"/>
        <v>1115</v>
      </c>
      <c r="AI10" s="53">
        <f t="shared" si="7"/>
        <v>115</v>
      </c>
      <c r="AJ10" s="53">
        <f t="shared" si="8"/>
        <v>0</v>
      </c>
      <c r="AK10" s="53">
        <f t="shared" si="9"/>
        <v>0</v>
      </c>
      <c r="AL10" s="53">
        <f t="shared" si="10"/>
        <v>0</v>
      </c>
      <c r="AM10" s="53">
        <f>IF($AA10="",0,IF(INDEX(Fertilisants!$C$8:$C$47,$AA10)="Effluent d'élevage",1,0))</f>
        <v>1</v>
      </c>
      <c r="AN10" s="53" t="str">
        <f>IF($AA10="","",IF(INDEX(Fertilisants!$C$8:$C$47,$AA10)="Engrais minéral","Minéral","Organique"))</f>
        <v>Organique</v>
      </c>
      <c r="AO10" s="53">
        <f t="shared" si="11"/>
        <v>257.52</v>
      </c>
      <c r="AP10" s="53">
        <f t="shared" si="12"/>
        <v>1154.4000000000001</v>
      </c>
      <c r="AQ10" s="53">
        <f t="shared" si="13"/>
        <v>4218</v>
      </c>
      <c r="AR10" s="53" t="str">
        <f>IF(AND($D10&lt;&gt;"",$D10=FicheIlot),COUNTIF($D$8:$D10,FicheIlot),"")</f>
        <v/>
      </c>
    </row>
    <row r="11" spans="1:44" ht="18.95" customHeight="1" x14ac:dyDescent="0.25">
      <c r="B11" s="42">
        <f>IF(C11="","",COUNT($C$8:C11))</f>
        <v>4</v>
      </c>
      <c r="C11" s="43">
        <v>46280</v>
      </c>
      <c r="D11" s="44" t="s">
        <v>119</v>
      </c>
      <c r="E11" s="45" t="str">
        <f>IF($Z11="","",IF($F11=ApportCouvert,INDEX(Îlots!$I$8:$I$57,$Z11)&amp;"",INDEX(Îlots!$N$8:$N$57,$Z11)&amp;""))</f>
        <v>Prairie permanente</v>
      </c>
      <c r="F11" s="44" t="s">
        <v>114</v>
      </c>
      <c r="G11" s="44" t="s">
        <v>115</v>
      </c>
      <c r="H11" s="46" t="str">
        <f>IF($AA11="","",INDEX(Fertilisants!$D$8:$D$47,$AA11)&amp;"")</f>
        <v>Type II</v>
      </c>
      <c r="I11" s="47">
        <v>8.9</v>
      </c>
      <c r="J11" s="48">
        <v>20</v>
      </c>
      <c r="K11" s="46" t="str">
        <f>IF($AA11="","",INDEX(Fertilisants!$E$8:$E$47,$AA11)&amp;"")</f>
        <v>m³</v>
      </c>
      <c r="L11" s="49">
        <f t="shared" si="0"/>
        <v>178</v>
      </c>
      <c r="M11" s="50">
        <f>IF(OR($J11="",$AA11=""),"",$J11*N(INDEX(Fertilisants!$G$8:$G$47,$AA11)))</f>
        <v>80</v>
      </c>
      <c r="N11" s="50">
        <f>IF(OR($J11="",$AA11=""),"",$J11*N(INDEX(Fertilisants!$I$8:$I$47,$AA11)))</f>
        <v>40</v>
      </c>
      <c r="O11" s="50">
        <f>IF(OR($J11="",$AA11=""),"",$J11*N(INDEX(Fertilisants!$J$8:$J$47,$AA11)))</f>
        <v>34</v>
      </c>
      <c r="P11" s="50">
        <f>IF(OR($J11="",$AA11=""),"",$J11*N(INDEX(Fertilisants!$K$8:$K$47,$AA11)))</f>
        <v>92</v>
      </c>
      <c r="Q11" s="50">
        <f t="shared" si="1"/>
        <v>712</v>
      </c>
      <c r="R11" s="44" t="s">
        <v>109</v>
      </c>
      <c r="S11" s="44" t="s">
        <v>116</v>
      </c>
      <c r="T11" s="51"/>
      <c r="U11" s="44" t="s">
        <v>111</v>
      </c>
      <c r="V11" s="43">
        <v>46280</v>
      </c>
      <c r="W11" s="52" t="str">
        <f t="shared" si="2"/>
        <v>Conforme</v>
      </c>
      <c r="X11" s="44"/>
      <c r="Z11" s="53">
        <f>IF($D11="","",IFERROR(MATCH($D11,Îlots!$D$8:$D$57,0),""))</f>
        <v>6</v>
      </c>
      <c r="AA11" s="53">
        <f>IF($G11="","",IFERROR(MATCH($G11,Fertilisants!$B$8:$B$47,0),""))</f>
        <v>2</v>
      </c>
      <c r="AB11" s="53">
        <f>IF($Z11="","",INDEX(Îlots!$E$8:$E$57,$Z11))</f>
        <v>8.9</v>
      </c>
      <c r="AC11" s="53" t="str">
        <f>IF($Z11="","",INDEX(Îlots!$G$8:$G$57,$Z11)&amp;"")</f>
        <v>Oui</v>
      </c>
      <c r="AD11" s="53" t="str">
        <f>IF($Z11="","",IF($F11=ApportCouvert,OccCouvert,INDEX(Îlots!$O$8:$O$57,$Z11)&amp;""))</f>
        <v>Prairie &gt; 6 mois et luzerne</v>
      </c>
      <c r="AE11" s="53">
        <f t="shared" si="3"/>
        <v>4</v>
      </c>
      <c r="AF11" s="53">
        <f t="shared" si="4"/>
        <v>7</v>
      </c>
      <c r="AG11" s="53">
        <f t="shared" si="5"/>
        <v>915</v>
      </c>
      <c r="AH11" s="53">
        <f t="shared" si="6"/>
        <v>1115</v>
      </c>
      <c r="AI11" s="53">
        <f t="shared" si="7"/>
        <v>115</v>
      </c>
      <c r="AJ11" s="53">
        <f t="shared" si="8"/>
        <v>0</v>
      </c>
      <c r="AK11" s="53">
        <f t="shared" si="9"/>
        <v>0</v>
      </c>
      <c r="AL11" s="53">
        <f t="shared" si="10"/>
        <v>0</v>
      </c>
      <c r="AM11" s="53">
        <f>IF($AA11="",0,IF(INDEX(Fertilisants!$C$8:$C$47,$AA11)="Effluent d'élevage",1,0))</f>
        <v>1</v>
      </c>
      <c r="AN11" s="53" t="str">
        <f>IF($AA11="","",IF(INDEX(Fertilisants!$C$8:$C$47,$AA11)="Engrais minéral","Minéral","Organique"))</f>
        <v>Organique</v>
      </c>
      <c r="AO11" s="53">
        <f t="shared" si="11"/>
        <v>356</v>
      </c>
      <c r="AP11" s="53">
        <f t="shared" si="12"/>
        <v>302.60000000000002</v>
      </c>
      <c r="AQ11" s="53">
        <f t="shared" si="13"/>
        <v>818.80000000000007</v>
      </c>
      <c r="AR11" s="53" t="str">
        <f>IF(AND($D11&lt;&gt;"",$D11=FicheIlot),COUNTIF($D$8:$D11,FicheIlot),"")</f>
        <v/>
      </c>
    </row>
    <row r="12" spans="1:44" ht="18.95" customHeight="1" x14ac:dyDescent="0.25">
      <c r="B12" s="42">
        <f>IF(C12="","",COUNT($C$8:C12))</f>
        <v>5</v>
      </c>
      <c r="C12" s="43">
        <v>46287</v>
      </c>
      <c r="D12" s="44" t="s">
        <v>120</v>
      </c>
      <c r="E12" s="45" t="str">
        <f>IF($Z12="","",IF($F12=ApportCouvert,INDEX(Îlots!$I$8:$I$57,$Z12)&amp;"",INDEX(Îlots!$N$8:$N$57,$Z12)&amp;""))</f>
        <v>Blé tendre d'hiver</v>
      </c>
      <c r="F12" s="44" t="s">
        <v>121</v>
      </c>
      <c r="G12" s="44" t="s">
        <v>108</v>
      </c>
      <c r="H12" s="46" t="str">
        <f>IF($AA12="","",INDEX(Fertilisants!$D$8:$D$47,$AA12)&amp;"")</f>
        <v>Type Ia</v>
      </c>
      <c r="I12" s="47">
        <v>11.35</v>
      </c>
      <c r="J12" s="48">
        <v>25</v>
      </c>
      <c r="K12" s="46" t="str">
        <f>IF($AA12="","",INDEX(Fertilisants!$E$8:$E$47,$AA12)&amp;"")</f>
        <v>t</v>
      </c>
      <c r="L12" s="49">
        <f t="shared" si="0"/>
        <v>283.75</v>
      </c>
      <c r="M12" s="50">
        <f>IF(OR($J12="",$AA12=""),"",$J12*N(INDEX(Fertilisants!$G$8:$G$47,$AA12)))</f>
        <v>145</v>
      </c>
      <c r="N12" s="50">
        <f>IF(OR($J12="",$AA12=""),"",$J12*N(INDEX(Fertilisants!$I$8:$I$47,$AA12)))</f>
        <v>14.499999999999998</v>
      </c>
      <c r="O12" s="50">
        <f>IF(OR($J12="",$AA12=""),"",$J12*N(INDEX(Fertilisants!$J$8:$J$47,$AA12)))</f>
        <v>65</v>
      </c>
      <c r="P12" s="50">
        <f>IF(OR($J12="",$AA12=""),"",$J12*N(INDEX(Fertilisants!$K$8:$K$47,$AA12)))</f>
        <v>237.5</v>
      </c>
      <c r="Q12" s="50">
        <f t="shared" si="1"/>
        <v>1645.75</v>
      </c>
      <c r="R12" s="44" t="s">
        <v>109</v>
      </c>
      <c r="S12" s="44" t="s">
        <v>122</v>
      </c>
      <c r="T12" s="51">
        <v>12</v>
      </c>
      <c r="U12" s="44" t="s">
        <v>111</v>
      </c>
      <c r="V12" s="43">
        <v>46289</v>
      </c>
      <c r="W12" s="52" t="str">
        <f t="shared" si="2"/>
        <v>Conforme</v>
      </c>
      <c r="X12" s="44" t="s">
        <v>123</v>
      </c>
      <c r="Z12" s="53">
        <f>IF($D12="","",IFERROR(MATCH($D12,Îlots!$D$8:$D$57,0),""))</f>
        <v>2</v>
      </c>
      <c r="AA12" s="53">
        <f>IF($G12="","",IFERROR(MATCH($G12,Fertilisants!$B$8:$B$47,0),""))</f>
        <v>1</v>
      </c>
      <c r="AB12" s="53">
        <f>IF($Z12="","",INDEX(Îlots!$E$8:$E$57,$Z12))</f>
        <v>11.35</v>
      </c>
      <c r="AC12" s="53" t="str">
        <f>IF($Z12="","",INDEX(Îlots!$G$8:$G$57,$Z12)&amp;"")</f>
        <v>Oui</v>
      </c>
      <c r="AD12" s="53" t="str">
        <f>IF($Z12="","",IF($F12=ApportCouvert,OccCouvert,INDEX(Îlots!$O$8:$O$57,$Z12)&amp;""))</f>
        <v>Culture d'automne (hors colza)</v>
      </c>
      <c r="AE12" s="53">
        <f t="shared" si="3"/>
        <v>1</v>
      </c>
      <c r="AF12" s="53">
        <f t="shared" si="4"/>
        <v>3</v>
      </c>
      <c r="AG12" s="53">
        <f t="shared" si="5"/>
        <v>922</v>
      </c>
      <c r="AH12" s="53">
        <f t="shared" si="6"/>
        <v>1115</v>
      </c>
      <c r="AI12" s="53">
        <f t="shared" si="7"/>
        <v>115</v>
      </c>
      <c r="AJ12" s="53">
        <f t="shared" si="8"/>
        <v>0</v>
      </c>
      <c r="AK12" s="53">
        <f t="shared" si="9"/>
        <v>0</v>
      </c>
      <c r="AL12" s="53">
        <f t="shared" si="10"/>
        <v>0</v>
      </c>
      <c r="AM12" s="53">
        <f>IF($AA12="",0,IF(INDEX(Fertilisants!$C$8:$C$47,$AA12)="Effluent d'élevage",1,0))</f>
        <v>1</v>
      </c>
      <c r="AN12" s="53" t="str">
        <f>IF($AA12="","",IF(INDEX(Fertilisants!$C$8:$C$47,$AA12)="Engrais minéral","Minéral","Organique"))</f>
        <v>Organique</v>
      </c>
      <c r="AO12" s="53">
        <f t="shared" si="11"/>
        <v>164.57499999999999</v>
      </c>
      <c r="AP12" s="53">
        <f t="shared" si="12"/>
        <v>737.75</v>
      </c>
      <c r="AQ12" s="53">
        <f t="shared" si="13"/>
        <v>2695.625</v>
      </c>
      <c r="AR12" s="53" t="str">
        <f>IF(AND($D12&lt;&gt;"",$D12=FicheIlot),COUNTIF($D$8:$D12,FicheIlot),"")</f>
        <v/>
      </c>
    </row>
    <row r="13" spans="1:44" ht="18.95" customHeight="1" x14ac:dyDescent="0.25">
      <c r="B13" s="42">
        <f>IF(C13="","",COUNT($C$8:C13))</f>
        <v>6</v>
      </c>
      <c r="C13" s="43">
        <v>46300</v>
      </c>
      <c r="D13" s="44" t="s">
        <v>124</v>
      </c>
      <c r="E13" s="45" t="str">
        <f>IF($Z13="","",IF($F13=ApportCouvert,INDEX(Îlots!$I$8:$I$57,$Z13)&amp;"",INDEX(Îlots!$N$8:$N$57,$Z13)&amp;""))</f>
        <v>Prairie temporaire</v>
      </c>
      <c r="F13" s="44" t="s">
        <v>114</v>
      </c>
      <c r="G13" s="44" t="s">
        <v>125</v>
      </c>
      <c r="H13" s="46" t="str">
        <f>IF($AA13="","",INDEX(Fertilisants!$D$8:$D$47,$AA13)&amp;"")</f>
        <v>Type Ia</v>
      </c>
      <c r="I13" s="47">
        <v>7.45</v>
      </c>
      <c r="J13" s="48">
        <v>15</v>
      </c>
      <c r="K13" s="46" t="str">
        <f>IF($AA13="","",INDEX(Fertilisants!$E$8:$E$47,$AA13)&amp;"")</f>
        <v>t</v>
      </c>
      <c r="L13" s="49">
        <f t="shared" si="0"/>
        <v>111.75</v>
      </c>
      <c r="M13" s="50">
        <f>IF(OR($J13="",$AA13=""),"",$J13*N(INDEX(Fertilisants!$G$8:$G$47,$AA13)))</f>
        <v>108</v>
      </c>
      <c r="N13" s="50">
        <f>IF(OR($J13="",$AA13=""),"",$J13*N(INDEX(Fertilisants!$I$8:$I$47,$AA13)))</f>
        <v>8.64</v>
      </c>
      <c r="O13" s="50">
        <f>IF(OR($J13="",$AA13=""),"",$J13*N(INDEX(Fertilisants!$J$8:$J$47,$AA13)))</f>
        <v>67.5</v>
      </c>
      <c r="P13" s="50">
        <f>IF(OR($J13="",$AA13=""),"",$J13*N(INDEX(Fertilisants!$K$8:$K$47,$AA13)))</f>
        <v>165</v>
      </c>
      <c r="Q13" s="50">
        <f t="shared" si="1"/>
        <v>804.6</v>
      </c>
      <c r="R13" s="44" t="s">
        <v>109</v>
      </c>
      <c r="S13" s="44" t="s">
        <v>122</v>
      </c>
      <c r="T13" s="51"/>
      <c r="U13" s="44" t="s">
        <v>126</v>
      </c>
      <c r="V13" s="43">
        <v>46302</v>
      </c>
      <c r="W13" s="52" t="str">
        <f t="shared" si="2"/>
        <v>Conforme</v>
      </c>
      <c r="X13" s="44" t="s">
        <v>127</v>
      </c>
      <c r="Z13" s="53">
        <f>IF($D13="","",IFERROR(MATCH($D13,Îlots!$D$8:$D$57,0),""))</f>
        <v>7</v>
      </c>
      <c r="AA13" s="53">
        <f>IF($G13="","",IFERROR(MATCH($G13,Fertilisants!$B$8:$B$47,0),""))</f>
        <v>4</v>
      </c>
      <c r="AB13" s="53">
        <f>IF($Z13="","",INDEX(Îlots!$E$8:$E$57,$Z13))</f>
        <v>7.45</v>
      </c>
      <c r="AC13" s="53" t="str">
        <f>IF($Z13="","",INDEX(Îlots!$G$8:$G$57,$Z13)&amp;"")</f>
        <v>Non</v>
      </c>
      <c r="AD13" s="53" t="str">
        <f>IF($Z13="","",IF($F13=ApportCouvert,OccCouvert,INDEX(Îlots!$O$8:$O$57,$Z13)&amp;""))</f>
        <v>Prairie &gt; 6 mois et luzerne</v>
      </c>
      <c r="AE13" s="53" t="str">
        <f t="shared" si="3"/>
        <v/>
      </c>
      <c r="AF13" s="53">
        <f t="shared" si="4"/>
        <v>3</v>
      </c>
      <c r="AG13" s="53">
        <f t="shared" si="5"/>
        <v>1005</v>
      </c>
      <c r="AH13" s="53">
        <f t="shared" si="6"/>
        <v>0</v>
      </c>
      <c r="AI13" s="53">
        <f t="shared" si="7"/>
        <v>0</v>
      </c>
      <c r="AJ13" s="53">
        <f t="shared" si="8"/>
        <v>0</v>
      </c>
      <c r="AK13" s="53">
        <f t="shared" si="9"/>
        <v>0</v>
      </c>
      <c r="AL13" s="53">
        <f t="shared" si="10"/>
        <v>0</v>
      </c>
      <c r="AM13" s="53">
        <f>IF($AA13="",0,IF(INDEX(Fertilisants!$C$8:$C$47,$AA13)="Effluent d'élevage",1,0))</f>
        <v>1</v>
      </c>
      <c r="AN13" s="53" t="str">
        <f>IF($AA13="","",IF(INDEX(Fertilisants!$C$8:$C$47,$AA13)="Engrais minéral","Minéral","Organique"))</f>
        <v>Organique</v>
      </c>
      <c r="AO13" s="53">
        <f t="shared" si="11"/>
        <v>64.368000000000009</v>
      </c>
      <c r="AP13" s="53">
        <f t="shared" si="12"/>
        <v>502.875</v>
      </c>
      <c r="AQ13" s="53">
        <f t="shared" si="13"/>
        <v>1229.25</v>
      </c>
      <c r="AR13" s="53" t="str">
        <f>IF(AND($D13&lt;&gt;"",$D13=FicheIlot),COUNTIF($D$8:$D13,FicheIlot),"")</f>
        <v/>
      </c>
    </row>
    <row r="14" spans="1:44" ht="18.95" customHeight="1" x14ac:dyDescent="0.25">
      <c r="B14" s="42">
        <f>IF(C14="","",COUNT($C$8:C14))</f>
        <v>7</v>
      </c>
      <c r="C14" s="43">
        <v>46350</v>
      </c>
      <c r="D14" s="44" t="s">
        <v>128</v>
      </c>
      <c r="E14" s="45" t="str">
        <f>IF($Z14="","",IF($F14=ApportCouvert,INDEX(Îlots!$I$8:$I$57,$Z14)&amp;"",INDEX(Îlots!$N$8:$N$57,$Z14)&amp;""))</f>
        <v>CIE (dérobée exportée)</v>
      </c>
      <c r="F14" s="44" t="s">
        <v>107</v>
      </c>
      <c r="G14" s="44" t="s">
        <v>115</v>
      </c>
      <c r="H14" s="46" t="str">
        <f>IF($AA14="","",INDEX(Fertilisants!$D$8:$D$47,$AA14)&amp;"")</f>
        <v>Type II</v>
      </c>
      <c r="I14" s="47">
        <v>16.2</v>
      </c>
      <c r="J14" s="48">
        <v>30</v>
      </c>
      <c r="K14" s="46" t="str">
        <f>IF($AA14="","",INDEX(Fertilisants!$E$8:$E$47,$AA14)&amp;"")</f>
        <v>m³</v>
      </c>
      <c r="L14" s="49">
        <f t="shared" si="0"/>
        <v>486</v>
      </c>
      <c r="M14" s="50">
        <f>IF(OR($J14="",$AA14=""),"",$J14*N(INDEX(Fertilisants!$G$8:$G$47,$AA14)))</f>
        <v>120</v>
      </c>
      <c r="N14" s="50">
        <f>IF(OR($J14="",$AA14=""),"",$J14*N(INDEX(Fertilisants!$I$8:$I$47,$AA14)))</f>
        <v>60</v>
      </c>
      <c r="O14" s="50">
        <f>IF(OR($J14="",$AA14=""),"",$J14*N(INDEX(Fertilisants!$J$8:$J$47,$AA14)))</f>
        <v>51</v>
      </c>
      <c r="P14" s="50">
        <f>IF(OR($J14="",$AA14=""),"",$J14*N(INDEX(Fertilisants!$K$8:$K$47,$AA14)))</f>
        <v>138</v>
      </c>
      <c r="Q14" s="50">
        <f t="shared" si="1"/>
        <v>1944</v>
      </c>
      <c r="R14" s="44" t="s">
        <v>129</v>
      </c>
      <c r="S14" s="44" t="s">
        <v>130</v>
      </c>
      <c r="T14" s="51"/>
      <c r="U14" s="44" t="s">
        <v>111</v>
      </c>
      <c r="V14" s="43">
        <v>46352</v>
      </c>
      <c r="W14" s="52" t="str">
        <f t="shared" si="2"/>
        <v>Période interdite</v>
      </c>
      <c r="X14" s="44" t="s">
        <v>131</v>
      </c>
      <c r="Z14" s="53">
        <f>IF($D14="","",IFERROR(MATCH($D14,Îlots!$D$8:$D$57,0),""))</f>
        <v>4</v>
      </c>
      <c r="AA14" s="53">
        <f>IF($G14="","",IFERROR(MATCH($G14,Fertilisants!$B$8:$B$47,0),""))</f>
        <v>2</v>
      </c>
      <c r="AB14" s="53">
        <f>IF($Z14="","",INDEX(Îlots!$E$8:$E$57,$Z14))</f>
        <v>16.2</v>
      </c>
      <c r="AC14" s="53" t="str">
        <f>IF($Z14="","",INDEX(Îlots!$G$8:$G$57,$Z14)&amp;"")</f>
        <v>Oui</v>
      </c>
      <c r="AD14" s="53" t="str">
        <f>IF($Z14="","",IF($F14=ApportCouvert,OccCouvert,INDEX(Îlots!$O$8:$O$57,$Z14)&amp;""))</f>
        <v>Couvert d'interculture (CINE, CIE)</v>
      </c>
      <c r="AE14" s="53">
        <f t="shared" si="3"/>
        <v>5</v>
      </c>
      <c r="AF14" s="53">
        <f t="shared" si="4"/>
        <v>7</v>
      </c>
      <c r="AG14" s="53">
        <f t="shared" si="5"/>
        <v>1124</v>
      </c>
      <c r="AH14" s="53">
        <f t="shared" si="6"/>
        <v>1015</v>
      </c>
      <c r="AI14" s="53">
        <f t="shared" si="7"/>
        <v>131</v>
      </c>
      <c r="AJ14" s="53">
        <f t="shared" si="8"/>
        <v>0</v>
      </c>
      <c r="AK14" s="53">
        <f t="shared" si="9"/>
        <v>0</v>
      </c>
      <c r="AL14" s="53">
        <f t="shared" si="10"/>
        <v>1</v>
      </c>
      <c r="AM14" s="53">
        <f>IF($AA14="",0,IF(INDEX(Fertilisants!$C$8:$C$47,$AA14)="Effluent d'élevage",1,0))</f>
        <v>1</v>
      </c>
      <c r="AN14" s="53" t="str">
        <f>IF($AA14="","",IF(INDEX(Fertilisants!$C$8:$C$47,$AA14)="Engrais minéral","Minéral","Organique"))</f>
        <v>Organique</v>
      </c>
      <c r="AO14" s="53">
        <f t="shared" si="11"/>
        <v>972</v>
      </c>
      <c r="AP14" s="53">
        <f t="shared" si="12"/>
        <v>826.19999999999993</v>
      </c>
      <c r="AQ14" s="53">
        <f t="shared" si="13"/>
        <v>2235.6</v>
      </c>
      <c r="AR14" s="53">
        <f>IF(AND($D14&lt;&gt;"",$D14=FicheIlot),COUNTIF($D$8:$D14,FicheIlot),"")</f>
        <v>1</v>
      </c>
    </row>
    <row r="15" spans="1:44" ht="18.95" customHeight="1" x14ac:dyDescent="0.25">
      <c r="B15" s="42">
        <f>IF(C15="","",COUNT($C$8:C15))</f>
        <v>8</v>
      </c>
      <c r="C15" s="43">
        <v>46426</v>
      </c>
      <c r="D15" s="44" t="s">
        <v>113</v>
      </c>
      <c r="E15" s="45" t="str">
        <f>IF($Z15="","",IF($F15=ApportCouvert,INDEX(Îlots!$I$8:$I$57,$Z15)&amp;"",INDEX(Îlots!$N$8:$N$57,$Z15)&amp;""))</f>
        <v>Colza d'hiver</v>
      </c>
      <c r="F15" s="44" t="s">
        <v>114</v>
      </c>
      <c r="G15" s="44" t="s">
        <v>132</v>
      </c>
      <c r="H15" s="46" t="str">
        <f>IF($AA15="","",INDEX(Fertilisants!$D$8:$D$47,$AA15)&amp;"")</f>
        <v>Type III</v>
      </c>
      <c r="I15" s="47">
        <v>9.6</v>
      </c>
      <c r="J15" s="48">
        <v>200</v>
      </c>
      <c r="K15" s="46" t="str">
        <f>IF($AA15="","",INDEX(Fertilisants!$E$8:$E$47,$AA15)&amp;"")</f>
        <v>kg</v>
      </c>
      <c r="L15" s="49">
        <f t="shared" si="0"/>
        <v>1920</v>
      </c>
      <c r="M15" s="50">
        <f>IF(OR($J15="",$AA15=""),"",$J15*N(INDEX(Fertilisants!$G$8:$G$47,$AA15)))</f>
        <v>42</v>
      </c>
      <c r="N15" s="50">
        <f>IF(OR($J15="",$AA15=""),"",$J15*N(INDEX(Fertilisants!$I$8:$I$47,$AA15)))</f>
        <v>42</v>
      </c>
      <c r="O15" s="50">
        <f>IF(OR($J15="",$AA15=""),"",$J15*N(INDEX(Fertilisants!$J$8:$J$47,$AA15)))</f>
        <v>0</v>
      </c>
      <c r="P15" s="50">
        <f>IF(OR($J15="",$AA15=""),"",$J15*N(INDEX(Fertilisants!$K$8:$K$47,$AA15)))</f>
        <v>0</v>
      </c>
      <c r="Q15" s="50">
        <f t="shared" si="1"/>
        <v>403.2</v>
      </c>
      <c r="R15" s="44" t="s">
        <v>109</v>
      </c>
      <c r="S15" s="44" t="s">
        <v>133</v>
      </c>
      <c r="T15" s="51"/>
      <c r="U15" s="44" t="s">
        <v>111</v>
      </c>
      <c r="V15" s="43">
        <v>46426</v>
      </c>
      <c r="W15" s="52" t="str">
        <f t="shared" si="2"/>
        <v>Conforme</v>
      </c>
      <c r="X15" s="44" t="s">
        <v>134</v>
      </c>
      <c r="Z15" s="53">
        <f>IF($D15="","",IFERROR(MATCH($D15,Îlots!$D$8:$D$57,0),""))</f>
        <v>3</v>
      </c>
      <c r="AA15" s="53">
        <f>IF($G15="","",IFERROR(MATCH($G15,Fertilisants!$B$8:$B$47,0),""))</f>
        <v>9</v>
      </c>
      <c r="AB15" s="53">
        <f>IF($Z15="","",INDEX(Îlots!$E$8:$E$57,$Z15))</f>
        <v>9.6</v>
      </c>
      <c r="AC15" s="53" t="str">
        <f>IF($Z15="","",INDEX(Îlots!$G$8:$G$57,$Z15)&amp;"")</f>
        <v>Oui</v>
      </c>
      <c r="AD15" s="53" t="str">
        <f>IF($Z15="","",IF($F15=ApportCouvert,OccCouvert,INDEX(Îlots!$O$8:$O$57,$Z15)&amp;""))</f>
        <v>Colza d'automne</v>
      </c>
      <c r="AE15" s="53">
        <f t="shared" si="3"/>
        <v>2</v>
      </c>
      <c r="AF15" s="53">
        <f t="shared" si="4"/>
        <v>9</v>
      </c>
      <c r="AG15" s="53">
        <f t="shared" si="5"/>
        <v>208</v>
      </c>
      <c r="AH15" s="53">
        <f t="shared" si="6"/>
        <v>901</v>
      </c>
      <c r="AI15" s="53">
        <f t="shared" si="7"/>
        <v>131</v>
      </c>
      <c r="AJ15" s="53">
        <f t="shared" si="8"/>
        <v>0</v>
      </c>
      <c r="AK15" s="53">
        <f t="shared" si="9"/>
        <v>0</v>
      </c>
      <c r="AL15" s="53">
        <f t="shared" si="10"/>
        <v>0</v>
      </c>
      <c r="AM15" s="53">
        <f>IF($AA15="",0,IF(INDEX(Fertilisants!$C$8:$C$47,$AA15)="Effluent d'élevage",1,0))</f>
        <v>0</v>
      </c>
      <c r="AN15" s="53" t="str">
        <f>IF($AA15="","",IF(INDEX(Fertilisants!$C$8:$C$47,$AA15)="Engrais minéral","Minéral","Organique"))</f>
        <v>Minéral</v>
      </c>
      <c r="AO15" s="53">
        <f t="shared" si="11"/>
        <v>403.2</v>
      </c>
      <c r="AP15" s="53">
        <f t="shared" si="12"/>
        <v>0</v>
      </c>
      <c r="AQ15" s="53">
        <f t="shared" si="13"/>
        <v>0</v>
      </c>
      <c r="AR15" s="53" t="str">
        <f>IF(AND($D15&lt;&gt;"",$D15=FicheIlot),COUNTIF($D$8:$D15,FicheIlot),"")</f>
        <v/>
      </c>
    </row>
    <row r="16" spans="1:44" ht="18.95" customHeight="1" x14ac:dyDescent="0.25">
      <c r="B16" s="42">
        <f>IF(C16="","",COUNT($C$8:C16))</f>
        <v>9</v>
      </c>
      <c r="C16" s="43">
        <v>46430</v>
      </c>
      <c r="D16" s="44" t="s">
        <v>120</v>
      </c>
      <c r="E16" s="45" t="str">
        <f>IF($Z16="","",IF($F16=ApportCouvert,INDEX(Îlots!$I$8:$I$57,$Z16)&amp;"",INDEX(Îlots!$N$8:$N$57,$Z16)&amp;""))</f>
        <v>Blé tendre d'hiver</v>
      </c>
      <c r="F16" s="44" t="s">
        <v>114</v>
      </c>
      <c r="G16" s="44" t="s">
        <v>135</v>
      </c>
      <c r="H16" s="46" t="str">
        <f>IF($AA16="","",INDEX(Fertilisants!$D$8:$D$47,$AA16)&amp;"")</f>
        <v>Type III</v>
      </c>
      <c r="I16" s="47">
        <v>11.35</v>
      </c>
      <c r="J16" s="48">
        <v>150</v>
      </c>
      <c r="K16" s="46" t="str">
        <f>IF($AA16="","",INDEX(Fertilisants!$E$8:$E$47,$AA16)&amp;"")</f>
        <v>kg</v>
      </c>
      <c r="L16" s="49">
        <f t="shared" si="0"/>
        <v>1702.5</v>
      </c>
      <c r="M16" s="50">
        <f>IF(OR($J16="",$AA16=""),"",$J16*N(INDEX(Fertilisants!$G$8:$G$47,$AA16)))</f>
        <v>50.25</v>
      </c>
      <c r="N16" s="50">
        <f>IF(OR($J16="",$AA16=""),"",$J16*N(INDEX(Fertilisants!$I$8:$I$47,$AA16)))</f>
        <v>50.25</v>
      </c>
      <c r="O16" s="50">
        <f>IF(OR($J16="",$AA16=""),"",$J16*N(INDEX(Fertilisants!$J$8:$J$47,$AA16)))</f>
        <v>0</v>
      </c>
      <c r="P16" s="50">
        <f>IF(OR($J16="",$AA16=""),"",$J16*N(INDEX(Fertilisants!$K$8:$K$47,$AA16)))</f>
        <v>0</v>
      </c>
      <c r="Q16" s="50">
        <f t="shared" si="1"/>
        <v>570.33749999999998</v>
      </c>
      <c r="R16" s="44" t="s">
        <v>109</v>
      </c>
      <c r="S16" s="44" t="s">
        <v>133</v>
      </c>
      <c r="T16" s="51"/>
      <c r="U16" s="44" t="s">
        <v>111</v>
      </c>
      <c r="V16" s="43">
        <v>46431</v>
      </c>
      <c r="W16" s="52" t="str">
        <f t="shared" si="2"/>
        <v>Conforme</v>
      </c>
      <c r="X16" s="44" t="s">
        <v>136</v>
      </c>
      <c r="Z16" s="53">
        <f>IF($D16="","",IFERROR(MATCH($D16,Îlots!$D$8:$D$57,0),""))</f>
        <v>2</v>
      </c>
      <c r="AA16" s="53">
        <f>IF($G16="","",IFERROR(MATCH($G16,Fertilisants!$B$8:$B$47,0),""))</f>
        <v>6</v>
      </c>
      <c r="AB16" s="53">
        <f>IF($Z16="","",INDEX(Îlots!$E$8:$E$57,$Z16))</f>
        <v>11.35</v>
      </c>
      <c r="AC16" s="53" t="str">
        <f>IF($Z16="","",INDEX(Îlots!$G$8:$G$57,$Z16)&amp;"")</f>
        <v>Oui</v>
      </c>
      <c r="AD16" s="53" t="str">
        <f>IF($Z16="","",IF($F16=ApportCouvert,OccCouvert,INDEX(Îlots!$O$8:$O$57,$Z16)&amp;""))</f>
        <v>Culture d'automne (hors colza)</v>
      </c>
      <c r="AE16" s="53">
        <f t="shared" si="3"/>
        <v>1</v>
      </c>
      <c r="AF16" s="53">
        <f t="shared" si="4"/>
        <v>9</v>
      </c>
      <c r="AG16" s="53">
        <f t="shared" si="5"/>
        <v>212</v>
      </c>
      <c r="AH16" s="53">
        <f t="shared" si="6"/>
        <v>901</v>
      </c>
      <c r="AI16" s="53">
        <f t="shared" si="7"/>
        <v>131</v>
      </c>
      <c r="AJ16" s="53">
        <f t="shared" si="8"/>
        <v>0</v>
      </c>
      <c r="AK16" s="53">
        <f t="shared" si="9"/>
        <v>0</v>
      </c>
      <c r="AL16" s="53">
        <f t="shared" si="10"/>
        <v>0</v>
      </c>
      <c r="AM16" s="53">
        <f>IF($AA16="",0,IF(INDEX(Fertilisants!$C$8:$C$47,$AA16)="Effluent d'élevage",1,0))</f>
        <v>0</v>
      </c>
      <c r="AN16" s="53" t="str">
        <f>IF($AA16="","",IF(INDEX(Fertilisants!$C$8:$C$47,$AA16)="Engrais minéral","Minéral","Organique"))</f>
        <v>Minéral</v>
      </c>
      <c r="AO16" s="53">
        <f t="shared" si="11"/>
        <v>570.33749999999998</v>
      </c>
      <c r="AP16" s="53">
        <f t="shared" si="12"/>
        <v>0</v>
      </c>
      <c r="AQ16" s="53">
        <f t="shared" si="13"/>
        <v>0</v>
      </c>
      <c r="AR16" s="53" t="str">
        <f>IF(AND($D16&lt;&gt;"",$D16=FicheIlot),COUNTIF($D$8:$D16,FicheIlot),"")</f>
        <v/>
      </c>
    </row>
    <row r="17" spans="2:44" ht="18.95" customHeight="1" x14ac:dyDescent="0.25">
      <c r="B17" s="42">
        <f>IF(C17="","",COUNT($C$8:C17))</f>
        <v>10</v>
      </c>
      <c r="C17" s="43">
        <v>46436</v>
      </c>
      <c r="D17" s="44" t="s">
        <v>137</v>
      </c>
      <c r="E17" s="45" t="str">
        <f>IF($Z17="","",IF($F17=ApportCouvert,INDEX(Îlots!$I$8:$I$57,$Z17)&amp;"",INDEX(Îlots!$N$8:$N$57,$Z17)&amp;""))</f>
        <v>Triticale</v>
      </c>
      <c r="F17" s="44" t="s">
        <v>114</v>
      </c>
      <c r="G17" s="44" t="s">
        <v>135</v>
      </c>
      <c r="H17" s="46" t="str">
        <f>IF($AA17="","",INDEX(Fertilisants!$D$8:$D$47,$AA17)&amp;"")</f>
        <v>Type III</v>
      </c>
      <c r="I17" s="47">
        <v>10.050000000000001</v>
      </c>
      <c r="J17" s="48">
        <v>120</v>
      </c>
      <c r="K17" s="46" t="str">
        <f>IF($AA17="","",INDEX(Fertilisants!$E$8:$E$47,$AA17)&amp;"")</f>
        <v>kg</v>
      </c>
      <c r="L17" s="49">
        <f t="shared" si="0"/>
        <v>1206</v>
      </c>
      <c r="M17" s="50">
        <f>IF(OR($J17="",$AA17=""),"",$J17*N(INDEX(Fertilisants!$G$8:$G$47,$AA17)))</f>
        <v>40.200000000000003</v>
      </c>
      <c r="N17" s="50">
        <f>IF(OR($J17="",$AA17=""),"",$J17*N(INDEX(Fertilisants!$I$8:$I$47,$AA17)))</f>
        <v>40.200000000000003</v>
      </c>
      <c r="O17" s="50">
        <f>IF(OR($J17="",$AA17=""),"",$J17*N(INDEX(Fertilisants!$J$8:$J$47,$AA17)))</f>
        <v>0</v>
      </c>
      <c r="P17" s="50">
        <f>IF(OR($J17="",$AA17=""),"",$J17*N(INDEX(Fertilisants!$K$8:$K$47,$AA17)))</f>
        <v>0</v>
      </c>
      <c r="Q17" s="50">
        <f t="shared" si="1"/>
        <v>404.01000000000005</v>
      </c>
      <c r="R17" s="44" t="s">
        <v>109</v>
      </c>
      <c r="S17" s="44" t="s">
        <v>133</v>
      </c>
      <c r="T17" s="51"/>
      <c r="U17" s="44" t="s">
        <v>138</v>
      </c>
      <c r="V17" s="43">
        <v>46437</v>
      </c>
      <c r="W17" s="52" t="str">
        <f t="shared" si="2"/>
        <v>Conforme</v>
      </c>
      <c r="X17" s="44"/>
      <c r="Z17" s="53">
        <f>IF($D17="","",IFERROR(MATCH($D17,Îlots!$D$8:$D$57,0),""))</f>
        <v>9</v>
      </c>
      <c r="AA17" s="53">
        <f>IF($G17="","",IFERROR(MATCH($G17,Fertilisants!$B$8:$B$47,0),""))</f>
        <v>6</v>
      </c>
      <c r="AB17" s="53">
        <f>IF($Z17="","",INDEX(Îlots!$E$8:$E$57,$Z17))</f>
        <v>10.050000000000001</v>
      </c>
      <c r="AC17" s="53" t="str">
        <f>IF($Z17="","",INDEX(Îlots!$G$8:$G$57,$Z17)&amp;"")</f>
        <v>Oui</v>
      </c>
      <c r="AD17" s="53" t="str">
        <f>IF($Z17="","",IF($F17=ApportCouvert,OccCouvert,INDEX(Îlots!$O$8:$O$57,$Z17)&amp;""))</f>
        <v>Culture d'automne (hors colza)</v>
      </c>
      <c r="AE17" s="53">
        <f t="shared" si="3"/>
        <v>1</v>
      </c>
      <c r="AF17" s="53">
        <f t="shared" si="4"/>
        <v>9</v>
      </c>
      <c r="AG17" s="53">
        <f t="shared" si="5"/>
        <v>218</v>
      </c>
      <c r="AH17" s="53">
        <f t="shared" si="6"/>
        <v>901</v>
      </c>
      <c r="AI17" s="53">
        <f t="shared" si="7"/>
        <v>131</v>
      </c>
      <c r="AJ17" s="53">
        <f t="shared" si="8"/>
        <v>0</v>
      </c>
      <c r="AK17" s="53">
        <f t="shared" si="9"/>
        <v>0</v>
      </c>
      <c r="AL17" s="53">
        <f t="shared" si="10"/>
        <v>0</v>
      </c>
      <c r="AM17" s="53">
        <f>IF($AA17="",0,IF(INDEX(Fertilisants!$C$8:$C$47,$AA17)="Effluent d'élevage",1,0))</f>
        <v>0</v>
      </c>
      <c r="AN17" s="53" t="str">
        <f>IF($AA17="","",IF(INDEX(Fertilisants!$C$8:$C$47,$AA17)="Engrais minéral","Minéral","Organique"))</f>
        <v>Minéral</v>
      </c>
      <c r="AO17" s="53">
        <f t="shared" si="11"/>
        <v>404.01000000000005</v>
      </c>
      <c r="AP17" s="53">
        <f t="shared" si="12"/>
        <v>0</v>
      </c>
      <c r="AQ17" s="53">
        <f t="shared" si="13"/>
        <v>0</v>
      </c>
      <c r="AR17" s="53" t="str">
        <f>IF(AND($D17&lt;&gt;"",$D17=FicheIlot),COUNTIF($D$8:$D17,FicheIlot),"")</f>
        <v/>
      </c>
    </row>
    <row r="18" spans="2:44" ht="18.95" customHeight="1" x14ac:dyDescent="0.25">
      <c r="B18" s="42">
        <f>IF(C18="","",COUNT($C$8:C18))</f>
        <v>11</v>
      </c>
      <c r="C18" s="43">
        <v>46438</v>
      </c>
      <c r="D18" s="44" t="s">
        <v>139</v>
      </c>
      <c r="E18" s="45" t="str">
        <f>IF($Z18="","",IF($F18=ApportCouvert,INDEX(Îlots!$I$8:$I$57,$Z18)&amp;"",INDEX(Îlots!$N$8:$N$57,$Z18)&amp;""))</f>
        <v>Orge d'hiver</v>
      </c>
      <c r="F18" s="44" t="s">
        <v>114</v>
      </c>
      <c r="G18" s="44" t="s">
        <v>115</v>
      </c>
      <c r="H18" s="46" t="str">
        <f>IF($AA18="","",INDEX(Fertilisants!$D$8:$D$47,$AA18)&amp;"")</f>
        <v>Type II</v>
      </c>
      <c r="I18" s="47">
        <v>12</v>
      </c>
      <c r="J18" s="48">
        <v>20</v>
      </c>
      <c r="K18" s="46" t="str">
        <f>IF($AA18="","",INDEX(Fertilisants!$E$8:$E$47,$AA18)&amp;"")</f>
        <v>m³</v>
      </c>
      <c r="L18" s="49">
        <f t="shared" si="0"/>
        <v>240</v>
      </c>
      <c r="M18" s="50">
        <f>IF(OR($J18="",$AA18=""),"",$J18*N(INDEX(Fertilisants!$G$8:$G$47,$AA18)))</f>
        <v>80</v>
      </c>
      <c r="N18" s="50">
        <f>IF(OR($J18="",$AA18=""),"",$J18*N(INDEX(Fertilisants!$I$8:$I$47,$AA18)))</f>
        <v>40</v>
      </c>
      <c r="O18" s="50">
        <f>IF(OR($J18="",$AA18=""),"",$J18*N(INDEX(Fertilisants!$J$8:$J$47,$AA18)))</f>
        <v>34</v>
      </c>
      <c r="P18" s="50">
        <f>IF(OR($J18="",$AA18=""),"",$J18*N(INDEX(Fertilisants!$K$8:$K$47,$AA18)))</f>
        <v>92</v>
      </c>
      <c r="Q18" s="50">
        <f t="shared" si="1"/>
        <v>960</v>
      </c>
      <c r="R18" s="44" t="s">
        <v>140</v>
      </c>
      <c r="S18" s="44" t="s">
        <v>116</v>
      </c>
      <c r="T18" s="51"/>
      <c r="U18" s="44" t="s">
        <v>117</v>
      </c>
      <c r="V18" s="43">
        <v>46440</v>
      </c>
      <c r="W18" s="52" t="str">
        <f t="shared" si="2"/>
        <v>Sol interdit</v>
      </c>
      <c r="X18" s="44" t="s">
        <v>141</v>
      </c>
      <c r="Z18" s="53">
        <f>IF($D18="","",IFERROR(MATCH($D18,Îlots!$D$8:$D$57,0),""))</f>
        <v>5</v>
      </c>
      <c r="AA18" s="53">
        <f>IF($G18="","",IFERROR(MATCH($G18,Fertilisants!$B$8:$B$47,0),""))</f>
        <v>2</v>
      </c>
      <c r="AB18" s="53">
        <f>IF($Z18="","",INDEX(Îlots!$E$8:$E$57,$Z18))</f>
        <v>12.75</v>
      </c>
      <c r="AC18" s="53" t="str">
        <f>IF($Z18="","",INDEX(Îlots!$G$8:$G$57,$Z18)&amp;"")</f>
        <v>Oui</v>
      </c>
      <c r="AD18" s="53" t="str">
        <f>IF($Z18="","",IF($F18=ApportCouvert,OccCouvert,INDEX(Îlots!$O$8:$O$57,$Z18)&amp;""))</f>
        <v>Culture d'automne (hors colza)</v>
      </c>
      <c r="AE18" s="53">
        <f t="shared" si="3"/>
        <v>1</v>
      </c>
      <c r="AF18" s="53">
        <f t="shared" si="4"/>
        <v>7</v>
      </c>
      <c r="AG18" s="53">
        <f t="shared" si="5"/>
        <v>220</v>
      </c>
      <c r="AH18" s="53">
        <f t="shared" si="6"/>
        <v>1001</v>
      </c>
      <c r="AI18" s="53">
        <f t="shared" si="7"/>
        <v>131</v>
      </c>
      <c r="AJ18" s="53">
        <f t="shared" si="8"/>
        <v>0</v>
      </c>
      <c r="AK18" s="53">
        <f t="shared" si="9"/>
        <v>0</v>
      </c>
      <c r="AL18" s="53">
        <f t="shared" si="10"/>
        <v>0</v>
      </c>
      <c r="AM18" s="53">
        <f>IF($AA18="",0,IF(INDEX(Fertilisants!$C$8:$C$47,$AA18)="Effluent d'élevage",1,0))</f>
        <v>1</v>
      </c>
      <c r="AN18" s="53" t="str">
        <f>IF($AA18="","",IF(INDEX(Fertilisants!$C$8:$C$47,$AA18)="Engrais minéral","Minéral","Organique"))</f>
        <v>Organique</v>
      </c>
      <c r="AO18" s="53">
        <f t="shared" si="11"/>
        <v>480</v>
      </c>
      <c r="AP18" s="53">
        <f t="shared" si="12"/>
        <v>408</v>
      </c>
      <c r="AQ18" s="53">
        <f t="shared" si="13"/>
        <v>1104</v>
      </c>
      <c r="AR18" s="53" t="str">
        <f>IF(AND($D18&lt;&gt;"",$D18=FicheIlot),COUNTIF($D$8:$D18,FicheIlot),"")</f>
        <v/>
      </c>
    </row>
    <row r="19" spans="2:44" ht="18.95" customHeight="1" x14ac:dyDescent="0.25">
      <c r="B19" s="42">
        <f>IF(C19="","",COUNT($C$8:C19))</f>
        <v>12</v>
      </c>
      <c r="C19" s="43">
        <v>46443</v>
      </c>
      <c r="D19" s="44" t="s">
        <v>119</v>
      </c>
      <c r="E19" s="45" t="str">
        <f>IF($Z19="","",IF($F19=ApportCouvert,INDEX(Îlots!$I$8:$I$57,$Z19)&amp;"",INDEX(Îlots!$N$8:$N$57,$Z19)&amp;""))</f>
        <v>Prairie permanente</v>
      </c>
      <c r="F19" s="44" t="s">
        <v>114</v>
      </c>
      <c r="G19" s="44" t="s">
        <v>115</v>
      </c>
      <c r="H19" s="46" t="str">
        <f>IF($AA19="","",INDEX(Fertilisants!$D$8:$D$47,$AA19)&amp;"")</f>
        <v>Type II</v>
      </c>
      <c r="I19" s="47">
        <v>8.9</v>
      </c>
      <c r="J19" s="48">
        <v>25</v>
      </c>
      <c r="K19" s="46" t="str">
        <f>IF($AA19="","",INDEX(Fertilisants!$E$8:$E$47,$AA19)&amp;"")</f>
        <v>m³</v>
      </c>
      <c r="L19" s="49">
        <f t="shared" si="0"/>
        <v>222.5</v>
      </c>
      <c r="M19" s="50">
        <f>IF(OR($J19="",$AA19=""),"",$J19*N(INDEX(Fertilisants!$G$8:$G$47,$AA19)))</f>
        <v>100</v>
      </c>
      <c r="N19" s="50">
        <f>IF(OR($J19="",$AA19=""),"",$J19*N(INDEX(Fertilisants!$I$8:$I$47,$AA19)))</f>
        <v>50</v>
      </c>
      <c r="O19" s="50">
        <f>IF(OR($J19="",$AA19=""),"",$J19*N(INDEX(Fertilisants!$J$8:$J$47,$AA19)))</f>
        <v>42.5</v>
      </c>
      <c r="P19" s="50">
        <f>IF(OR($J19="",$AA19=""),"",$J19*N(INDEX(Fertilisants!$K$8:$K$47,$AA19)))</f>
        <v>114.99999999999999</v>
      </c>
      <c r="Q19" s="50">
        <f t="shared" si="1"/>
        <v>890</v>
      </c>
      <c r="R19" s="44" t="s">
        <v>109</v>
      </c>
      <c r="S19" s="44" t="s">
        <v>116</v>
      </c>
      <c r="T19" s="51"/>
      <c r="U19" s="44" t="s">
        <v>111</v>
      </c>
      <c r="V19" s="43">
        <v>46444</v>
      </c>
      <c r="W19" s="52" t="str">
        <f t="shared" si="2"/>
        <v>Conforme</v>
      </c>
      <c r="X19" s="44"/>
      <c r="Z19" s="53">
        <f>IF($D19="","",IFERROR(MATCH($D19,Îlots!$D$8:$D$57,0),""))</f>
        <v>6</v>
      </c>
      <c r="AA19" s="53">
        <f>IF($G19="","",IFERROR(MATCH($G19,Fertilisants!$B$8:$B$47,0),""))</f>
        <v>2</v>
      </c>
      <c r="AB19" s="53">
        <f>IF($Z19="","",INDEX(Îlots!$E$8:$E$57,$Z19))</f>
        <v>8.9</v>
      </c>
      <c r="AC19" s="53" t="str">
        <f>IF($Z19="","",INDEX(Îlots!$G$8:$G$57,$Z19)&amp;"")</f>
        <v>Oui</v>
      </c>
      <c r="AD19" s="53" t="str">
        <f>IF($Z19="","",IF($F19=ApportCouvert,OccCouvert,INDEX(Îlots!$O$8:$O$57,$Z19)&amp;""))</f>
        <v>Prairie &gt; 6 mois et luzerne</v>
      </c>
      <c r="AE19" s="53">
        <f t="shared" si="3"/>
        <v>4</v>
      </c>
      <c r="AF19" s="53">
        <f t="shared" si="4"/>
        <v>7</v>
      </c>
      <c r="AG19" s="53">
        <f t="shared" si="5"/>
        <v>225</v>
      </c>
      <c r="AH19" s="53">
        <f t="shared" si="6"/>
        <v>1115</v>
      </c>
      <c r="AI19" s="53">
        <f t="shared" si="7"/>
        <v>115</v>
      </c>
      <c r="AJ19" s="53">
        <f t="shared" si="8"/>
        <v>0</v>
      </c>
      <c r="AK19" s="53">
        <f t="shared" si="9"/>
        <v>0</v>
      </c>
      <c r="AL19" s="53">
        <f t="shared" si="10"/>
        <v>0</v>
      </c>
      <c r="AM19" s="53">
        <f>IF($AA19="",0,IF(INDEX(Fertilisants!$C$8:$C$47,$AA19)="Effluent d'élevage",1,0))</f>
        <v>1</v>
      </c>
      <c r="AN19" s="53" t="str">
        <f>IF($AA19="","",IF(INDEX(Fertilisants!$C$8:$C$47,$AA19)="Engrais minéral","Minéral","Organique"))</f>
        <v>Organique</v>
      </c>
      <c r="AO19" s="53">
        <f t="shared" si="11"/>
        <v>445</v>
      </c>
      <c r="AP19" s="53">
        <f t="shared" si="12"/>
        <v>378.25</v>
      </c>
      <c r="AQ19" s="53">
        <f t="shared" si="13"/>
        <v>1023.4999999999999</v>
      </c>
      <c r="AR19" s="53" t="str">
        <f>IF(AND($D19&lt;&gt;"",$D19=FicheIlot),COUNTIF($D$8:$D19,FicheIlot),"")</f>
        <v/>
      </c>
    </row>
    <row r="20" spans="2:44" ht="18.95" customHeight="1" x14ac:dyDescent="0.25">
      <c r="B20" s="42">
        <f>IF(C20="","",COUNT($C$8:C20))</f>
        <v>13</v>
      </c>
      <c r="C20" s="43">
        <v>46451</v>
      </c>
      <c r="D20" s="44" t="s">
        <v>139</v>
      </c>
      <c r="E20" s="45" t="str">
        <f>IF($Z20="","",IF($F20=ApportCouvert,INDEX(Îlots!$I$8:$I$57,$Z20)&amp;"",INDEX(Îlots!$N$8:$N$57,$Z20)&amp;""))</f>
        <v>Orge d'hiver</v>
      </c>
      <c r="F20" s="44" t="s">
        <v>114</v>
      </c>
      <c r="G20" s="44" t="s">
        <v>135</v>
      </c>
      <c r="H20" s="46" t="str">
        <f>IF($AA20="","",INDEX(Fertilisants!$D$8:$D$47,$AA20)&amp;"")</f>
        <v>Type III</v>
      </c>
      <c r="I20" s="47">
        <v>12.75</v>
      </c>
      <c r="J20" s="48">
        <v>150</v>
      </c>
      <c r="K20" s="46" t="str">
        <f>IF($AA20="","",INDEX(Fertilisants!$E$8:$E$47,$AA20)&amp;"")</f>
        <v>kg</v>
      </c>
      <c r="L20" s="49">
        <f t="shared" si="0"/>
        <v>1912.5</v>
      </c>
      <c r="M20" s="50">
        <f>IF(OR($J20="",$AA20=""),"",$J20*N(INDEX(Fertilisants!$G$8:$G$47,$AA20)))</f>
        <v>50.25</v>
      </c>
      <c r="N20" s="50">
        <f>IF(OR($J20="",$AA20=""),"",$J20*N(INDEX(Fertilisants!$I$8:$I$47,$AA20)))</f>
        <v>50.25</v>
      </c>
      <c r="O20" s="50">
        <f>IF(OR($J20="",$AA20=""),"",$J20*N(INDEX(Fertilisants!$J$8:$J$47,$AA20)))</f>
        <v>0</v>
      </c>
      <c r="P20" s="50">
        <f>IF(OR($J20="",$AA20=""),"",$J20*N(INDEX(Fertilisants!$K$8:$K$47,$AA20)))</f>
        <v>0</v>
      </c>
      <c r="Q20" s="50">
        <f t="shared" si="1"/>
        <v>640.6875</v>
      </c>
      <c r="R20" s="44" t="s">
        <v>109</v>
      </c>
      <c r="S20" s="44" t="s">
        <v>133</v>
      </c>
      <c r="T20" s="51"/>
      <c r="U20" s="44" t="s">
        <v>111</v>
      </c>
      <c r="V20" s="43">
        <v>46452</v>
      </c>
      <c r="W20" s="52" t="str">
        <f t="shared" si="2"/>
        <v>Conforme</v>
      </c>
      <c r="X20" s="44"/>
      <c r="Z20" s="53">
        <f>IF($D20="","",IFERROR(MATCH($D20,Îlots!$D$8:$D$57,0),""))</f>
        <v>5</v>
      </c>
      <c r="AA20" s="53">
        <f>IF($G20="","",IFERROR(MATCH($G20,Fertilisants!$B$8:$B$47,0),""))</f>
        <v>6</v>
      </c>
      <c r="AB20" s="53">
        <f>IF($Z20="","",INDEX(Îlots!$E$8:$E$57,$Z20))</f>
        <v>12.75</v>
      </c>
      <c r="AC20" s="53" t="str">
        <f>IF($Z20="","",INDEX(Îlots!$G$8:$G$57,$Z20)&amp;"")</f>
        <v>Oui</v>
      </c>
      <c r="AD20" s="53" t="str">
        <f>IF($Z20="","",IF($F20=ApportCouvert,OccCouvert,INDEX(Îlots!$O$8:$O$57,$Z20)&amp;""))</f>
        <v>Culture d'automne (hors colza)</v>
      </c>
      <c r="AE20" s="53">
        <f t="shared" si="3"/>
        <v>1</v>
      </c>
      <c r="AF20" s="53">
        <f t="shared" si="4"/>
        <v>9</v>
      </c>
      <c r="AG20" s="53">
        <f t="shared" si="5"/>
        <v>305</v>
      </c>
      <c r="AH20" s="53">
        <f t="shared" si="6"/>
        <v>901</v>
      </c>
      <c r="AI20" s="53">
        <f t="shared" si="7"/>
        <v>131</v>
      </c>
      <c r="AJ20" s="53">
        <f t="shared" si="8"/>
        <v>0</v>
      </c>
      <c r="AK20" s="53">
        <f t="shared" si="9"/>
        <v>0</v>
      </c>
      <c r="AL20" s="53">
        <f t="shared" si="10"/>
        <v>0</v>
      </c>
      <c r="AM20" s="53">
        <f>IF($AA20="",0,IF(INDEX(Fertilisants!$C$8:$C$47,$AA20)="Effluent d'élevage",1,0))</f>
        <v>0</v>
      </c>
      <c r="AN20" s="53" t="str">
        <f>IF($AA20="","",IF(INDEX(Fertilisants!$C$8:$C$47,$AA20)="Engrais minéral","Minéral","Organique"))</f>
        <v>Minéral</v>
      </c>
      <c r="AO20" s="53">
        <f t="shared" si="11"/>
        <v>640.6875</v>
      </c>
      <c r="AP20" s="53">
        <f t="shared" si="12"/>
        <v>0</v>
      </c>
      <c r="AQ20" s="53">
        <f t="shared" si="13"/>
        <v>0</v>
      </c>
      <c r="AR20" s="53" t="str">
        <f>IF(AND($D20&lt;&gt;"",$D20=FicheIlot),COUNTIF($D$8:$D20,FicheIlot),"")</f>
        <v/>
      </c>
    </row>
    <row r="21" spans="2:44" ht="18.95" customHeight="1" x14ac:dyDescent="0.25">
      <c r="B21" s="42">
        <f>IF(C21="","",COUNT($C$8:C21))</f>
        <v>14</v>
      </c>
      <c r="C21" s="43">
        <v>46454</v>
      </c>
      <c r="D21" s="44" t="s">
        <v>106</v>
      </c>
      <c r="E21" s="45" t="str">
        <f>IF($Z21="","",IF($F21=ApportCouvert,INDEX(Îlots!$I$8:$I$57,$Z21)&amp;"",INDEX(Îlots!$N$8:$N$57,$Z21)&amp;""))</f>
        <v>Orge de printemps</v>
      </c>
      <c r="F21" s="44" t="s">
        <v>121</v>
      </c>
      <c r="G21" s="44" t="s">
        <v>142</v>
      </c>
      <c r="H21" s="46" t="str">
        <f>IF($AA21="","",INDEX(Fertilisants!$D$8:$D$47,$AA21)&amp;"")</f>
        <v>Type II</v>
      </c>
      <c r="I21" s="47">
        <v>13.1</v>
      </c>
      <c r="J21" s="48">
        <v>20</v>
      </c>
      <c r="K21" s="46" t="str">
        <f>IF($AA21="","",INDEX(Fertilisants!$E$8:$E$47,$AA21)&amp;"")</f>
        <v>m³</v>
      </c>
      <c r="L21" s="49">
        <f t="shared" si="0"/>
        <v>262</v>
      </c>
      <c r="M21" s="50">
        <f>IF(OR($J21="",$AA21=""),"",$J21*N(INDEX(Fertilisants!$G$8:$G$47,$AA21)))</f>
        <v>92</v>
      </c>
      <c r="N21" s="50">
        <f>IF(OR($J21="",$AA21=""),"",$J21*N(INDEX(Fertilisants!$I$8:$I$47,$AA21)))</f>
        <v>55.199999999999996</v>
      </c>
      <c r="O21" s="50">
        <f>IF(OR($J21="",$AA21=""),"",$J21*N(INDEX(Fertilisants!$J$8:$J$47,$AA21)))</f>
        <v>32</v>
      </c>
      <c r="P21" s="50">
        <f>IF(OR($J21="",$AA21=""),"",$J21*N(INDEX(Fertilisants!$K$8:$K$47,$AA21)))</f>
        <v>96</v>
      </c>
      <c r="Q21" s="50">
        <f t="shared" si="1"/>
        <v>1205.2</v>
      </c>
      <c r="R21" s="44" t="s">
        <v>109</v>
      </c>
      <c r="S21" s="44" t="s">
        <v>143</v>
      </c>
      <c r="T21" s="51">
        <v>0</v>
      </c>
      <c r="U21" s="44" t="s">
        <v>117</v>
      </c>
      <c r="V21" s="43">
        <v>46456</v>
      </c>
      <c r="W21" s="52" t="str">
        <f t="shared" si="2"/>
        <v>Conforme</v>
      </c>
      <c r="X21" s="44" t="s">
        <v>144</v>
      </c>
      <c r="Z21" s="53">
        <f>IF($D21="","",IFERROR(MATCH($D21,Îlots!$D$8:$D$57,0),""))</f>
        <v>8</v>
      </c>
      <c r="AA21" s="53">
        <f>IF($G21="","",IFERROR(MATCH($G21,Fertilisants!$B$8:$B$47,0),""))</f>
        <v>5</v>
      </c>
      <c r="AB21" s="53">
        <f>IF($Z21="","",INDEX(Îlots!$E$8:$E$57,$Z21))</f>
        <v>13.1</v>
      </c>
      <c r="AC21" s="53" t="str">
        <f>IF($Z21="","",INDEX(Îlots!$G$8:$G$57,$Z21)&amp;"")</f>
        <v>Oui</v>
      </c>
      <c r="AD21" s="53" t="str">
        <f>IF($Z21="","",IF($F21=ApportCouvert,OccCouvert,INDEX(Îlots!$O$8:$O$57,$Z21)&amp;""))</f>
        <v>Culture de printemps</v>
      </c>
      <c r="AE21" s="53">
        <f t="shared" si="3"/>
        <v>3</v>
      </c>
      <c r="AF21" s="53">
        <f t="shared" si="4"/>
        <v>7</v>
      </c>
      <c r="AG21" s="53">
        <f t="shared" si="5"/>
        <v>308</v>
      </c>
      <c r="AH21" s="53">
        <f t="shared" si="6"/>
        <v>701</v>
      </c>
      <c r="AI21" s="53">
        <f t="shared" si="7"/>
        <v>115</v>
      </c>
      <c r="AJ21" s="53">
        <f t="shared" si="8"/>
        <v>0</v>
      </c>
      <c r="AK21" s="53">
        <f t="shared" si="9"/>
        <v>0</v>
      </c>
      <c r="AL21" s="53">
        <f t="shared" si="10"/>
        <v>0</v>
      </c>
      <c r="AM21" s="53">
        <f>IF($AA21="",0,IF(INDEX(Fertilisants!$C$8:$C$47,$AA21)="Effluent d'élevage",1,0))</f>
        <v>0</v>
      </c>
      <c r="AN21" s="53" t="str">
        <f>IF($AA21="","",IF(INDEX(Fertilisants!$C$8:$C$47,$AA21)="Engrais minéral","Minéral","Organique"))</f>
        <v>Organique</v>
      </c>
      <c r="AO21" s="53">
        <f t="shared" si="11"/>
        <v>723.11999999999989</v>
      </c>
      <c r="AP21" s="53">
        <f t="shared" si="12"/>
        <v>419.2</v>
      </c>
      <c r="AQ21" s="53">
        <f t="shared" si="13"/>
        <v>1257.5999999999999</v>
      </c>
      <c r="AR21" s="53" t="str">
        <f>IF(AND($D21&lt;&gt;"",$D21=FicheIlot),COUNTIF($D$8:$D21,FicheIlot),"")</f>
        <v/>
      </c>
    </row>
    <row r="22" spans="2:44" ht="18.95" customHeight="1" x14ac:dyDescent="0.25">
      <c r="B22" s="42">
        <f>IF(C22="","",COUNT($C$8:C22))</f>
        <v>15</v>
      </c>
      <c r="C22" s="43">
        <v>46456</v>
      </c>
      <c r="D22" s="44" t="s">
        <v>113</v>
      </c>
      <c r="E22" s="45" t="str">
        <f>IF($Z22="","",IF($F22=ApportCouvert,INDEX(Îlots!$I$8:$I$57,$Z22)&amp;"",INDEX(Îlots!$N$8:$N$57,$Z22)&amp;""))</f>
        <v>Colza d'hiver</v>
      </c>
      <c r="F22" s="44" t="s">
        <v>114</v>
      </c>
      <c r="G22" s="44" t="s">
        <v>145</v>
      </c>
      <c r="H22" s="46" t="str">
        <f>IF($AA22="","",INDEX(Fertilisants!$D$8:$D$47,$AA22)&amp;"")</f>
        <v>Type III</v>
      </c>
      <c r="I22" s="47">
        <v>9.6</v>
      </c>
      <c r="J22" s="48">
        <v>180</v>
      </c>
      <c r="K22" s="46" t="str">
        <f>IF($AA22="","",INDEX(Fertilisants!$E$8:$E$47,$AA22)&amp;"")</f>
        <v>L</v>
      </c>
      <c r="L22" s="49">
        <f t="shared" si="0"/>
        <v>1728</v>
      </c>
      <c r="M22" s="50">
        <f>IF(OR($J22="",$AA22=""),"",$J22*N(INDEX(Fertilisants!$G$8:$G$47,$AA22)))</f>
        <v>69.12</v>
      </c>
      <c r="N22" s="50">
        <f>IF(OR($J22="",$AA22=""),"",$J22*N(INDEX(Fertilisants!$I$8:$I$47,$AA22)))</f>
        <v>69.12</v>
      </c>
      <c r="O22" s="50">
        <f>IF(OR($J22="",$AA22=""),"",$J22*N(INDEX(Fertilisants!$J$8:$J$47,$AA22)))</f>
        <v>0</v>
      </c>
      <c r="P22" s="50">
        <f>IF(OR($J22="",$AA22=""),"",$J22*N(INDEX(Fertilisants!$K$8:$K$47,$AA22)))</f>
        <v>0</v>
      </c>
      <c r="Q22" s="50">
        <f t="shared" si="1"/>
        <v>663.55200000000002</v>
      </c>
      <c r="R22" s="44" t="s">
        <v>109</v>
      </c>
      <c r="S22" s="44" t="s">
        <v>146</v>
      </c>
      <c r="T22" s="51"/>
      <c r="U22" s="44" t="s">
        <v>111</v>
      </c>
      <c r="V22" s="43">
        <v>46457</v>
      </c>
      <c r="W22" s="52" t="str">
        <f t="shared" si="2"/>
        <v>Conforme</v>
      </c>
      <c r="X22" s="44"/>
      <c r="Z22" s="53">
        <f>IF($D22="","",IFERROR(MATCH($D22,Îlots!$D$8:$D$57,0),""))</f>
        <v>3</v>
      </c>
      <c r="AA22" s="53">
        <f>IF($G22="","",IFERROR(MATCH($G22,Fertilisants!$B$8:$B$47,0),""))</f>
        <v>7</v>
      </c>
      <c r="AB22" s="53">
        <f>IF($Z22="","",INDEX(Îlots!$E$8:$E$57,$Z22))</f>
        <v>9.6</v>
      </c>
      <c r="AC22" s="53" t="str">
        <f>IF($Z22="","",INDEX(Îlots!$G$8:$G$57,$Z22)&amp;"")</f>
        <v>Oui</v>
      </c>
      <c r="AD22" s="53" t="str">
        <f>IF($Z22="","",IF($F22=ApportCouvert,OccCouvert,INDEX(Îlots!$O$8:$O$57,$Z22)&amp;""))</f>
        <v>Colza d'automne</v>
      </c>
      <c r="AE22" s="53">
        <f t="shared" si="3"/>
        <v>2</v>
      </c>
      <c r="AF22" s="53">
        <f t="shared" si="4"/>
        <v>9</v>
      </c>
      <c r="AG22" s="53">
        <f t="shared" si="5"/>
        <v>310</v>
      </c>
      <c r="AH22" s="53">
        <f t="shared" si="6"/>
        <v>901</v>
      </c>
      <c r="AI22" s="53">
        <f t="shared" si="7"/>
        <v>131</v>
      </c>
      <c r="AJ22" s="53">
        <f t="shared" si="8"/>
        <v>0</v>
      </c>
      <c r="AK22" s="53">
        <f t="shared" si="9"/>
        <v>0</v>
      </c>
      <c r="AL22" s="53">
        <f t="shared" si="10"/>
        <v>0</v>
      </c>
      <c r="AM22" s="53">
        <f>IF($AA22="",0,IF(INDEX(Fertilisants!$C$8:$C$47,$AA22)="Effluent d'élevage",1,0))</f>
        <v>0</v>
      </c>
      <c r="AN22" s="53" t="str">
        <f>IF($AA22="","",IF(INDEX(Fertilisants!$C$8:$C$47,$AA22)="Engrais minéral","Minéral","Organique"))</f>
        <v>Minéral</v>
      </c>
      <c r="AO22" s="53">
        <f t="shared" si="11"/>
        <v>663.55200000000002</v>
      </c>
      <c r="AP22" s="53">
        <f t="shared" si="12"/>
        <v>0</v>
      </c>
      <c r="AQ22" s="53">
        <f t="shared" si="13"/>
        <v>0</v>
      </c>
      <c r="AR22" s="53" t="str">
        <f>IF(AND($D22&lt;&gt;"",$D22=FicheIlot),COUNTIF($D$8:$D22,FicheIlot),"")</f>
        <v/>
      </c>
    </row>
    <row r="23" spans="2:44" ht="18.95" customHeight="1" x14ac:dyDescent="0.25">
      <c r="B23" s="42">
        <f>IF(C23="","",COUNT($C$8:C23))</f>
        <v>16</v>
      </c>
      <c r="C23" s="43">
        <v>46458</v>
      </c>
      <c r="D23" s="44" t="s">
        <v>124</v>
      </c>
      <c r="E23" s="45" t="str">
        <f>IF($Z23="","",IF($F23=ApportCouvert,INDEX(Îlots!$I$8:$I$57,$Z23)&amp;"",INDEX(Îlots!$N$8:$N$57,$Z23)&amp;""))</f>
        <v>Prairie temporaire</v>
      </c>
      <c r="F23" s="44" t="s">
        <v>114</v>
      </c>
      <c r="G23" s="44" t="s">
        <v>147</v>
      </c>
      <c r="H23" s="46" t="str">
        <f>IF($AA23="","",INDEX(Fertilisants!$D$8:$D$47,$AA23)&amp;"")</f>
        <v>Type II</v>
      </c>
      <c r="I23" s="47">
        <v>7.45</v>
      </c>
      <c r="J23" s="48">
        <v>3</v>
      </c>
      <c r="K23" s="46" t="str">
        <f>IF($AA23="","",INDEX(Fertilisants!$E$8:$E$47,$AA23)&amp;"")</f>
        <v>t</v>
      </c>
      <c r="L23" s="49">
        <f t="shared" si="0"/>
        <v>22.35</v>
      </c>
      <c r="M23" s="50">
        <f>IF(OR($J23="",$AA23=""),"",$J23*N(INDEX(Fertilisants!$G$8:$G$47,$AA23)))</f>
        <v>72</v>
      </c>
      <c r="N23" s="50">
        <f>IF(OR($J23="",$AA23=""),"",$J23*N(INDEX(Fertilisants!$I$8:$I$47,$AA23)))</f>
        <v>39.6</v>
      </c>
      <c r="O23" s="50">
        <f>IF(OR($J23="",$AA23=""),"",$J23*N(INDEX(Fertilisants!$J$8:$J$47,$AA23)))</f>
        <v>63</v>
      </c>
      <c r="P23" s="50">
        <f>IF(OR($J23="",$AA23=""),"",$J23*N(INDEX(Fertilisants!$K$8:$K$47,$AA23)))</f>
        <v>57</v>
      </c>
      <c r="Q23" s="50">
        <f t="shared" si="1"/>
        <v>536.4</v>
      </c>
      <c r="R23" s="44" t="s">
        <v>109</v>
      </c>
      <c r="S23" s="44" t="s">
        <v>122</v>
      </c>
      <c r="T23" s="51"/>
      <c r="U23" s="44" t="s">
        <v>126</v>
      </c>
      <c r="V23" s="43">
        <v>46461</v>
      </c>
      <c r="W23" s="52" t="str">
        <f t="shared" si="2"/>
        <v>Conforme</v>
      </c>
      <c r="X23" s="44" t="s">
        <v>148</v>
      </c>
      <c r="Z23" s="53">
        <f>IF($D23="","",IFERROR(MATCH($D23,Îlots!$D$8:$D$57,0),""))</f>
        <v>7</v>
      </c>
      <c r="AA23" s="53">
        <f>IF($G23="","",IFERROR(MATCH($G23,Fertilisants!$B$8:$B$47,0),""))</f>
        <v>3</v>
      </c>
      <c r="AB23" s="53">
        <f>IF($Z23="","",INDEX(Îlots!$E$8:$E$57,$Z23))</f>
        <v>7.45</v>
      </c>
      <c r="AC23" s="53" t="str">
        <f>IF($Z23="","",INDEX(Îlots!$G$8:$G$57,$Z23)&amp;"")</f>
        <v>Non</v>
      </c>
      <c r="AD23" s="53" t="str">
        <f>IF($Z23="","",IF($F23=ApportCouvert,OccCouvert,INDEX(Îlots!$O$8:$O$57,$Z23)&amp;""))</f>
        <v>Prairie &gt; 6 mois et luzerne</v>
      </c>
      <c r="AE23" s="53" t="str">
        <f t="shared" si="3"/>
        <v/>
      </c>
      <c r="AF23" s="53">
        <f t="shared" si="4"/>
        <v>7</v>
      </c>
      <c r="AG23" s="53">
        <f t="shared" si="5"/>
        <v>312</v>
      </c>
      <c r="AH23" s="53">
        <f t="shared" si="6"/>
        <v>0</v>
      </c>
      <c r="AI23" s="53">
        <f t="shared" si="7"/>
        <v>0</v>
      </c>
      <c r="AJ23" s="53">
        <f t="shared" si="8"/>
        <v>0</v>
      </c>
      <c r="AK23" s="53">
        <f t="shared" si="9"/>
        <v>0</v>
      </c>
      <c r="AL23" s="53">
        <f t="shared" si="10"/>
        <v>0</v>
      </c>
      <c r="AM23" s="53">
        <f>IF($AA23="",0,IF(INDEX(Fertilisants!$C$8:$C$47,$AA23)="Effluent d'élevage",1,0))</f>
        <v>1</v>
      </c>
      <c r="AN23" s="53" t="str">
        <f>IF($AA23="","",IF(INDEX(Fertilisants!$C$8:$C$47,$AA23)="Engrais minéral","Minéral","Organique"))</f>
        <v>Organique</v>
      </c>
      <c r="AO23" s="53">
        <f t="shared" si="11"/>
        <v>295.02000000000004</v>
      </c>
      <c r="AP23" s="53">
        <f t="shared" si="12"/>
        <v>469.35</v>
      </c>
      <c r="AQ23" s="53">
        <f t="shared" si="13"/>
        <v>424.65000000000003</v>
      </c>
      <c r="AR23" s="53" t="str">
        <f>IF(AND($D23&lt;&gt;"",$D23=FicheIlot),COUNTIF($D$8:$D23,FicheIlot),"")</f>
        <v/>
      </c>
    </row>
    <row r="24" spans="2:44" ht="18.95" customHeight="1" x14ac:dyDescent="0.25">
      <c r="B24" s="42">
        <f>IF(C24="","",COUNT($C$8:C24))</f>
        <v>17</v>
      </c>
      <c r="C24" s="43">
        <v>46464</v>
      </c>
      <c r="D24" s="44" t="s">
        <v>120</v>
      </c>
      <c r="E24" s="45" t="str">
        <f>IF($Z24="","",IF($F24=ApportCouvert,INDEX(Îlots!$I$8:$I$57,$Z24)&amp;"",INDEX(Îlots!$N$8:$N$57,$Z24)&amp;""))</f>
        <v>Blé tendre d'hiver</v>
      </c>
      <c r="F24" s="44" t="s">
        <v>114</v>
      </c>
      <c r="G24" s="44" t="s">
        <v>145</v>
      </c>
      <c r="H24" s="46" t="str">
        <f>IF($AA24="","",INDEX(Fertilisants!$D$8:$D$47,$AA24)&amp;"")</f>
        <v>Type III</v>
      </c>
      <c r="I24" s="47">
        <v>11.35</v>
      </c>
      <c r="J24" s="48">
        <v>180</v>
      </c>
      <c r="K24" s="46" t="str">
        <f>IF($AA24="","",INDEX(Fertilisants!$E$8:$E$47,$AA24)&amp;"")</f>
        <v>L</v>
      </c>
      <c r="L24" s="49">
        <f t="shared" si="0"/>
        <v>2043</v>
      </c>
      <c r="M24" s="50">
        <f>IF(OR($J24="",$AA24=""),"",$J24*N(INDEX(Fertilisants!$G$8:$G$47,$AA24)))</f>
        <v>69.12</v>
      </c>
      <c r="N24" s="50">
        <f>IF(OR($J24="",$AA24=""),"",$J24*N(INDEX(Fertilisants!$I$8:$I$47,$AA24)))</f>
        <v>69.12</v>
      </c>
      <c r="O24" s="50">
        <f>IF(OR($J24="",$AA24=""),"",$J24*N(INDEX(Fertilisants!$J$8:$J$47,$AA24)))</f>
        <v>0</v>
      </c>
      <c r="P24" s="50">
        <f>IF(OR($J24="",$AA24=""),"",$J24*N(INDEX(Fertilisants!$K$8:$K$47,$AA24)))</f>
        <v>0</v>
      </c>
      <c r="Q24" s="50">
        <f t="shared" si="1"/>
        <v>784.51200000000006</v>
      </c>
      <c r="R24" s="44" t="s">
        <v>109</v>
      </c>
      <c r="S24" s="44" t="s">
        <v>146</v>
      </c>
      <c r="T24" s="51"/>
      <c r="U24" s="44" t="s">
        <v>111</v>
      </c>
      <c r="V24" s="43">
        <v>46464</v>
      </c>
      <c r="W24" s="52" t="str">
        <f t="shared" si="2"/>
        <v>Conforme</v>
      </c>
      <c r="X24" s="44" t="s">
        <v>149</v>
      </c>
      <c r="Z24" s="53">
        <f>IF($D24="","",IFERROR(MATCH($D24,Îlots!$D$8:$D$57,0),""))</f>
        <v>2</v>
      </c>
      <c r="AA24" s="53">
        <f>IF($G24="","",IFERROR(MATCH($G24,Fertilisants!$B$8:$B$47,0),""))</f>
        <v>7</v>
      </c>
      <c r="AB24" s="53">
        <f>IF($Z24="","",INDEX(Îlots!$E$8:$E$57,$Z24))</f>
        <v>11.35</v>
      </c>
      <c r="AC24" s="53" t="str">
        <f>IF($Z24="","",INDEX(Îlots!$G$8:$G$57,$Z24)&amp;"")</f>
        <v>Oui</v>
      </c>
      <c r="AD24" s="53" t="str">
        <f>IF($Z24="","",IF($F24=ApportCouvert,OccCouvert,INDEX(Îlots!$O$8:$O$57,$Z24)&amp;""))</f>
        <v>Culture d'automne (hors colza)</v>
      </c>
      <c r="AE24" s="53">
        <f t="shared" si="3"/>
        <v>1</v>
      </c>
      <c r="AF24" s="53">
        <f t="shared" si="4"/>
        <v>9</v>
      </c>
      <c r="AG24" s="53">
        <f t="shared" si="5"/>
        <v>318</v>
      </c>
      <c r="AH24" s="53">
        <f t="shared" si="6"/>
        <v>901</v>
      </c>
      <c r="AI24" s="53">
        <f t="shared" si="7"/>
        <v>131</v>
      </c>
      <c r="AJ24" s="53">
        <f t="shared" si="8"/>
        <v>0</v>
      </c>
      <c r="AK24" s="53">
        <f t="shared" si="9"/>
        <v>0</v>
      </c>
      <c r="AL24" s="53">
        <f t="shared" si="10"/>
        <v>0</v>
      </c>
      <c r="AM24" s="53">
        <f>IF($AA24="",0,IF(INDEX(Fertilisants!$C$8:$C$47,$AA24)="Effluent d'élevage",1,0))</f>
        <v>0</v>
      </c>
      <c r="AN24" s="53" t="str">
        <f>IF($AA24="","",IF(INDEX(Fertilisants!$C$8:$C$47,$AA24)="Engrais minéral","Minéral","Organique"))</f>
        <v>Minéral</v>
      </c>
      <c r="AO24" s="53">
        <f t="shared" si="11"/>
        <v>784.51200000000006</v>
      </c>
      <c r="AP24" s="53">
        <f t="shared" si="12"/>
        <v>0</v>
      </c>
      <c r="AQ24" s="53">
        <f t="shared" si="13"/>
        <v>0</v>
      </c>
      <c r="AR24" s="53" t="str">
        <f>IF(AND($D24&lt;&gt;"",$D24=FicheIlot),COUNTIF($D$8:$D24,FicheIlot),"")</f>
        <v/>
      </c>
    </row>
    <row r="25" spans="2:44" ht="18.95" customHeight="1" x14ac:dyDescent="0.25">
      <c r="B25" s="42">
        <f>IF(C25="","",COUNT($C$8:C25))</f>
        <v>18</v>
      </c>
      <c r="C25" s="43">
        <v>46468</v>
      </c>
      <c r="D25" s="44" t="s">
        <v>137</v>
      </c>
      <c r="E25" s="45" t="str">
        <f>IF($Z25="","",IF($F25=ApportCouvert,INDEX(Îlots!$I$8:$I$57,$Z25)&amp;"",INDEX(Îlots!$N$8:$N$57,$Z25)&amp;""))</f>
        <v>Triticale</v>
      </c>
      <c r="F25" s="44" t="s">
        <v>114</v>
      </c>
      <c r="G25" s="44" t="s">
        <v>142</v>
      </c>
      <c r="H25" s="46" t="str">
        <f>IF($AA25="","",INDEX(Fertilisants!$D$8:$D$47,$AA25)&amp;"")</f>
        <v>Type II</v>
      </c>
      <c r="I25" s="47">
        <v>10.050000000000001</v>
      </c>
      <c r="J25" s="48">
        <v>25</v>
      </c>
      <c r="K25" s="46" t="str">
        <f>IF($AA25="","",INDEX(Fertilisants!$E$8:$E$47,$AA25)&amp;"")</f>
        <v>m³</v>
      </c>
      <c r="L25" s="49">
        <f t="shared" si="0"/>
        <v>251.25000000000003</v>
      </c>
      <c r="M25" s="50">
        <f>IF(OR($J25="",$AA25=""),"",$J25*N(INDEX(Fertilisants!$G$8:$G$47,$AA25)))</f>
        <v>114.99999999999999</v>
      </c>
      <c r="N25" s="50">
        <f>IF(OR($J25="",$AA25=""),"",$J25*N(INDEX(Fertilisants!$I$8:$I$47,$AA25)))</f>
        <v>69</v>
      </c>
      <c r="O25" s="50">
        <f>IF(OR($J25="",$AA25=""),"",$J25*N(INDEX(Fertilisants!$J$8:$J$47,$AA25)))</f>
        <v>40</v>
      </c>
      <c r="P25" s="50">
        <f>IF(OR($J25="",$AA25=""),"",$J25*N(INDEX(Fertilisants!$K$8:$K$47,$AA25)))</f>
        <v>120</v>
      </c>
      <c r="Q25" s="50">
        <f t="shared" si="1"/>
        <v>1155.75</v>
      </c>
      <c r="R25" s="44" t="s">
        <v>109</v>
      </c>
      <c r="S25" s="44" t="s">
        <v>116</v>
      </c>
      <c r="T25" s="51"/>
      <c r="U25" s="44" t="s">
        <v>117</v>
      </c>
      <c r="V25" s="43">
        <v>46470</v>
      </c>
      <c r="W25" s="52" t="str">
        <f t="shared" si="2"/>
        <v>Conforme</v>
      </c>
      <c r="X25" s="44" t="s">
        <v>150</v>
      </c>
      <c r="Z25" s="53">
        <f>IF($D25="","",IFERROR(MATCH($D25,Îlots!$D$8:$D$57,0),""))</f>
        <v>9</v>
      </c>
      <c r="AA25" s="53">
        <f>IF($G25="","",IFERROR(MATCH($G25,Fertilisants!$B$8:$B$47,0),""))</f>
        <v>5</v>
      </c>
      <c r="AB25" s="53">
        <f>IF($Z25="","",INDEX(Îlots!$E$8:$E$57,$Z25))</f>
        <v>10.050000000000001</v>
      </c>
      <c r="AC25" s="53" t="str">
        <f>IF($Z25="","",INDEX(Îlots!$G$8:$G$57,$Z25)&amp;"")</f>
        <v>Oui</v>
      </c>
      <c r="AD25" s="53" t="str">
        <f>IF($Z25="","",IF($F25=ApportCouvert,OccCouvert,INDEX(Îlots!$O$8:$O$57,$Z25)&amp;""))</f>
        <v>Culture d'automne (hors colza)</v>
      </c>
      <c r="AE25" s="53">
        <f t="shared" si="3"/>
        <v>1</v>
      </c>
      <c r="AF25" s="53">
        <f t="shared" si="4"/>
        <v>7</v>
      </c>
      <c r="AG25" s="53">
        <f t="shared" si="5"/>
        <v>322</v>
      </c>
      <c r="AH25" s="53">
        <f t="shared" si="6"/>
        <v>1001</v>
      </c>
      <c r="AI25" s="53">
        <f t="shared" si="7"/>
        <v>131</v>
      </c>
      <c r="AJ25" s="53">
        <f t="shared" si="8"/>
        <v>0</v>
      </c>
      <c r="AK25" s="53">
        <f t="shared" si="9"/>
        <v>0</v>
      </c>
      <c r="AL25" s="53">
        <f t="shared" si="10"/>
        <v>0</v>
      </c>
      <c r="AM25" s="53">
        <f>IF($AA25="",0,IF(INDEX(Fertilisants!$C$8:$C$47,$AA25)="Effluent d'élevage",1,0))</f>
        <v>0</v>
      </c>
      <c r="AN25" s="53" t="str">
        <f>IF($AA25="","",IF(INDEX(Fertilisants!$C$8:$C$47,$AA25)="Engrais minéral","Minéral","Organique"))</f>
        <v>Organique</v>
      </c>
      <c r="AO25" s="53">
        <f t="shared" si="11"/>
        <v>693.45</v>
      </c>
      <c r="AP25" s="53">
        <f t="shared" si="12"/>
        <v>402</v>
      </c>
      <c r="AQ25" s="53">
        <f t="shared" si="13"/>
        <v>1206</v>
      </c>
      <c r="AR25" s="53" t="str">
        <f>IF(AND($D25&lt;&gt;"",$D25=FicheIlot),COUNTIF($D$8:$D25,FicheIlot),"")</f>
        <v/>
      </c>
    </row>
    <row r="26" spans="2:44" ht="18.95" customHeight="1" x14ac:dyDescent="0.25">
      <c r="B26" s="42">
        <f>IF(C26="","",COUNT($C$8:C26))</f>
        <v>19</v>
      </c>
      <c r="C26" s="43">
        <v>46479</v>
      </c>
      <c r="D26" s="44" t="s">
        <v>139</v>
      </c>
      <c r="E26" s="45" t="str">
        <f>IF($Z26="","",IF($F26=ApportCouvert,INDEX(Îlots!$I$8:$I$57,$Z26)&amp;"",INDEX(Îlots!$N$8:$N$57,$Z26)&amp;""))</f>
        <v>Orge d'hiver</v>
      </c>
      <c r="F26" s="44" t="s">
        <v>114</v>
      </c>
      <c r="G26" s="44" t="s">
        <v>135</v>
      </c>
      <c r="H26" s="46" t="str">
        <f>IF($AA26="","",INDEX(Fertilisants!$D$8:$D$47,$AA26)&amp;"")</f>
        <v>Type III</v>
      </c>
      <c r="I26" s="47">
        <v>12.75</v>
      </c>
      <c r="J26" s="48">
        <v>150</v>
      </c>
      <c r="K26" s="46" t="str">
        <f>IF($AA26="","",INDEX(Fertilisants!$E$8:$E$47,$AA26)&amp;"")</f>
        <v>kg</v>
      </c>
      <c r="L26" s="49">
        <f t="shared" si="0"/>
        <v>1912.5</v>
      </c>
      <c r="M26" s="50">
        <f>IF(OR($J26="",$AA26=""),"",$J26*N(INDEX(Fertilisants!$G$8:$G$47,$AA26)))</f>
        <v>50.25</v>
      </c>
      <c r="N26" s="50">
        <f>IF(OR($J26="",$AA26=""),"",$J26*N(INDEX(Fertilisants!$I$8:$I$47,$AA26)))</f>
        <v>50.25</v>
      </c>
      <c r="O26" s="50">
        <f>IF(OR($J26="",$AA26=""),"",$J26*N(INDEX(Fertilisants!$J$8:$J$47,$AA26)))</f>
        <v>0</v>
      </c>
      <c r="P26" s="50">
        <f>IF(OR($J26="",$AA26=""),"",$J26*N(INDEX(Fertilisants!$K$8:$K$47,$AA26)))</f>
        <v>0</v>
      </c>
      <c r="Q26" s="50">
        <f t="shared" si="1"/>
        <v>640.6875</v>
      </c>
      <c r="R26" s="44" t="s">
        <v>109</v>
      </c>
      <c r="S26" s="44" t="s">
        <v>133</v>
      </c>
      <c r="T26" s="51"/>
      <c r="U26" s="44" t="s">
        <v>111</v>
      </c>
      <c r="V26" s="43">
        <v>46480</v>
      </c>
      <c r="W26" s="52" t="str">
        <f t="shared" si="2"/>
        <v>Conforme</v>
      </c>
      <c r="X26" s="44" t="s">
        <v>151</v>
      </c>
      <c r="Z26" s="53">
        <f>IF($D26="","",IFERROR(MATCH($D26,Îlots!$D$8:$D$57,0),""))</f>
        <v>5</v>
      </c>
      <c r="AA26" s="53">
        <f>IF($G26="","",IFERROR(MATCH($G26,Fertilisants!$B$8:$B$47,0),""))</f>
        <v>6</v>
      </c>
      <c r="AB26" s="53">
        <f>IF($Z26="","",INDEX(Îlots!$E$8:$E$57,$Z26))</f>
        <v>12.75</v>
      </c>
      <c r="AC26" s="53" t="str">
        <f>IF($Z26="","",INDEX(Îlots!$G$8:$G$57,$Z26)&amp;"")</f>
        <v>Oui</v>
      </c>
      <c r="AD26" s="53" t="str">
        <f>IF($Z26="","",IF($F26=ApportCouvert,OccCouvert,INDEX(Îlots!$O$8:$O$57,$Z26)&amp;""))</f>
        <v>Culture d'automne (hors colza)</v>
      </c>
      <c r="AE26" s="53">
        <f t="shared" si="3"/>
        <v>1</v>
      </c>
      <c r="AF26" s="53">
        <f t="shared" si="4"/>
        <v>9</v>
      </c>
      <c r="AG26" s="53">
        <f t="shared" si="5"/>
        <v>402</v>
      </c>
      <c r="AH26" s="53">
        <f t="shared" si="6"/>
        <v>901</v>
      </c>
      <c r="AI26" s="53">
        <f t="shared" si="7"/>
        <v>131</v>
      </c>
      <c r="AJ26" s="53">
        <f t="shared" si="8"/>
        <v>0</v>
      </c>
      <c r="AK26" s="53">
        <f t="shared" si="9"/>
        <v>0</v>
      </c>
      <c r="AL26" s="53">
        <f t="shared" si="10"/>
        <v>0</v>
      </c>
      <c r="AM26" s="53">
        <f>IF($AA26="",0,IF(INDEX(Fertilisants!$C$8:$C$47,$AA26)="Effluent d'élevage",1,0))</f>
        <v>0</v>
      </c>
      <c r="AN26" s="53" t="str">
        <f>IF($AA26="","",IF(INDEX(Fertilisants!$C$8:$C$47,$AA26)="Engrais minéral","Minéral","Organique"))</f>
        <v>Minéral</v>
      </c>
      <c r="AO26" s="53">
        <f t="shared" si="11"/>
        <v>640.6875</v>
      </c>
      <c r="AP26" s="53">
        <f t="shared" si="12"/>
        <v>0</v>
      </c>
      <c r="AQ26" s="53">
        <f t="shared" si="13"/>
        <v>0</v>
      </c>
      <c r="AR26" s="53" t="str">
        <f>IF(AND($D26&lt;&gt;"",$D26=FicheIlot),COUNTIF($D$8:$D26,FicheIlot),"")</f>
        <v/>
      </c>
    </row>
    <row r="27" spans="2:44" ht="18.95" customHeight="1" x14ac:dyDescent="0.25">
      <c r="B27" s="42">
        <f>IF(C27="","",COUNT($C$8:C27))</f>
        <v>20</v>
      </c>
      <c r="C27" s="43">
        <v>46489</v>
      </c>
      <c r="D27" s="44" t="s">
        <v>106</v>
      </c>
      <c r="E27" s="45" t="str">
        <f>IF($Z27="","",IF($F27=ApportCouvert,INDEX(Îlots!$I$8:$I$57,$Z27)&amp;"",INDEX(Îlots!$N$8:$N$57,$Z27)&amp;""))</f>
        <v>Orge de printemps</v>
      </c>
      <c r="F27" s="44" t="s">
        <v>114</v>
      </c>
      <c r="G27" s="44" t="s">
        <v>135</v>
      </c>
      <c r="H27" s="46" t="str">
        <f>IF($AA27="","",INDEX(Fertilisants!$D$8:$D$47,$AA27)&amp;"")</f>
        <v>Type III</v>
      </c>
      <c r="I27" s="47">
        <v>13.1</v>
      </c>
      <c r="J27" s="48">
        <v>110</v>
      </c>
      <c r="K27" s="46" t="str">
        <f>IF($AA27="","",INDEX(Fertilisants!$E$8:$E$47,$AA27)&amp;"")</f>
        <v>kg</v>
      </c>
      <c r="L27" s="49">
        <f t="shared" si="0"/>
        <v>1441</v>
      </c>
      <c r="M27" s="50">
        <f>IF(OR($J27="",$AA27=""),"",$J27*N(INDEX(Fertilisants!$G$8:$G$47,$AA27)))</f>
        <v>36.85</v>
      </c>
      <c r="N27" s="50">
        <f>IF(OR($J27="",$AA27=""),"",$J27*N(INDEX(Fertilisants!$I$8:$I$47,$AA27)))</f>
        <v>36.85</v>
      </c>
      <c r="O27" s="50">
        <f>IF(OR($J27="",$AA27=""),"",$J27*N(INDEX(Fertilisants!$J$8:$J$47,$AA27)))</f>
        <v>0</v>
      </c>
      <c r="P27" s="50">
        <f>IF(OR($J27="",$AA27=""),"",$J27*N(INDEX(Fertilisants!$K$8:$K$47,$AA27)))</f>
        <v>0</v>
      </c>
      <c r="Q27" s="50">
        <f t="shared" si="1"/>
        <v>482.73500000000001</v>
      </c>
      <c r="R27" s="44" t="s">
        <v>109</v>
      </c>
      <c r="S27" s="44" t="s">
        <v>133</v>
      </c>
      <c r="T27" s="51"/>
      <c r="U27" s="44" t="s">
        <v>138</v>
      </c>
      <c r="V27" s="43">
        <v>46532</v>
      </c>
      <c r="W27" s="52" t="str">
        <f t="shared" si="2"/>
        <v>Saisie tardive</v>
      </c>
      <c r="X27" s="44" t="s">
        <v>152</v>
      </c>
      <c r="Z27" s="53">
        <f>IF($D27="","",IFERROR(MATCH($D27,Îlots!$D$8:$D$57,0),""))</f>
        <v>8</v>
      </c>
      <c r="AA27" s="53">
        <f>IF($G27="","",IFERROR(MATCH($G27,Fertilisants!$B$8:$B$47,0),""))</f>
        <v>6</v>
      </c>
      <c r="AB27" s="53">
        <f>IF($Z27="","",INDEX(Îlots!$E$8:$E$57,$Z27))</f>
        <v>13.1</v>
      </c>
      <c r="AC27" s="53" t="str">
        <f>IF($Z27="","",INDEX(Îlots!$G$8:$G$57,$Z27)&amp;"")</f>
        <v>Oui</v>
      </c>
      <c r="AD27" s="53" t="str">
        <f>IF($Z27="","",IF($F27=ApportCouvert,OccCouvert,INDEX(Îlots!$O$8:$O$57,$Z27)&amp;""))</f>
        <v>Culture de printemps</v>
      </c>
      <c r="AE27" s="53">
        <f t="shared" si="3"/>
        <v>3</v>
      </c>
      <c r="AF27" s="53">
        <f t="shared" si="4"/>
        <v>9</v>
      </c>
      <c r="AG27" s="53">
        <f t="shared" si="5"/>
        <v>412</v>
      </c>
      <c r="AH27" s="53">
        <f t="shared" si="6"/>
        <v>701</v>
      </c>
      <c r="AI27" s="53">
        <f t="shared" si="7"/>
        <v>215</v>
      </c>
      <c r="AJ27" s="53">
        <f t="shared" si="8"/>
        <v>0</v>
      </c>
      <c r="AK27" s="53">
        <f t="shared" si="9"/>
        <v>0</v>
      </c>
      <c r="AL27" s="53">
        <f t="shared" si="10"/>
        <v>0</v>
      </c>
      <c r="AM27" s="53">
        <f>IF($AA27="",0,IF(INDEX(Fertilisants!$C$8:$C$47,$AA27)="Effluent d'élevage",1,0))</f>
        <v>0</v>
      </c>
      <c r="AN27" s="53" t="str">
        <f>IF($AA27="","",IF(INDEX(Fertilisants!$C$8:$C$47,$AA27)="Engrais minéral","Minéral","Organique"))</f>
        <v>Minéral</v>
      </c>
      <c r="AO27" s="53">
        <f t="shared" si="11"/>
        <v>482.73500000000001</v>
      </c>
      <c r="AP27" s="53">
        <f t="shared" si="12"/>
        <v>0</v>
      </c>
      <c r="AQ27" s="53">
        <f t="shared" si="13"/>
        <v>0</v>
      </c>
      <c r="AR27" s="53" t="str">
        <f>IF(AND($D27&lt;&gt;"",$D27=FicheIlot),COUNTIF($D$8:$D27,FicheIlot),"")</f>
        <v/>
      </c>
    </row>
    <row r="28" spans="2:44" ht="18.95" customHeight="1" x14ac:dyDescent="0.25">
      <c r="B28" s="42">
        <f>IF(C28="","",COUNT($C$8:C28))</f>
        <v>21</v>
      </c>
      <c r="C28" s="43">
        <v>46492</v>
      </c>
      <c r="D28" s="44" t="s">
        <v>137</v>
      </c>
      <c r="E28" s="45" t="str">
        <f>IF($Z28="","",IF($F28=ApportCouvert,INDEX(Îlots!$I$8:$I$57,$Z28)&amp;"",INDEX(Îlots!$N$8:$N$57,$Z28)&amp;""))</f>
        <v>Triticale</v>
      </c>
      <c r="F28" s="44" t="s">
        <v>114</v>
      </c>
      <c r="G28" s="44" t="s">
        <v>153</v>
      </c>
      <c r="H28" s="46" t="str">
        <f>IF($AA28="","",INDEX(Fertilisants!$D$8:$D$47,$AA28)&amp;"")</f>
        <v>Type III</v>
      </c>
      <c r="I28" s="47">
        <v>10.050000000000001</v>
      </c>
      <c r="J28" s="48">
        <v>60</v>
      </c>
      <c r="K28" s="46" t="str">
        <f>IF($AA28="","",INDEX(Fertilisants!$E$8:$E$47,$AA28)&amp;"")</f>
        <v>kg</v>
      </c>
      <c r="L28" s="49">
        <f t="shared" si="0"/>
        <v>603</v>
      </c>
      <c r="M28" s="50">
        <f>IF(OR($J28="",$AA28=""),"",$J28*N(INDEX(Fertilisants!$G$8:$G$47,$AA28)))</f>
        <v>27.6</v>
      </c>
      <c r="N28" s="50">
        <f>IF(OR($J28="",$AA28=""),"",$J28*N(INDEX(Fertilisants!$I$8:$I$47,$AA28)))</f>
        <v>27.6</v>
      </c>
      <c r="O28" s="50">
        <f>IF(OR($J28="",$AA28=""),"",$J28*N(INDEX(Fertilisants!$J$8:$J$47,$AA28)))</f>
        <v>0</v>
      </c>
      <c r="P28" s="50">
        <f>IF(OR($J28="",$AA28=""),"",$J28*N(INDEX(Fertilisants!$K$8:$K$47,$AA28)))</f>
        <v>0</v>
      </c>
      <c r="Q28" s="50">
        <f t="shared" si="1"/>
        <v>277.38000000000005</v>
      </c>
      <c r="R28" s="44" t="s">
        <v>109</v>
      </c>
      <c r="S28" s="44" t="s">
        <v>133</v>
      </c>
      <c r="T28" s="51"/>
      <c r="U28" s="44" t="s">
        <v>111</v>
      </c>
      <c r="V28" s="43">
        <v>46493</v>
      </c>
      <c r="W28" s="52" t="str">
        <f t="shared" si="2"/>
        <v>Conforme</v>
      </c>
      <c r="X28" s="44"/>
      <c r="Z28" s="53">
        <f>IF($D28="","",IFERROR(MATCH($D28,Îlots!$D$8:$D$57,0),""))</f>
        <v>9</v>
      </c>
      <c r="AA28" s="53">
        <f>IF($G28="","",IFERROR(MATCH($G28,Fertilisants!$B$8:$B$47,0),""))</f>
        <v>8</v>
      </c>
      <c r="AB28" s="53">
        <f>IF($Z28="","",INDEX(Îlots!$E$8:$E$57,$Z28))</f>
        <v>10.050000000000001</v>
      </c>
      <c r="AC28" s="53" t="str">
        <f>IF($Z28="","",INDEX(Îlots!$G$8:$G$57,$Z28)&amp;"")</f>
        <v>Oui</v>
      </c>
      <c r="AD28" s="53" t="str">
        <f>IF($Z28="","",IF($F28=ApportCouvert,OccCouvert,INDEX(Îlots!$O$8:$O$57,$Z28)&amp;""))</f>
        <v>Culture d'automne (hors colza)</v>
      </c>
      <c r="AE28" s="53">
        <f t="shared" si="3"/>
        <v>1</v>
      </c>
      <c r="AF28" s="53">
        <f t="shared" si="4"/>
        <v>9</v>
      </c>
      <c r="AG28" s="53">
        <f t="shared" si="5"/>
        <v>415</v>
      </c>
      <c r="AH28" s="53">
        <f t="shared" si="6"/>
        <v>901</v>
      </c>
      <c r="AI28" s="53">
        <f t="shared" si="7"/>
        <v>131</v>
      </c>
      <c r="AJ28" s="53">
        <f t="shared" si="8"/>
        <v>0</v>
      </c>
      <c r="AK28" s="53">
        <f t="shared" si="9"/>
        <v>0</v>
      </c>
      <c r="AL28" s="53">
        <f t="shared" si="10"/>
        <v>0</v>
      </c>
      <c r="AM28" s="53">
        <f>IF($AA28="",0,IF(INDEX(Fertilisants!$C$8:$C$47,$AA28)="Effluent d'élevage",1,0))</f>
        <v>0</v>
      </c>
      <c r="AN28" s="53" t="str">
        <f>IF($AA28="","",IF(INDEX(Fertilisants!$C$8:$C$47,$AA28)="Engrais minéral","Minéral","Organique"))</f>
        <v>Minéral</v>
      </c>
      <c r="AO28" s="53">
        <f t="shared" si="11"/>
        <v>277.38000000000005</v>
      </c>
      <c r="AP28" s="53">
        <f t="shared" si="12"/>
        <v>0</v>
      </c>
      <c r="AQ28" s="53">
        <f t="shared" si="13"/>
        <v>0</v>
      </c>
      <c r="AR28" s="53" t="str">
        <f>IF(AND($D28&lt;&gt;"",$D28=FicheIlot),COUNTIF($D$8:$D28,FicheIlot),"")</f>
        <v/>
      </c>
    </row>
    <row r="29" spans="2:44" ht="18.95" customHeight="1" x14ac:dyDescent="0.25">
      <c r="B29" s="42">
        <f>IF(C29="","",COUNT($C$8:C29))</f>
        <v>22</v>
      </c>
      <c r="C29" s="43">
        <v>46492</v>
      </c>
      <c r="D29" s="44" t="s">
        <v>118</v>
      </c>
      <c r="E29" s="45" t="str">
        <f>IF($Z29="","",IF($F29=ApportCouvert,INDEX(Îlots!$I$8:$I$57,$Z29)&amp;"",INDEX(Îlots!$N$8:$N$57,$Z29)&amp;""))</f>
        <v>Maïs ensilage</v>
      </c>
      <c r="F29" s="44" t="s">
        <v>121</v>
      </c>
      <c r="G29" s="44" t="s">
        <v>115</v>
      </c>
      <c r="H29" s="46" t="str">
        <f>IF($AA29="","",INDEX(Fertilisants!$D$8:$D$47,$AA29)&amp;"")</f>
        <v>Type II</v>
      </c>
      <c r="I29" s="47">
        <v>14.8</v>
      </c>
      <c r="J29" s="48">
        <v>35</v>
      </c>
      <c r="K29" s="46" t="str">
        <f>IF($AA29="","",INDEX(Fertilisants!$E$8:$E$47,$AA29)&amp;"")</f>
        <v>m³</v>
      </c>
      <c r="L29" s="49">
        <f t="shared" si="0"/>
        <v>518</v>
      </c>
      <c r="M29" s="50">
        <f>IF(OR($J29="",$AA29=""),"",$J29*N(INDEX(Fertilisants!$G$8:$G$47,$AA29)))</f>
        <v>140</v>
      </c>
      <c r="N29" s="50">
        <f>IF(OR($J29="",$AA29=""),"",$J29*N(INDEX(Fertilisants!$I$8:$I$47,$AA29)))</f>
        <v>70</v>
      </c>
      <c r="O29" s="50">
        <f>IF(OR($J29="",$AA29=""),"",$J29*N(INDEX(Fertilisants!$J$8:$J$47,$AA29)))</f>
        <v>59.5</v>
      </c>
      <c r="P29" s="50">
        <f>IF(OR($J29="",$AA29=""),"",$J29*N(INDEX(Fertilisants!$K$8:$K$47,$AA29)))</f>
        <v>161</v>
      </c>
      <c r="Q29" s="50">
        <f t="shared" si="1"/>
        <v>2072</v>
      </c>
      <c r="R29" s="44" t="s">
        <v>109</v>
      </c>
      <c r="S29" s="44" t="s">
        <v>143</v>
      </c>
      <c r="T29" s="51">
        <v>0</v>
      </c>
      <c r="U29" s="44" t="s">
        <v>117</v>
      </c>
      <c r="V29" s="43">
        <v>46494</v>
      </c>
      <c r="W29" s="52" t="str">
        <f t="shared" si="2"/>
        <v>Conforme</v>
      </c>
      <c r="X29" s="44" t="s">
        <v>154</v>
      </c>
      <c r="Z29" s="53">
        <f>IF($D29="","",IFERROR(MATCH($D29,Îlots!$D$8:$D$57,0),""))</f>
        <v>1</v>
      </c>
      <c r="AA29" s="53">
        <f>IF($G29="","",IFERROR(MATCH($G29,Fertilisants!$B$8:$B$47,0),""))</f>
        <v>2</v>
      </c>
      <c r="AB29" s="53">
        <f>IF($Z29="","",INDEX(Îlots!$E$8:$E$57,$Z29))</f>
        <v>14.8</v>
      </c>
      <c r="AC29" s="53" t="str">
        <f>IF($Z29="","",INDEX(Îlots!$G$8:$G$57,$Z29)&amp;"")</f>
        <v>Oui</v>
      </c>
      <c r="AD29" s="53" t="str">
        <f>IF($Z29="","",IF($F29=ApportCouvert,OccCouvert,INDEX(Îlots!$O$8:$O$57,$Z29)&amp;""))</f>
        <v>Culture de printemps</v>
      </c>
      <c r="AE29" s="53">
        <f t="shared" si="3"/>
        <v>3</v>
      </c>
      <c r="AF29" s="53">
        <f t="shared" si="4"/>
        <v>7</v>
      </c>
      <c r="AG29" s="53">
        <f t="shared" si="5"/>
        <v>415</v>
      </c>
      <c r="AH29" s="53">
        <f t="shared" si="6"/>
        <v>701</v>
      </c>
      <c r="AI29" s="53">
        <f t="shared" si="7"/>
        <v>115</v>
      </c>
      <c r="AJ29" s="53">
        <f t="shared" si="8"/>
        <v>0</v>
      </c>
      <c r="AK29" s="53">
        <f t="shared" si="9"/>
        <v>0</v>
      </c>
      <c r="AL29" s="53">
        <f t="shared" si="10"/>
        <v>0</v>
      </c>
      <c r="AM29" s="53">
        <f>IF($AA29="",0,IF(INDEX(Fertilisants!$C$8:$C$47,$AA29)="Effluent d'élevage",1,0))</f>
        <v>1</v>
      </c>
      <c r="AN29" s="53" t="str">
        <f>IF($AA29="","",IF(INDEX(Fertilisants!$C$8:$C$47,$AA29)="Engrais minéral","Minéral","Organique"))</f>
        <v>Organique</v>
      </c>
      <c r="AO29" s="53">
        <f t="shared" si="11"/>
        <v>1036</v>
      </c>
      <c r="AP29" s="53">
        <f t="shared" si="12"/>
        <v>880.6</v>
      </c>
      <c r="AQ29" s="53">
        <f t="shared" si="13"/>
        <v>2382.8000000000002</v>
      </c>
      <c r="AR29" s="53" t="str">
        <f>IF(AND($D29&lt;&gt;"",$D29=FicheIlot),COUNTIF($D$8:$D29,FicheIlot),"")</f>
        <v/>
      </c>
    </row>
    <row r="30" spans="2:44" ht="18.95" customHeight="1" x14ac:dyDescent="0.25">
      <c r="B30" s="42">
        <f>IF(C30="","",COUNT($C$8:C30))</f>
        <v>23</v>
      </c>
      <c r="C30" s="43">
        <v>46497</v>
      </c>
      <c r="D30" s="44" t="s">
        <v>120</v>
      </c>
      <c r="E30" s="45" t="str">
        <f>IF($Z30="","",IF($F30=ApportCouvert,INDEX(Îlots!$I$8:$I$57,$Z30)&amp;"",INDEX(Îlots!$N$8:$N$57,$Z30)&amp;""))</f>
        <v>Blé tendre d'hiver</v>
      </c>
      <c r="F30" s="44" t="s">
        <v>114</v>
      </c>
      <c r="G30" s="44" t="s">
        <v>135</v>
      </c>
      <c r="H30" s="46" t="str">
        <f>IF($AA30="","",INDEX(Fertilisants!$D$8:$D$47,$AA30)&amp;"")</f>
        <v>Type III</v>
      </c>
      <c r="I30" s="47">
        <v>11.35</v>
      </c>
      <c r="J30" s="48">
        <v>120</v>
      </c>
      <c r="K30" s="46" t="str">
        <f>IF($AA30="","",INDEX(Fertilisants!$E$8:$E$47,$AA30)&amp;"")</f>
        <v>kg</v>
      </c>
      <c r="L30" s="49">
        <f t="shared" si="0"/>
        <v>1362</v>
      </c>
      <c r="M30" s="50">
        <f>IF(OR($J30="",$AA30=""),"",$J30*N(INDEX(Fertilisants!$G$8:$G$47,$AA30)))</f>
        <v>40.200000000000003</v>
      </c>
      <c r="N30" s="50">
        <f>IF(OR($J30="",$AA30=""),"",$J30*N(INDEX(Fertilisants!$I$8:$I$47,$AA30)))</f>
        <v>40.200000000000003</v>
      </c>
      <c r="O30" s="50">
        <f>IF(OR($J30="",$AA30=""),"",$J30*N(INDEX(Fertilisants!$J$8:$J$47,$AA30)))</f>
        <v>0</v>
      </c>
      <c r="P30" s="50">
        <f>IF(OR($J30="",$AA30=""),"",$J30*N(INDEX(Fertilisants!$K$8:$K$47,$AA30)))</f>
        <v>0</v>
      </c>
      <c r="Q30" s="50">
        <f t="shared" si="1"/>
        <v>456.27000000000004</v>
      </c>
      <c r="R30" s="44" t="s">
        <v>109</v>
      </c>
      <c r="S30" s="44" t="s">
        <v>133</v>
      </c>
      <c r="T30" s="51"/>
      <c r="U30" s="44" t="s">
        <v>111</v>
      </c>
      <c r="V30" s="43">
        <v>46498</v>
      </c>
      <c r="W30" s="52" t="str">
        <f t="shared" si="2"/>
        <v>Conforme</v>
      </c>
      <c r="X30" s="44" t="s">
        <v>155</v>
      </c>
      <c r="Z30" s="53">
        <f>IF($D30="","",IFERROR(MATCH($D30,Îlots!$D$8:$D$57,0),""))</f>
        <v>2</v>
      </c>
      <c r="AA30" s="53">
        <f>IF($G30="","",IFERROR(MATCH($G30,Fertilisants!$B$8:$B$47,0),""))</f>
        <v>6</v>
      </c>
      <c r="AB30" s="53">
        <f>IF($Z30="","",INDEX(Îlots!$E$8:$E$57,$Z30))</f>
        <v>11.35</v>
      </c>
      <c r="AC30" s="53" t="str">
        <f>IF($Z30="","",INDEX(Îlots!$G$8:$G$57,$Z30)&amp;"")</f>
        <v>Oui</v>
      </c>
      <c r="AD30" s="53" t="str">
        <f>IF($Z30="","",IF($F30=ApportCouvert,OccCouvert,INDEX(Îlots!$O$8:$O$57,$Z30)&amp;""))</f>
        <v>Culture d'automne (hors colza)</v>
      </c>
      <c r="AE30" s="53">
        <f t="shared" si="3"/>
        <v>1</v>
      </c>
      <c r="AF30" s="53">
        <f t="shared" si="4"/>
        <v>9</v>
      </c>
      <c r="AG30" s="53">
        <f t="shared" si="5"/>
        <v>420</v>
      </c>
      <c r="AH30" s="53">
        <f t="shared" si="6"/>
        <v>901</v>
      </c>
      <c r="AI30" s="53">
        <f t="shared" si="7"/>
        <v>131</v>
      </c>
      <c r="AJ30" s="53">
        <f t="shared" si="8"/>
        <v>0</v>
      </c>
      <c r="AK30" s="53">
        <f t="shared" si="9"/>
        <v>0</v>
      </c>
      <c r="AL30" s="53">
        <f t="shared" si="10"/>
        <v>0</v>
      </c>
      <c r="AM30" s="53">
        <f>IF($AA30="",0,IF(INDEX(Fertilisants!$C$8:$C$47,$AA30)="Effluent d'élevage",1,0))</f>
        <v>0</v>
      </c>
      <c r="AN30" s="53" t="str">
        <f>IF($AA30="","",IF(INDEX(Fertilisants!$C$8:$C$47,$AA30)="Engrais minéral","Minéral","Organique"))</f>
        <v>Minéral</v>
      </c>
      <c r="AO30" s="53">
        <f t="shared" si="11"/>
        <v>456.27000000000004</v>
      </c>
      <c r="AP30" s="53">
        <f t="shared" si="12"/>
        <v>0</v>
      </c>
      <c r="AQ30" s="53">
        <f t="shared" si="13"/>
        <v>0</v>
      </c>
      <c r="AR30" s="53" t="str">
        <f>IF(AND($D30&lt;&gt;"",$D30=FicheIlot),COUNTIF($D$8:$D30,FicheIlot),"")</f>
        <v/>
      </c>
    </row>
    <row r="31" spans="2:44" ht="18.95" customHeight="1" x14ac:dyDescent="0.25">
      <c r="B31" s="42">
        <f>IF(C31="","",COUNT($C$8:C31))</f>
        <v>24</v>
      </c>
      <c r="C31" s="43">
        <v>46505</v>
      </c>
      <c r="D31" s="44" t="s">
        <v>118</v>
      </c>
      <c r="E31" s="45" t="str">
        <f>IF($Z31="","",IF($F31=ApportCouvert,INDEX(Îlots!$I$8:$I$57,$Z31)&amp;"",INDEX(Îlots!$N$8:$N$57,$Z31)&amp;""))</f>
        <v>Maïs ensilage</v>
      </c>
      <c r="F31" s="44" t="s">
        <v>121</v>
      </c>
      <c r="G31" s="44" t="s">
        <v>156</v>
      </c>
      <c r="H31" s="46" t="str">
        <f>IF($AA31="","",INDEX(Fertilisants!$D$8:$D$47,$AA31)&amp;"")</f>
        <v>Type III</v>
      </c>
      <c r="I31" s="47">
        <v>14.8</v>
      </c>
      <c r="J31" s="48">
        <v>100</v>
      </c>
      <c r="K31" s="46" t="str">
        <f>IF($AA31="","",INDEX(Fertilisants!$E$8:$E$47,$AA31)&amp;"")</f>
        <v>kg</v>
      </c>
      <c r="L31" s="49">
        <f t="shared" si="0"/>
        <v>1480</v>
      </c>
      <c r="M31" s="50">
        <f>IF(OR($J31="",$AA31=""),"",$J31*N(INDEX(Fertilisants!$G$8:$G$47,$AA31)))</f>
        <v>18</v>
      </c>
      <c r="N31" s="50">
        <f>IF(OR($J31="",$AA31=""),"",$J31*N(INDEX(Fertilisants!$I$8:$I$47,$AA31)))</f>
        <v>18</v>
      </c>
      <c r="O31" s="50">
        <f>IF(OR($J31="",$AA31=""),"",$J31*N(INDEX(Fertilisants!$J$8:$J$47,$AA31)))</f>
        <v>46</v>
      </c>
      <c r="P31" s="50">
        <f>IF(OR($J31="",$AA31=""),"",$J31*N(INDEX(Fertilisants!$K$8:$K$47,$AA31)))</f>
        <v>0</v>
      </c>
      <c r="Q31" s="50">
        <f t="shared" si="1"/>
        <v>266.40000000000003</v>
      </c>
      <c r="R31" s="44" t="s">
        <v>109</v>
      </c>
      <c r="S31" s="44" t="s">
        <v>157</v>
      </c>
      <c r="T31" s="51"/>
      <c r="U31" s="44" t="s">
        <v>111</v>
      </c>
      <c r="V31" s="43">
        <v>46506</v>
      </c>
      <c r="W31" s="52" t="str">
        <f t="shared" si="2"/>
        <v>Conforme</v>
      </c>
      <c r="X31" s="44" t="s">
        <v>158</v>
      </c>
      <c r="Z31" s="53">
        <f>IF($D31="","",IFERROR(MATCH($D31,Îlots!$D$8:$D$57,0),""))</f>
        <v>1</v>
      </c>
      <c r="AA31" s="53">
        <f>IF($G31="","",IFERROR(MATCH($G31,Fertilisants!$B$8:$B$47,0),""))</f>
        <v>10</v>
      </c>
      <c r="AB31" s="53">
        <f>IF($Z31="","",INDEX(Îlots!$E$8:$E$57,$Z31))</f>
        <v>14.8</v>
      </c>
      <c r="AC31" s="53" t="str">
        <f>IF($Z31="","",INDEX(Îlots!$G$8:$G$57,$Z31)&amp;"")</f>
        <v>Oui</v>
      </c>
      <c r="AD31" s="53" t="str">
        <f>IF($Z31="","",IF($F31=ApportCouvert,OccCouvert,INDEX(Îlots!$O$8:$O$57,$Z31)&amp;""))</f>
        <v>Culture de printemps</v>
      </c>
      <c r="AE31" s="53">
        <f t="shared" si="3"/>
        <v>3</v>
      </c>
      <c r="AF31" s="53">
        <f t="shared" si="4"/>
        <v>9</v>
      </c>
      <c r="AG31" s="53">
        <f t="shared" si="5"/>
        <v>428</v>
      </c>
      <c r="AH31" s="53">
        <f t="shared" si="6"/>
        <v>701</v>
      </c>
      <c r="AI31" s="53">
        <f t="shared" si="7"/>
        <v>215</v>
      </c>
      <c r="AJ31" s="53">
        <f t="shared" si="8"/>
        <v>0</v>
      </c>
      <c r="AK31" s="53">
        <f t="shared" si="9"/>
        <v>0</v>
      </c>
      <c r="AL31" s="53">
        <f t="shared" si="10"/>
        <v>0</v>
      </c>
      <c r="AM31" s="53">
        <f>IF($AA31="",0,IF(INDEX(Fertilisants!$C$8:$C$47,$AA31)="Effluent d'élevage",1,0))</f>
        <v>0</v>
      </c>
      <c r="AN31" s="53" t="str">
        <f>IF($AA31="","",IF(INDEX(Fertilisants!$C$8:$C$47,$AA31)="Engrais minéral","Minéral","Organique"))</f>
        <v>Minéral</v>
      </c>
      <c r="AO31" s="53">
        <f t="shared" si="11"/>
        <v>266.40000000000003</v>
      </c>
      <c r="AP31" s="53">
        <f t="shared" si="12"/>
        <v>680.80000000000007</v>
      </c>
      <c r="AQ31" s="53">
        <f t="shared" si="13"/>
        <v>0</v>
      </c>
      <c r="AR31" s="53" t="str">
        <f>IF(AND($D31&lt;&gt;"",$D31=FicheIlot),COUNTIF($D$8:$D31,FicheIlot),"")</f>
        <v/>
      </c>
    </row>
    <row r="32" spans="2:44" ht="18.95" customHeight="1" x14ac:dyDescent="0.25">
      <c r="B32" s="42">
        <f>IF(C32="","",COUNT($C$8:C32))</f>
        <v>25</v>
      </c>
      <c r="C32" s="43">
        <v>46505</v>
      </c>
      <c r="D32" s="44" t="s">
        <v>128</v>
      </c>
      <c r="E32" s="45" t="str">
        <f>IF($Z32="","",IF($F32=ApportCouvert,INDEX(Îlots!$I$8:$I$57,$Z32)&amp;"",INDEX(Îlots!$N$8:$N$57,$Z32)&amp;""))</f>
        <v>Maïs ensilage</v>
      </c>
      <c r="F32" s="44" t="s">
        <v>121</v>
      </c>
      <c r="G32" s="44" t="s">
        <v>115</v>
      </c>
      <c r="H32" s="46" t="str">
        <f>IF($AA32="","",INDEX(Fertilisants!$D$8:$D$47,$AA32)&amp;"")</f>
        <v>Type II</v>
      </c>
      <c r="I32" s="47">
        <v>16.2</v>
      </c>
      <c r="J32" s="48">
        <v>30</v>
      </c>
      <c r="K32" s="46" t="str">
        <f>IF($AA32="","",INDEX(Fertilisants!$E$8:$E$47,$AA32)&amp;"")</f>
        <v>m³</v>
      </c>
      <c r="L32" s="49">
        <f t="shared" si="0"/>
        <v>486</v>
      </c>
      <c r="M32" s="50">
        <f>IF(OR($J32="",$AA32=""),"",$J32*N(INDEX(Fertilisants!$G$8:$G$47,$AA32)))</f>
        <v>120</v>
      </c>
      <c r="N32" s="50">
        <f>IF(OR($J32="",$AA32=""),"",$J32*N(INDEX(Fertilisants!$I$8:$I$47,$AA32)))</f>
        <v>60</v>
      </c>
      <c r="O32" s="50">
        <f>IF(OR($J32="",$AA32=""),"",$J32*N(INDEX(Fertilisants!$J$8:$J$47,$AA32)))</f>
        <v>51</v>
      </c>
      <c r="P32" s="50">
        <f>IF(OR($J32="",$AA32=""),"",$J32*N(INDEX(Fertilisants!$K$8:$K$47,$AA32)))</f>
        <v>138</v>
      </c>
      <c r="Q32" s="50">
        <f t="shared" si="1"/>
        <v>1944</v>
      </c>
      <c r="R32" s="44" t="s">
        <v>109</v>
      </c>
      <c r="S32" s="44" t="s">
        <v>143</v>
      </c>
      <c r="T32" s="51">
        <v>0</v>
      </c>
      <c r="U32" s="44" t="s">
        <v>117</v>
      </c>
      <c r="V32" s="43">
        <v>46507</v>
      </c>
      <c r="W32" s="52" t="str">
        <f t="shared" si="2"/>
        <v>Conforme</v>
      </c>
      <c r="X32" s="44"/>
      <c r="Z32" s="53">
        <f>IF($D32="","",IFERROR(MATCH($D32,Îlots!$D$8:$D$57,0),""))</f>
        <v>4</v>
      </c>
      <c r="AA32" s="53">
        <f>IF($G32="","",IFERROR(MATCH($G32,Fertilisants!$B$8:$B$47,0),""))</f>
        <v>2</v>
      </c>
      <c r="AB32" s="53">
        <f>IF($Z32="","",INDEX(Îlots!$E$8:$E$57,$Z32))</f>
        <v>16.2</v>
      </c>
      <c r="AC32" s="53" t="str">
        <f>IF($Z32="","",INDEX(Îlots!$G$8:$G$57,$Z32)&amp;"")</f>
        <v>Oui</v>
      </c>
      <c r="AD32" s="53" t="str">
        <f>IF($Z32="","",IF($F32=ApportCouvert,OccCouvert,INDEX(Îlots!$O$8:$O$57,$Z32)&amp;""))</f>
        <v>Culture de printemps</v>
      </c>
      <c r="AE32" s="53">
        <f t="shared" si="3"/>
        <v>3</v>
      </c>
      <c r="AF32" s="53">
        <f t="shared" si="4"/>
        <v>7</v>
      </c>
      <c r="AG32" s="53">
        <f t="shared" si="5"/>
        <v>428</v>
      </c>
      <c r="AH32" s="53">
        <f t="shared" si="6"/>
        <v>701</v>
      </c>
      <c r="AI32" s="53">
        <f t="shared" si="7"/>
        <v>115</v>
      </c>
      <c r="AJ32" s="53">
        <f t="shared" si="8"/>
        <v>0</v>
      </c>
      <c r="AK32" s="53">
        <f t="shared" si="9"/>
        <v>0</v>
      </c>
      <c r="AL32" s="53">
        <f t="shared" si="10"/>
        <v>0</v>
      </c>
      <c r="AM32" s="53">
        <f>IF($AA32="",0,IF(INDEX(Fertilisants!$C$8:$C$47,$AA32)="Effluent d'élevage",1,0))</f>
        <v>1</v>
      </c>
      <c r="AN32" s="53" t="str">
        <f>IF($AA32="","",IF(INDEX(Fertilisants!$C$8:$C$47,$AA32)="Engrais minéral","Minéral","Organique"))</f>
        <v>Organique</v>
      </c>
      <c r="AO32" s="53">
        <f t="shared" si="11"/>
        <v>972</v>
      </c>
      <c r="AP32" s="53">
        <f t="shared" si="12"/>
        <v>826.19999999999993</v>
      </c>
      <c r="AQ32" s="53">
        <f t="shared" si="13"/>
        <v>2235.6</v>
      </c>
      <c r="AR32" s="53">
        <f>IF(AND($D32&lt;&gt;"",$D32=FicheIlot),COUNTIF($D$8:$D32,FicheIlot),"")</f>
        <v>2</v>
      </c>
    </row>
    <row r="33" spans="2:44" ht="18.95" customHeight="1" x14ac:dyDescent="0.25">
      <c r="B33" s="42">
        <f>IF(C33="","",COUNT($C$8:C33))</f>
        <v>26</v>
      </c>
      <c r="C33" s="43">
        <v>46512</v>
      </c>
      <c r="D33" s="44" t="s">
        <v>128</v>
      </c>
      <c r="E33" s="45" t="str">
        <f>IF($Z33="","",IF($F33=ApportCouvert,INDEX(Îlots!$I$8:$I$57,$Z33)&amp;"",INDEX(Îlots!$N$8:$N$57,$Z33)&amp;""))</f>
        <v>Maïs ensilage</v>
      </c>
      <c r="F33" s="44" t="s">
        <v>121</v>
      </c>
      <c r="G33" s="44" t="s">
        <v>156</v>
      </c>
      <c r="H33" s="46" t="str">
        <f>IF($AA33="","",INDEX(Fertilisants!$D$8:$D$47,$AA33)&amp;"")</f>
        <v>Type III</v>
      </c>
      <c r="I33" s="47">
        <v>16.2</v>
      </c>
      <c r="J33" s="48">
        <v>90</v>
      </c>
      <c r="K33" s="46" t="str">
        <f>IF($AA33="","",INDEX(Fertilisants!$E$8:$E$47,$AA33)&amp;"")</f>
        <v>kg</v>
      </c>
      <c r="L33" s="49">
        <f t="shared" si="0"/>
        <v>1458</v>
      </c>
      <c r="M33" s="50">
        <f>IF(OR($J33="",$AA33=""),"",$J33*N(INDEX(Fertilisants!$G$8:$G$47,$AA33)))</f>
        <v>16.2</v>
      </c>
      <c r="N33" s="50">
        <f>IF(OR($J33="",$AA33=""),"",$J33*N(INDEX(Fertilisants!$I$8:$I$47,$AA33)))</f>
        <v>16.2</v>
      </c>
      <c r="O33" s="50">
        <f>IF(OR($J33="",$AA33=""),"",$J33*N(INDEX(Fertilisants!$J$8:$J$47,$AA33)))</f>
        <v>41.4</v>
      </c>
      <c r="P33" s="50">
        <f>IF(OR($J33="",$AA33=""),"",$J33*N(INDEX(Fertilisants!$K$8:$K$47,$AA33)))</f>
        <v>0</v>
      </c>
      <c r="Q33" s="50">
        <f t="shared" si="1"/>
        <v>262.44</v>
      </c>
      <c r="R33" s="44" t="s">
        <v>109</v>
      </c>
      <c r="S33" s="44" t="s">
        <v>157</v>
      </c>
      <c r="T33" s="51"/>
      <c r="U33" s="44" t="s">
        <v>111</v>
      </c>
      <c r="V33" s="43">
        <v>46513</v>
      </c>
      <c r="W33" s="52" t="str">
        <f t="shared" si="2"/>
        <v>Conforme</v>
      </c>
      <c r="X33" s="44" t="s">
        <v>158</v>
      </c>
      <c r="Z33" s="53">
        <f>IF($D33="","",IFERROR(MATCH($D33,Îlots!$D$8:$D$57,0),""))</f>
        <v>4</v>
      </c>
      <c r="AA33" s="53">
        <f>IF($G33="","",IFERROR(MATCH($G33,Fertilisants!$B$8:$B$47,0),""))</f>
        <v>10</v>
      </c>
      <c r="AB33" s="53">
        <f>IF($Z33="","",INDEX(Îlots!$E$8:$E$57,$Z33))</f>
        <v>16.2</v>
      </c>
      <c r="AC33" s="53" t="str">
        <f>IF($Z33="","",INDEX(Îlots!$G$8:$G$57,$Z33)&amp;"")</f>
        <v>Oui</v>
      </c>
      <c r="AD33" s="53" t="str">
        <f>IF($Z33="","",IF($F33=ApportCouvert,OccCouvert,INDEX(Îlots!$O$8:$O$57,$Z33)&amp;""))</f>
        <v>Culture de printemps</v>
      </c>
      <c r="AE33" s="53">
        <f t="shared" si="3"/>
        <v>3</v>
      </c>
      <c r="AF33" s="53">
        <f t="shared" si="4"/>
        <v>9</v>
      </c>
      <c r="AG33" s="53">
        <f t="shared" si="5"/>
        <v>505</v>
      </c>
      <c r="AH33" s="53">
        <f t="shared" si="6"/>
        <v>701</v>
      </c>
      <c r="AI33" s="53">
        <f t="shared" si="7"/>
        <v>215</v>
      </c>
      <c r="AJ33" s="53">
        <f t="shared" si="8"/>
        <v>0</v>
      </c>
      <c r="AK33" s="53">
        <f t="shared" si="9"/>
        <v>0</v>
      </c>
      <c r="AL33" s="53">
        <f t="shared" si="10"/>
        <v>0</v>
      </c>
      <c r="AM33" s="53">
        <f>IF($AA33="",0,IF(INDEX(Fertilisants!$C$8:$C$47,$AA33)="Effluent d'élevage",1,0))</f>
        <v>0</v>
      </c>
      <c r="AN33" s="53" t="str">
        <f>IF($AA33="","",IF(INDEX(Fertilisants!$C$8:$C$47,$AA33)="Engrais minéral","Minéral","Organique"))</f>
        <v>Minéral</v>
      </c>
      <c r="AO33" s="53">
        <f t="shared" si="11"/>
        <v>262.44</v>
      </c>
      <c r="AP33" s="53">
        <f t="shared" si="12"/>
        <v>670.68</v>
      </c>
      <c r="AQ33" s="53">
        <f t="shared" si="13"/>
        <v>0</v>
      </c>
      <c r="AR33" s="53">
        <f>IF(AND($D33&lt;&gt;"",$D33=FicheIlot),COUNTIF($D$8:$D33,FicheIlot),"")</f>
        <v>3</v>
      </c>
    </row>
    <row r="34" spans="2:44" ht="18.95" customHeight="1" x14ac:dyDescent="0.25">
      <c r="B34" s="42">
        <f>IF(C34="","",COUNT($C$8:C34))</f>
        <v>27</v>
      </c>
      <c r="C34" s="43">
        <v>46535</v>
      </c>
      <c r="D34" s="44" t="s">
        <v>124</v>
      </c>
      <c r="E34" s="45" t="str">
        <f>IF($Z34="","",IF($F34=ApportCouvert,INDEX(Îlots!$I$8:$I$57,$Z34)&amp;"",INDEX(Îlots!$N$8:$N$57,$Z34)&amp;""))</f>
        <v>Prairie temporaire</v>
      </c>
      <c r="F34" s="44" t="s">
        <v>114</v>
      </c>
      <c r="G34" s="44" t="s">
        <v>135</v>
      </c>
      <c r="H34" s="46" t="str">
        <f>IF($AA34="","",INDEX(Fertilisants!$D$8:$D$47,$AA34)&amp;"")</f>
        <v>Type III</v>
      </c>
      <c r="I34" s="47">
        <v>7.45</v>
      </c>
      <c r="J34" s="48">
        <v>150</v>
      </c>
      <c r="K34" s="46" t="str">
        <f>IF($AA34="","",INDEX(Fertilisants!$E$8:$E$47,$AA34)&amp;"")</f>
        <v>kg</v>
      </c>
      <c r="L34" s="49">
        <f t="shared" si="0"/>
        <v>1117.5</v>
      </c>
      <c r="M34" s="50">
        <f>IF(OR($J34="",$AA34=""),"",$J34*N(INDEX(Fertilisants!$G$8:$G$47,$AA34)))</f>
        <v>50.25</v>
      </c>
      <c r="N34" s="50">
        <f>IF(OR($J34="",$AA34=""),"",$J34*N(INDEX(Fertilisants!$I$8:$I$47,$AA34)))</f>
        <v>50.25</v>
      </c>
      <c r="O34" s="50">
        <f>IF(OR($J34="",$AA34=""),"",$J34*N(INDEX(Fertilisants!$J$8:$J$47,$AA34)))</f>
        <v>0</v>
      </c>
      <c r="P34" s="50">
        <f>IF(OR($J34="",$AA34=""),"",$J34*N(INDEX(Fertilisants!$K$8:$K$47,$AA34)))</f>
        <v>0</v>
      </c>
      <c r="Q34" s="50">
        <f t="shared" si="1"/>
        <v>374.36250000000001</v>
      </c>
      <c r="R34" s="44" t="s">
        <v>109</v>
      </c>
      <c r="S34" s="44" t="s">
        <v>133</v>
      </c>
      <c r="T34" s="51"/>
      <c r="U34" s="44" t="s">
        <v>111</v>
      </c>
      <c r="V34" s="43">
        <v>46536</v>
      </c>
      <c r="W34" s="52" t="str">
        <f t="shared" si="2"/>
        <v>Conforme</v>
      </c>
      <c r="X34" s="44" t="s">
        <v>159</v>
      </c>
      <c r="Z34" s="53">
        <f>IF($D34="","",IFERROR(MATCH($D34,Îlots!$D$8:$D$57,0),""))</f>
        <v>7</v>
      </c>
      <c r="AA34" s="53">
        <f>IF($G34="","",IFERROR(MATCH($G34,Fertilisants!$B$8:$B$47,0),""))</f>
        <v>6</v>
      </c>
      <c r="AB34" s="53">
        <f>IF($Z34="","",INDEX(Îlots!$E$8:$E$57,$Z34))</f>
        <v>7.45</v>
      </c>
      <c r="AC34" s="53" t="str">
        <f>IF($Z34="","",INDEX(Îlots!$G$8:$G$57,$Z34)&amp;"")</f>
        <v>Non</v>
      </c>
      <c r="AD34" s="53" t="str">
        <f>IF($Z34="","",IF($F34=ApportCouvert,OccCouvert,INDEX(Îlots!$O$8:$O$57,$Z34)&amp;""))</f>
        <v>Prairie &gt; 6 mois et luzerne</v>
      </c>
      <c r="AE34" s="53" t="str">
        <f t="shared" si="3"/>
        <v/>
      </c>
      <c r="AF34" s="53">
        <f t="shared" si="4"/>
        <v>9</v>
      </c>
      <c r="AG34" s="53">
        <f t="shared" si="5"/>
        <v>528</v>
      </c>
      <c r="AH34" s="53">
        <f t="shared" si="6"/>
        <v>0</v>
      </c>
      <c r="AI34" s="53">
        <f t="shared" si="7"/>
        <v>0</v>
      </c>
      <c r="AJ34" s="53">
        <f t="shared" si="8"/>
        <v>0</v>
      </c>
      <c r="AK34" s="53">
        <f t="shared" si="9"/>
        <v>0</v>
      </c>
      <c r="AL34" s="53">
        <f t="shared" si="10"/>
        <v>0</v>
      </c>
      <c r="AM34" s="53">
        <f>IF($AA34="",0,IF(INDEX(Fertilisants!$C$8:$C$47,$AA34)="Effluent d'élevage",1,0))</f>
        <v>0</v>
      </c>
      <c r="AN34" s="53" t="str">
        <f>IF($AA34="","",IF(INDEX(Fertilisants!$C$8:$C$47,$AA34)="Engrais minéral","Minéral","Organique"))</f>
        <v>Minéral</v>
      </c>
      <c r="AO34" s="53">
        <f t="shared" si="11"/>
        <v>374.36250000000001</v>
      </c>
      <c r="AP34" s="53">
        <f t="shared" si="12"/>
        <v>0</v>
      </c>
      <c r="AQ34" s="53">
        <f t="shared" si="13"/>
        <v>0</v>
      </c>
      <c r="AR34" s="53" t="str">
        <f>IF(AND($D34&lt;&gt;"",$D34=FicheIlot),COUNTIF($D$8:$D34,FicheIlot),"")</f>
        <v/>
      </c>
    </row>
    <row r="35" spans="2:44" ht="18.95" customHeight="1" x14ac:dyDescent="0.25">
      <c r="B35" s="42">
        <f>IF(C35="","",COUNT($C$8:C35))</f>
        <v>28</v>
      </c>
      <c r="C35" s="43">
        <v>46540</v>
      </c>
      <c r="D35" s="44" t="s">
        <v>118</v>
      </c>
      <c r="E35" s="45" t="str">
        <f>IF($Z35="","",IF($F35=ApportCouvert,INDEX(Îlots!$I$8:$I$57,$Z35)&amp;"",INDEX(Îlots!$N$8:$N$57,$Z35)&amp;""))</f>
        <v>Maïs ensilage</v>
      </c>
      <c r="F35" s="44" t="s">
        <v>114</v>
      </c>
      <c r="G35" s="44" t="s">
        <v>153</v>
      </c>
      <c r="H35" s="46" t="str">
        <f>IF($AA35="","",INDEX(Fertilisants!$D$8:$D$47,$AA35)&amp;"")</f>
        <v>Type III</v>
      </c>
      <c r="I35" s="47">
        <v>14.8</v>
      </c>
      <c r="J35" s="48">
        <v>85</v>
      </c>
      <c r="K35" s="46" t="str">
        <f>IF($AA35="","",INDEX(Fertilisants!$E$8:$E$47,$AA35)&amp;"")</f>
        <v>kg</v>
      </c>
      <c r="L35" s="49">
        <f t="shared" si="0"/>
        <v>1258</v>
      </c>
      <c r="M35" s="50">
        <f>IF(OR($J35="",$AA35=""),"",$J35*N(INDEX(Fertilisants!$G$8:$G$47,$AA35)))</f>
        <v>39.1</v>
      </c>
      <c r="N35" s="50">
        <f>IF(OR($J35="",$AA35=""),"",$J35*N(INDEX(Fertilisants!$I$8:$I$47,$AA35)))</f>
        <v>39.1</v>
      </c>
      <c r="O35" s="50">
        <f>IF(OR($J35="",$AA35=""),"",$J35*N(INDEX(Fertilisants!$J$8:$J$47,$AA35)))</f>
        <v>0</v>
      </c>
      <c r="P35" s="50">
        <f>IF(OR($J35="",$AA35=""),"",$J35*N(INDEX(Fertilisants!$K$8:$K$47,$AA35)))</f>
        <v>0</v>
      </c>
      <c r="Q35" s="50">
        <f t="shared" si="1"/>
        <v>578.68000000000006</v>
      </c>
      <c r="R35" s="44" t="s">
        <v>109</v>
      </c>
      <c r="S35" s="44" t="s">
        <v>133</v>
      </c>
      <c r="T35" s="51"/>
      <c r="U35" s="44" t="s">
        <v>111</v>
      </c>
      <c r="V35" s="43">
        <v>46541</v>
      </c>
      <c r="W35" s="52" t="str">
        <f t="shared" si="2"/>
        <v>Conforme</v>
      </c>
      <c r="X35" s="44" t="s">
        <v>160</v>
      </c>
      <c r="Z35" s="53">
        <f>IF($D35="","",IFERROR(MATCH($D35,Îlots!$D$8:$D$57,0),""))</f>
        <v>1</v>
      </c>
      <c r="AA35" s="53">
        <f>IF($G35="","",IFERROR(MATCH($G35,Fertilisants!$B$8:$B$47,0),""))</f>
        <v>8</v>
      </c>
      <c r="AB35" s="53">
        <f>IF($Z35="","",INDEX(Îlots!$E$8:$E$57,$Z35))</f>
        <v>14.8</v>
      </c>
      <c r="AC35" s="53" t="str">
        <f>IF($Z35="","",INDEX(Îlots!$G$8:$G$57,$Z35)&amp;"")</f>
        <v>Oui</v>
      </c>
      <c r="AD35" s="53" t="str">
        <f>IF($Z35="","",IF($F35=ApportCouvert,OccCouvert,INDEX(Îlots!$O$8:$O$57,$Z35)&amp;""))</f>
        <v>Culture de printemps</v>
      </c>
      <c r="AE35" s="53">
        <f t="shared" si="3"/>
        <v>3</v>
      </c>
      <c r="AF35" s="53">
        <f t="shared" si="4"/>
        <v>9</v>
      </c>
      <c r="AG35" s="53">
        <f t="shared" si="5"/>
        <v>602</v>
      </c>
      <c r="AH35" s="53">
        <f t="shared" si="6"/>
        <v>701</v>
      </c>
      <c r="AI35" s="53">
        <f t="shared" si="7"/>
        <v>215</v>
      </c>
      <c r="AJ35" s="53">
        <f t="shared" si="8"/>
        <v>0</v>
      </c>
      <c r="AK35" s="53">
        <f t="shared" si="9"/>
        <v>0</v>
      </c>
      <c r="AL35" s="53">
        <f t="shared" si="10"/>
        <v>0</v>
      </c>
      <c r="AM35" s="53">
        <f>IF($AA35="",0,IF(INDEX(Fertilisants!$C$8:$C$47,$AA35)="Effluent d'élevage",1,0))</f>
        <v>0</v>
      </c>
      <c r="AN35" s="53" t="str">
        <f>IF($AA35="","",IF(INDEX(Fertilisants!$C$8:$C$47,$AA35)="Engrais minéral","Minéral","Organique"))</f>
        <v>Minéral</v>
      </c>
      <c r="AO35" s="53">
        <f t="shared" si="11"/>
        <v>578.68000000000006</v>
      </c>
      <c r="AP35" s="53">
        <f t="shared" si="12"/>
        <v>0</v>
      </c>
      <c r="AQ35" s="53">
        <f t="shared" si="13"/>
        <v>0</v>
      </c>
      <c r="AR35" s="53" t="str">
        <f>IF(AND($D35&lt;&gt;"",$D35=FicheIlot),COUNTIF($D$8:$D35,FicheIlot),"")</f>
        <v/>
      </c>
    </row>
    <row r="36" spans="2:44" ht="18.95" customHeight="1" x14ac:dyDescent="0.25">
      <c r="B36" s="42">
        <f>IF(C36="","",COUNT($C$8:C36))</f>
        <v>29</v>
      </c>
      <c r="C36" s="43">
        <v>46552</v>
      </c>
      <c r="D36" s="44" t="s">
        <v>119</v>
      </c>
      <c r="E36" s="45" t="str">
        <f>IF($Z36="","",IF($F36=ApportCouvert,INDEX(Îlots!$I$8:$I$57,$Z36)&amp;"",INDEX(Îlots!$N$8:$N$57,$Z36)&amp;""))</f>
        <v>Prairie permanente</v>
      </c>
      <c r="F36" s="44" t="s">
        <v>114</v>
      </c>
      <c r="G36" s="44" t="s">
        <v>115</v>
      </c>
      <c r="H36" s="46" t="str">
        <f>IF($AA36="","",INDEX(Fertilisants!$D$8:$D$47,$AA36)&amp;"")</f>
        <v>Type II</v>
      </c>
      <c r="I36" s="47">
        <v>8.9</v>
      </c>
      <c r="J36" s="48">
        <v>20</v>
      </c>
      <c r="K36" s="46" t="str">
        <f>IF($AA36="","",INDEX(Fertilisants!$E$8:$E$47,$AA36)&amp;"")</f>
        <v>m³</v>
      </c>
      <c r="L36" s="49">
        <f t="shared" si="0"/>
        <v>178</v>
      </c>
      <c r="M36" s="50">
        <f>IF(OR($J36="",$AA36=""),"",$J36*N(INDEX(Fertilisants!$G$8:$G$47,$AA36)))</f>
        <v>80</v>
      </c>
      <c r="N36" s="50">
        <f>IF(OR($J36="",$AA36=""),"",$J36*N(INDEX(Fertilisants!$I$8:$I$47,$AA36)))</f>
        <v>40</v>
      </c>
      <c r="O36" s="50">
        <f>IF(OR($J36="",$AA36=""),"",$J36*N(INDEX(Fertilisants!$J$8:$J$47,$AA36)))</f>
        <v>34</v>
      </c>
      <c r="P36" s="50">
        <f>IF(OR($J36="",$AA36=""),"",$J36*N(INDEX(Fertilisants!$K$8:$K$47,$AA36)))</f>
        <v>92</v>
      </c>
      <c r="Q36" s="50">
        <f t="shared" si="1"/>
        <v>712</v>
      </c>
      <c r="R36" s="44" t="s">
        <v>109</v>
      </c>
      <c r="S36" s="44" t="s">
        <v>116</v>
      </c>
      <c r="T36" s="51"/>
      <c r="U36" s="44" t="s">
        <v>111</v>
      </c>
      <c r="V36" s="43">
        <v>46553</v>
      </c>
      <c r="W36" s="52" t="str">
        <f t="shared" si="2"/>
        <v>Conforme</v>
      </c>
      <c r="X36" s="44" t="s">
        <v>161</v>
      </c>
      <c r="Z36" s="53">
        <f>IF($D36="","",IFERROR(MATCH($D36,Îlots!$D$8:$D$57,0),""))</f>
        <v>6</v>
      </c>
      <c r="AA36" s="53">
        <f>IF($G36="","",IFERROR(MATCH($G36,Fertilisants!$B$8:$B$47,0),""))</f>
        <v>2</v>
      </c>
      <c r="AB36" s="53">
        <f>IF($Z36="","",INDEX(Îlots!$E$8:$E$57,$Z36))</f>
        <v>8.9</v>
      </c>
      <c r="AC36" s="53" t="str">
        <f>IF($Z36="","",INDEX(Îlots!$G$8:$G$57,$Z36)&amp;"")</f>
        <v>Oui</v>
      </c>
      <c r="AD36" s="53" t="str">
        <f>IF($Z36="","",IF($F36=ApportCouvert,OccCouvert,INDEX(Îlots!$O$8:$O$57,$Z36)&amp;""))</f>
        <v>Prairie &gt; 6 mois et luzerne</v>
      </c>
      <c r="AE36" s="53">
        <f t="shared" si="3"/>
        <v>4</v>
      </c>
      <c r="AF36" s="53">
        <f t="shared" si="4"/>
        <v>7</v>
      </c>
      <c r="AG36" s="53">
        <f t="shared" si="5"/>
        <v>614</v>
      </c>
      <c r="AH36" s="53">
        <f t="shared" si="6"/>
        <v>1115</v>
      </c>
      <c r="AI36" s="53">
        <f t="shared" si="7"/>
        <v>115</v>
      </c>
      <c r="AJ36" s="53">
        <f t="shared" si="8"/>
        <v>0</v>
      </c>
      <c r="AK36" s="53">
        <f t="shared" si="9"/>
        <v>0</v>
      </c>
      <c r="AL36" s="53">
        <f t="shared" si="10"/>
        <v>0</v>
      </c>
      <c r="AM36" s="53">
        <f>IF($AA36="",0,IF(INDEX(Fertilisants!$C$8:$C$47,$AA36)="Effluent d'élevage",1,0))</f>
        <v>1</v>
      </c>
      <c r="AN36" s="53" t="str">
        <f>IF($AA36="","",IF(INDEX(Fertilisants!$C$8:$C$47,$AA36)="Engrais minéral","Minéral","Organique"))</f>
        <v>Organique</v>
      </c>
      <c r="AO36" s="53">
        <f t="shared" si="11"/>
        <v>356</v>
      </c>
      <c r="AP36" s="53">
        <f t="shared" si="12"/>
        <v>302.60000000000002</v>
      </c>
      <c r="AQ36" s="53">
        <f t="shared" si="13"/>
        <v>818.80000000000007</v>
      </c>
      <c r="AR36" s="53" t="str">
        <f>IF(AND($D36&lt;&gt;"",$D36=FicheIlot),COUNTIF($D$8:$D36,FicheIlot),"")</f>
        <v/>
      </c>
    </row>
    <row r="37" spans="2:44" ht="18.95" customHeight="1" x14ac:dyDescent="0.25">
      <c r="B37" s="42" t="str">
        <f>IF(C37="","",COUNT($C$8:C37))</f>
        <v/>
      </c>
      <c r="C37" s="43"/>
      <c r="D37" s="44"/>
      <c r="E37" s="45" t="str">
        <f>IF($Z37="","",IF($F37=ApportCouvert,INDEX(Îlots!$I$8:$I$57,$Z37)&amp;"",INDEX(Îlots!$N$8:$N$57,$Z37)&amp;""))</f>
        <v/>
      </c>
      <c r="F37" s="44"/>
      <c r="G37" s="44"/>
      <c r="H37" s="46" t="str">
        <f>IF($AA37="","",INDEX(Fertilisants!$D$8:$D$47,$AA37)&amp;"")</f>
        <v/>
      </c>
      <c r="I37" s="47"/>
      <c r="J37" s="48"/>
      <c r="K37" s="46" t="str">
        <f>IF($AA37="","",INDEX(Fertilisants!$E$8:$E$47,$AA37)&amp;"")</f>
        <v/>
      </c>
      <c r="L37" s="49" t="str">
        <f t="shared" si="0"/>
        <v/>
      </c>
      <c r="M37" s="50" t="str">
        <f>IF(OR($J37="",$AA37=""),"",$J37*N(INDEX(Fertilisants!$G$8:$G$47,$AA37)))</f>
        <v/>
      </c>
      <c r="N37" s="50" t="str">
        <f>IF(OR($J37="",$AA37=""),"",$J37*N(INDEX(Fertilisants!$I$8:$I$47,$AA37)))</f>
        <v/>
      </c>
      <c r="O37" s="50" t="str">
        <f>IF(OR($J37="",$AA37=""),"",$J37*N(INDEX(Fertilisants!$J$8:$J$47,$AA37)))</f>
        <v/>
      </c>
      <c r="P37" s="50" t="str">
        <f>IF(OR($J37="",$AA37=""),"",$J37*N(INDEX(Fertilisants!$K$8:$K$47,$AA37)))</f>
        <v/>
      </c>
      <c r="Q37" s="50" t="str">
        <f t="shared" si="1"/>
        <v/>
      </c>
      <c r="R37" s="44"/>
      <c r="S37" s="44"/>
      <c r="T37" s="51"/>
      <c r="U37" s="44"/>
      <c r="V37" s="43"/>
      <c r="W37" s="52" t="str">
        <f t="shared" si="2"/>
        <v/>
      </c>
      <c r="X37" s="44"/>
      <c r="Z37" s="53" t="str">
        <f>IF($D37="","",IFERROR(MATCH($D37,Îlots!$D$8:$D$57,0),""))</f>
        <v/>
      </c>
      <c r="AA37" s="53" t="str">
        <f>IF($G37="","",IFERROR(MATCH($G37,Fertilisants!$B$8:$B$47,0),""))</f>
        <v/>
      </c>
      <c r="AB37" s="53" t="str">
        <f>IF($Z37="","",INDEX(Îlots!$E$8:$E$57,$Z37))</f>
        <v/>
      </c>
      <c r="AC37" s="53" t="str">
        <f>IF($Z37="","",INDEX(Îlots!$G$8:$G$57,$Z37)&amp;"")</f>
        <v/>
      </c>
      <c r="AD37" s="53" t="str">
        <f>IF($Z37="","",IF($F37=ApportCouvert,OccCouvert,INDEX(Îlots!$O$8:$O$57,$Z37)&amp;""))</f>
        <v/>
      </c>
      <c r="AE37" s="53" t="str">
        <f t="shared" si="3"/>
        <v/>
      </c>
      <c r="AF37" s="53" t="str">
        <f t="shared" si="4"/>
        <v/>
      </c>
      <c r="AG37" s="53" t="str">
        <f t="shared" si="5"/>
        <v/>
      </c>
      <c r="AH37" s="53">
        <f t="shared" si="6"/>
        <v>0</v>
      </c>
      <c r="AI37" s="53">
        <f t="shared" si="7"/>
        <v>0</v>
      </c>
      <c r="AJ37" s="53">
        <f t="shared" si="8"/>
        <v>0</v>
      </c>
      <c r="AK37" s="53">
        <f t="shared" si="9"/>
        <v>0</v>
      </c>
      <c r="AL37" s="53">
        <f t="shared" si="10"/>
        <v>0</v>
      </c>
      <c r="AM37" s="53">
        <f>IF($AA37="",0,IF(INDEX(Fertilisants!$C$8:$C$47,$AA37)="Effluent d'élevage",1,0))</f>
        <v>0</v>
      </c>
      <c r="AN37" s="53" t="str">
        <f>IF($AA37="","",IF(INDEX(Fertilisants!$C$8:$C$47,$AA37)="Engrais minéral","Minéral","Organique"))</f>
        <v/>
      </c>
      <c r="AO37" s="53" t="str">
        <f t="shared" si="11"/>
        <v/>
      </c>
      <c r="AP37" s="53" t="str">
        <f t="shared" si="12"/>
        <v/>
      </c>
      <c r="AQ37" s="53" t="str">
        <f t="shared" si="13"/>
        <v/>
      </c>
      <c r="AR37" s="53" t="str">
        <f>IF(AND($D37&lt;&gt;"",$D37=FicheIlot),COUNTIF($D$8:$D37,FicheIlot),"")</f>
        <v/>
      </c>
    </row>
    <row r="38" spans="2:44" ht="18.95" customHeight="1" x14ac:dyDescent="0.25">
      <c r="B38" s="42" t="str">
        <f>IF(C38="","",COUNT($C$8:C38))</f>
        <v/>
      </c>
      <c r="C38" s="43"/>
      <c r="D38" s="44"/>
      <c r="E38" s="45" t="str">
        <f>IF($Z38="","",IF($F38=ApportCouvert,INDEX(Îlots!$I$8:$I$57,$Z38)&amp;"",INDEX(Îlots!$N$8:$N$57,$Z38)&amp;""))</f>
        <v/>
      </c>
      <c r="F38" s="44"/>
      <c r="G38" s="44"/>
      <c r="H38" s="46" t="str">
        <f>IF($AA38="","",INDEX(Fertilisants!$D$8:$D$47,$AA38)&amp;"")</f>
        <v/>
      </c>
      <c r="I38" s="47"/>
      <c r="J38" s="48"/>
      <c r="K38" s="46" t="str">
        <f>IF($AA38="","",INDEX(Fertilisants!$E$8:$E$47,$AA38)&amp;"")</f>
        <v/>
      </c>
      <c r="L38" s="49" t="str">
        <f t="shared" si="0"/>
        <v/>
      </c>
      <c r="M38" s="50" t="str">
        <f>IF(OR($J38="",$AA38=""),"",$J38*N(INDEX(Fertilisants!$G$8:$G$47,$AA38)))</f>
        <v/>
      </c>
      <c r="N38" s="50" t="str">
        <f>IF(OR($J38="",$AA38=""),"",$J38*N(INDEX(Fertilisants!$I$8:$I$47,$AA38)))</f>
        <v/>
      </c>
      <c r="O38" s="50" t="str">
        <f>IF(OR($J38="",$AA38=""),"",$J38*N(INDEX(Fertilisants!$J$8:$J$47,$AA38)))</f>
        <v/>
      </c>
      <c r="P38" s="50" t="str">
        <f>IF(OR($J38="",$AA38=""),"",$J38*N(INDEX(Fertilisants!$K$8:$K$47,$AA38)))</f>
        <v/>
      </c>
      <c r="Q38" s="50" t="str">
        <f t="shared" si="1"/>
        <v/>
      </c>
      <c r="R38" s="44"/>
      <c r="S38" s="44"/>
      <c r="T38" s="51"/>
      <c r="U38" s="44"/>
      <c r="V38" s="43"/>
      <c r="W38" s="52" t="str">
        <f t="shared" si="2"/>
        <v/>
      </c>
      <c r="X38" s="44"/>
      <c r="Z38" s="53" t="str">
        <f>IF($D38="","",IFERROR(MATCH($D38,Îlots!$D$8:$D$57,0),""))</f>
        <v/>
      </c>
      <c r="AA38" s="53" t="str">
        <f>IF($G38="","",IFERROR(MATCH($G38,Fertilisants!$B$8:$B$47,0),""))</f>
        <v/>
      </c>
      <c r="AB38" s="53" t="str">
        <f>IF($Z38="","",INDEX(Îlots!$E$8:$E$57,$Z38))</f>
        <v/>
      </c>
      <c r="AC38" s="53" t="str">
        <f>IF($Z38="","",INDEX(Îlots!$G$8:$G$57,$Z38)&amp;"")</f>
        <v/>
      </c>
      <c r="AD38" s="53" t="str">
        <f>IF($Z38="","",IF($F38=ApportCouvert,OccCouvert,INDEX(Îlots!$O$8:$O$57,$Z38)&amp;""))</f>
        <v/>
      </c>
      <c r="AE38" s="53" t="str">
        <f t="shared" si="3"/>
        <v/>
      </c>
      <c r="AF38" s="53" t="str">
        <f t="shared" si="4"/>
        <v/>
      </c>
      <c r="AG38" s="53" t="str">
        <f t="shared" si="5"/>
        <v/>
      </c>
      <c r="AH38" s="53">
        <f t="shared" si="6"/>
        <v>0</v>
      </c>
      <c r="AI38" s="53">
        <f t="shared" si="7"/>
        <v>0</v>
      </c>
      <c r="AJ38" s="53">
        <f t="shared" si="8"/>
        <v>0</v>
      </c>
      <c r="AK38" s="53">
        <f t="shared" si="9"/>
        <v>0</v>
      </c>
      <c r="AL38" s="53">
        <f t="shared" si="10"/>
        <v>0</v>
      </c>
      <c r="AM38" s="53">
        <f>IF($AA38="",0,IF(INDEX(Fertilisants!$C$8:$C$47,$AA38)="Effluent d'élevage",1,0))</f>
        <v>0</v>
      </c>
      <c r="AN38" s="53" t="str">
        <f>IF($AA38="","",IF(INDEX(Fertilisants!$C$8:$C$47,$AA38)="Engrais minéral","Minéral","Organique"))</f>
        <v/>
      </c>
      <c r="AO38" s="53" t="str">
        <f t="shared" si="11"/>
        <v/>
      </c>
      <c r="AP38" s="53" t="str">
        <f t="shared" si="12"/>
        <v/>
      </c>
      <c r="AQ38" s="53" t="str">
        <f t="shared" si="13"/>
        <v/>
      </c>
      <c r="AR38" s="53" t="str">
        <f>IF(AND($D38&lt;&gt;"",$D38=FicheIlot),COUNTIF($D$8:$D38,FicheIlot),"")</f>
        <v/>
      </c>
    </row>
    <row r="39" spans="2:44" ht="18.95" customHeight="1" x14ac:dyDescent="0.25">
      <c r="B39" s="42" t="str">
        <f>IF(C39="","",COUNT($C$8:C39))</f>
        <v/>
      </c>
      <c r="C39" s="43"/>
      <c r="D39" s="44"/>
      <c r="E39" s="45" t="str">
        <f>IF($Z39="","",IF($F39=ApportCouvert,INDEX(Îlots!$I$8:$I$57,$Z39)&amp;"",INDEX(Îlots!$N$8:$N$57,$Z39)&amp;""))</f>
        <v/>
      </c>
      <c r="F39" s="44"/>
      <c r="G39" s="44"/>
      <c r="H39" s="46" t="str">
        <f>IF($AA39="","",INDEX(Fertilisants!$D$8:$D$47,$AA39)&amp;"")</f>
        <v/>
      </c>
      <c r="I39" s="47"/>
      <c r="J39" s="48"/>
      <c r="K39" s="46" t="str">
        <f>IF($AA39="","",INDEX(Fertilisants!$E$8:$E$47,$AA39)&amp;"")</f>
        <v/>
      </c>
      <c r="L39" s="49" t="str">
        <f t="shared" si="0"/>
        <v/>
      </c>
      <c r="M39" s="50" t="str">
        <f>IF(OR($J39="",$AA39=""),"",$J39*N(INDEX(Fertilisants!$G$8:$G$47,$AA39)))</f>
        <v/>
      </c>
      <c r="N39" s="50" t="str">
        <f>IF(OR($J39="",$AA39=""),"",$J39*N(INDEX(Fertilisants!$I$8:$I$47,$AA39)))</f>
        <v/>
      </c>
      <c r="O39" s="50" t="str">
        <f>IF(OR($J39="",$AA39=""),"",$J39*N(INDEX(Fertilisants!$J$8:$J$47,$AA39)))</f>
        <v/>
      </c>
      <c r="P39" s="50" t="str">
        <f>IF(OR($J39="",$AA39=""),"",$J39*N(INDEX(Fertilisants!$K$8:$K$47,$AA39)))</f>
        <v/>
      </c>
      <c r="Q39" s="50" t="str">
        <f t="shared" si="1"/>
        <v/>
      </c>
      <c r="R39" s="44"/>
      <c r="S39" s="44"/>
      <c r="T39" s="51"/>
      <c r="U39" s="44"/>
      <c r="V39" s="43"/>
      <c r="W39" s="52" t="str">
        <f t="shared" si="2"/>
        <v/>
      </c>
      <c r="X39" s="44"/>
      <c r="Z39" s="53" t="str">
        <f>IF($D39="","",IFERROR(MATCH($D39,Îlots!$D$8:$D$57,0),""))</f>
        <v/>
      </c>
      <c r="AA39" s="53" t="str">
        <f>IF($G39="","",IFERROR(MATCH($G39,Fertilisants!$B$8:$B$47,0),""))</f>
        <v/>
      </c>
      <c r="AB39" s="53" t="str">
        <f>IF($Z39="","",INDEX(Îlots!$E$8:$E$57,$Z39))</f>
        <v/>
      </c>
      <c r="AC39" s="53" t="str">
        <f>IF($Z39="","",INDEX(Îlots!$G$8:$G$57,$Z39)&amp;"")</f>
        <v/>
      </c>
      <c r="AD39" s="53" t="str">
        <f>IF($Z39="","",IF($F39=ApportCouvert,OccCouvert,INDEX(Îlots!$O$8:$O$57,$Z39)&amp;""))</f>
        <v/>
      </c>
      <c r="AE39" s="53" t="str">
        <f t="shared" si="3"/>
        <v/>
      </c>
      <c r="AF39" s="53" t="str">
        <f t="shared" si="4"/>
        <v/>
      </c>
      <c r="AG39" s="53" t="str">
        <f t="shared" si="5"/>
        <v/>
      </c>
      <c r="AH39" s="53">
        <f t="shared" si="6"/>
        <v>0</v>
      </c>
      <c r="AI39" s="53">
        <f t="shared" si="7"/>
        <v>0</v>
      </c>
      <c r="AJ39" s="53">
        <f t="shared" si="8"/>
        <v>0</v>
      </c>
      <c r="AK39" s="53">
        <f t="shared" si="9"/>
        <v>0</v>
      </c>
      <c r="AL39" s="53">
        <f t="shared" si="10"/>
        <v>0</v>
      </c>
      <c r="AM39" s="53">
        <f>IF($AA39="",0,IF(INDEX(Fertilisants!$C$8:$C$47,$AA39)="Effluent d'élevage",1,0))</f>
        <v>0</v>
      </c>
      <c r="AN39" s="53" t="str">
        <f>IF($AA39="","",IF(INDEX(Fertilisants!$C$8:$C$47,$AA39)="Engrais minéral","Minéral","Organique"))</f>
        <v/>
      </c>
      <c r="AO39" s="53" t="str">
        <f t="shared" si="11"/>
        <v/>
      </c>
      <c r="AP39" s="53" t="str">
        <f t="shared" si="12"/>
        <v/>
      </c>
      <c r="AQ39" s="53" t="str">
        <f t="shared" si="13"/>
        <v/>
      </c>
      <c r="AR39" s="53" t="str">
        <f>IF(AND($D39&lt;&gt;"",$D39=FicheIlot),COUNTIF($D$8:$D39,FicheIlot),"")</f>
        <v/>
      </c>
    </row>
    <row r="40" spans="2:44" ht="18.95" customHeight="1" x14ac:dyDescent="0.25">
      <c r="B40" s="42" t="str">
        <f>IF(C40="","",COUNT($C$8:C40))</f>
        <v/>
      </c>
      <c r="C40" s="43"/>
      <c r="D40" s="44"/>
      <c r="E40" s="45" t="str">
        <f>IF($Z40="","",IF($F40=ApportCouvert,INDEX(Îlots!$I$8:$I$57,$Z40)&amp;"",INDEX(Îlots!$N$8:$N$57,$Z40)&amp;""))</f>
        <v/>
      </c>
      <c r="F40" s="44"/>
      <c r="G40" s="44"/>
      <c r="H40" s="46" t="str">
        <f>IF($AA40="","",INDEX(Fertilisants!$D$8:$D$47,$AA40)&amp;"")</f>
        <v/>
      </c>
      <c r="I40" s="47"/>
      <c r="J40" s="48"/>
      <c r="K40" s="46" t="str">
        <f>IF($AA40="","",INDEX(Fertilisants!$E$8:$E$47,$AA40)&amp;"")</f>
        <v/>
      </c>
      <c r="L40" s="49" t="str">
        <f t="shared" si="0"/>
        <v/>
      </c>
      <c r="M40" s="50" t="str">
        <f>IF(OR($J40="",$AA40=""),"",$J40*N(INDEX(Fertilisants!$G$8:$G$47,$AA40)))</f>
        <v/>
      </c>
      <c r="N40" s="50" t="str">
        <f>IF(OR($J40="",$AA40=""),"",$J40*N(INDEX(Fertilisants!$I$8:$I$47,$AA40)))</f>
        <v/>
      </c>
      <c r="O40" s="50" t="str">
        <f>IF(OR($J40="",$AA40=""),"",$J40*N(INDEX(Fertilisants!$J$8:$J$47,$AA40)))</f>
        <v/>
      </c>
      <c r="P40" s="50" t="str">
        <f>IF(OR($J40="",$AA40=""),"",$J40*N(INDEX(Fertilisants!$K$8:$K$47,$AA40)))</f>
        <v/>
      </c>
      <c r="Q40" s="50" t="str">
        <f t="shared" si="1"/>
        <v/>
      </c>
      <c r="R40" s="44"/>
      <c r="S40" s="44"/>
      <c r="T40" s="51"/>
      <c r="U40" s="44"/>
      <c r="V40" s="43"/>
      <c r="W40" s="52" t="str">
        <f t="shared" si="2"/>
        <v/>
      </c>
      <c r="X40" s="44"/>
      <c r="Z40" s="53" t="str">
        <f>IF($D40="","",IFERROR(MATCH($D40,Îlots!$D$8:$D$57,0),""))</f>
        <v/>
      </c>
      <c r="AA40" s="53" t="str">
        <f>IF($G40="","",IFERROR(MATCH($G40,Fertilisants!$B$8:$B$47,0),""))</f>
        <v/>
      </c>
      <c r="AB40" s="53" t="str">
        <f>IF($Z40="","",INDEX(Îlots!$E$8:$E$57,$Z40))</f>
        <v/>
      </c>
      <c r="AC40" s="53" t="str">
        <f>IF($Z40="","",INDEX(Îlots!$G$8:$G$57,$Z40)&amp;"")</f>
        <v/>
      </c>
      <c r="AD40" s="53" t="str">
        <f>IF($Z40="","",IF($F40=ApportCouvert,OccCouvert,INDEX(Îlots!$O$8:$O$57,$Z40)&amp;""))</f>
        <v/>
      </c>
      <c r="AE40" s="53" t="str">
        <f t="shared" si="3"/>
        <v/>
      </c>
      <c r="AF40" s="53" t="str">
        <f t="shared" si="4"/>
        <v/>
      </c>
      <c r="AG40" s="53" t="str">
        <f t="shared" si="5"/>
        <v/>
      </c>
      <c r="AH40" s="53">
        <f t="shared" si="6"/>
        <v>0</v>
      </c>
      <c r="AI40" s="53">
        <f t="shared" si="7"/>
        <v>0</v>
      </c>
      <c r="AJ40" s="53">
        <f t="shared" si="8"/>
        <v>0</v>
      </c>
      <c r="AK40" s="53">
        <f t="shared" si="9"/>
        <v>0</v>
      </c>
      <c r="AL40" s="53">
        <f t="shared" si="10"/>
        <v>0</v>
      </c>
      <c r="AM40" s="53">
        <f>IF($AA40="",0,IF(INDEX(Fertilisants!$C$8:$C$47,$AA40)="Effluent d'élevage",1,0))</f>
        <v>0</v>
      </c>
      <c r="AN40" s="53" t="str">
        <f>IF($AA40="","",IF(INDEX(Fertilisants!$C$8:$C$47,$AA40)="Engrais minéral","Minéral","Organique"))</f>
        <v/>
      </c>
      <c r="AO40" s="53" t="str">
        <f t="shared" si="11"/>
        <v/>
      </c>
      <c r="AP40" s="53" t="str">
        <f t="shared" si="12"/>
        <v/>
      </c>
      <c r="AQ40" s="53" t="str">
        <f t="shared" si="13"/>
        <v/>
      </c>
      <c r="AR40" s="53" t="str">
        <f>IF(AND($D40&lt;&gt;"",$D40=FicheIlot),COUNTIF($D$8:$D40,FicheIlot),"")</f>
        <v/>
      </c>
    </row>
    <row r="41" spans="2:44" ht="18.95" customHeight="1" x14ac:dyDescent="0.25">
      <c r="B41" s="42" t="str">
        <f>IF(C41="","",COUNT($C$8:C41))</f>
        <v/>
      </c>
      <c r="C41" s="43"/>
      <c r="D41" s="44"/>
      <c r="E41" s="45" t="str">
        <f>IF($Z41="","",IF($F41=ApportCouvert,INDEX(Îlots!$I$8:$I$57,$Z41)&amp;"",INDEX(Îlots!$N$8:$N$57,$Z41)&amp;""))</f>
        <v/>
      </c>
      <c r="F41" s="44"/>
      <c r="G41" s="44"/>
      <c r="H41" s="46" t="str">
        <f>IF($AA41="","",INDEX(Fertilisants!$D$8:$D$47,$AA41)&amp;"")</f>
        <v/>
      </c>
      <c r="I41" s="47"/>
      <c r="J41" s="48"/>
      <c r="K41" s="46" t="str">
        <f>IF($AA41="","",INDEX(Fertilisants!$E$8:$E$47,$AA41)&amp;"")</f>
        <v/>
      </c>
      <c r="L41" s="49" t="str">
        <f t="shared" si="0"/>
        <v/>
      </c>
      <c r="M41" s="50" t="str">
        <f>IF(OR($J41="",$AA41=""),"",$J41*N(INDEX(Fertilisants!$G$8:$G$47,$AA41)))</f>
        <v/>
      </c>
      <c r="N41" s="50" t="str">
        <f>IF(OR($J41="",$AA41=""),"",$J41*N(INDEX(Fertilisants!$I$8:$I$47,$AA41)))</f>
        <v/>
      </c>
      <c r="O41" s="50" t="str">
        <f>IF(OR($J41="",$AA41=""),"",$J41*N(INDEX(Fertilisants!$J$8:$J$47,$AA41)))</f>
        <v/>
      </c>
      <c r="P41" s="50" t="str">
        <f>IF(OR($J41="",$AA41=""),"",$J41*N(INDEX(Fertilisants!$K$8:$K$47,$AA41)))</f>
        <v/>
      </c>
      <c r="Q41" s="50" t="str">
        <f t="shared" si="1"/>
        <v/>
      </c>
      <c r="R41" s="44"/>
      <c r="S41" s="44"/>
      <c r="T41" s="51"/>
      <c r="U41" s="44"/>
      <c r="V41" s="43"/>
      <c r="W41" s="52" t="str">
        <f t="shared" si="2"/>
        <v/>
      </c>
      <c r="X41" s="44"/>
      <c r="Z41" s="53" t="str">
        <f>IF($D41="","",IFERROR(MATCH($D41,Îlots!$D$8:$D$57,0),""))</f>
        <v/>
      </c>
      <c r="AA41" s="53" t="str">
        <f>IF($G41="","",IFERROR(MATCH($G41,Fertilisants!$B$8:$B$47,0),""))</f>
        <v/>
      </c>
      <c r="AB41" s="53" t="str">
        <f>IF($Z41="","",INDEX(Îlots!$E$8:$E$57,$Z41))</f>
        <v/>
      </c>
      <c r="AC41" s="53" t="str">
        <f>IF($Z41="","",INDEX(Îlots!$G$8:$G$57,$Z41)&amp;"")</f>
        <v/>
      </c>
      <c r="AD41" s="53" t="str">
        <f>IF($Z41="","",IF($F41=ApportCouvert,OccCouvert,INDEX(Îlots!$O$8:$O$57,$Z41)&amp;""))</f>
        <v/>
      </c>
      <c r="AE41" s="53" t="str">
        <f t="shared" si="3"/>
        <v/>
      </c>
      <c r="AF41" s="53" t="str">
        <f t="shared" si="4"/>
        <v/>
      </c>
      <c r="AG41" s="53" t="str">
        <f t="shared" si="5"/>
        <v/>
      </c>
      <c r="AH41" s="53">
        <f t="shared" si="6"/>
        <v>0</v>
      </c>
      <c r="AI41" s="53">
        <f t="shared" si="7"/>
        <v>0</v>
      </c>
      <c r="AJ41" s="53">
        <f t="shared" si="8"/>
        <v>0</v>
      </c>
      <c r="AK41" s="53">
        <f t="shared" si="9"/>
        <v>0</v>
      </c>
      <c r="AL41" s="53">
        <f t="shared" si="10"/>
        <v>0</v>
      </c>
      <c r="AM41" s="53">
        <f>IF($AA41="",0,IF(INDEX(Fertilisants!$C$8:$C$47,$AA41)="Effluent d'élevage",1,0))</f>
        <v>0</v>
      </c>
      <c r="AN41" s="53" t="str">
        <f>IF($AA41="","",IF(INDEX(Fertilisants!$C$8:$C$47,$AA41)="Engrais minéral","Minéral","Organique"))</f>
        <v/>
      </c>
      <c r="AO41" s="53" t="str">
        <f t="shared" si="11"/>
        <v/>
      </c>
      <c r="AP41" s="53" t="str">
        <f t="shared" si="12"/>
        <v/>
      </c>
      <c r="AQ41" s="53" t="str">
        <f t="shared" si="13"/>
        <v/>
      </c>
      <c r="AR41" s="53" t="str">
        <f>IF(AND($D41&lt;&gt;"",$D41=FicheIlot),COUNTIF($D$8:$D41,FicheIlot),"")</f>
        <v/>
      </c>
    </row>
    <row r="42" spans="2:44" ht="18.95" customHeight="1" x14ac:dyDescent="0.25">
      <c r="B42" s="42" t="str">
        <f>IF(C42="","",COUNT($C$8:C42))</f>
        <v/>
      </c>
      <c r="C42" s="43"/>
      <c r="D42" s="44"/>
      <c r="E42" s="45" t="str">
        <f>IF($Z42="","",IF($F42=ApportCouvert,INDEX(Îlots!$I$8:$I$57,$Z42)&amp;"",INDEX(Îlots!$N$8:$N$57,$Z42)&amp;""))</f>
        <v/>
      </c>
      <c r="F42" s="44"/>
      <c r="G42" s="44"/>
      <c r="H42" s="46" t="str">
        <f>IF($AA42="","",INDEX(Fertilisants!$D$8:$D$47,$AA42)&amp;"")</f>
        <v/>
      </c>
      <c r="I42" s="47"/>
      <c r="J42" s="48"/>
      <c r="K42" s="46" t="str">
        <f>IF($AA42="","",INDEX(Fertilisants!$E$8:$E$47,$AA42)&amp;"")</f>
        <v/>
      </c>
      <c r="L42" s="49" t="str">
        <f t="shared" si="0"/>
        <v/>
      </c>
      <c r="M42" s="50" t="str">
        <f>IF(OR($J42="",$AA42=""),"",$J42*N(INDEX(Fertilisants!$G$8:$G$47,$AA42)))</f>
        <v/>
      </c>
      <c r="N42" s="50" t="str">
        <f>IF(OR($J42="",$AA42=""),"",$J42*N(INDEX(Fertilisants!$I$8:$I$47,$AA42)))</f>
        <v/>
      </c>
      <c r="O42" s="50" t="str">
        <f>IF(OR($J42="",$AA42=""),"",$J42*N(INDEX(Fertilisants!$J$8:$J$47,$AA42)))</f>
        <v/>
      </c>
      <c r="P42" s="50" t="str">
        <f>IF(OR($J42="",$AA42=""),"",$J42*N(INDEX(Fertilisants!$K$8:$K$47,$AA42)))</f>
        <v/>
      </c>
      <c r="Q42" s="50" t="str">
        <f t="shared" si="1"/>
        <v/>
      </c>
      <c r="R42" s="44"/>
      <c r="S42" s="44"/>
      <c r="T42" s="51"/>
      <c r="U42" s="44"/>
      <c r="V42" s="43"/>
      <c r="W42" s="52" t="str">
        <f t="shared" si="2"/>
        <v/>
      </c>
      <c r="X42" s="44"/>
      <c r="Z42" s="53" t="str">
        <f>IF($D42="","",IFERROR(MATCH($D42,Îlots!$D$8:$D$57,0),""))</f>
        <v/>
      </c>
      <c r="AA42" s="53" t="str">
        <f>IF($G42="","",IFERROR(MATCH($G42,Fertilisants!$B$8:$B$47,0),""))</f>
        <v/>
      </c>
      <c r="AB42" s="53" t="str">
        <f>IF($Z42="","",INDEX(Îlots!$E$8:$E$57,$Z42))</f>
        <v/>
      </c>
      <c r="AC42" s="53" t="str">
        <f>IF($Z42="","",INDEX(Îlots!$G$8:$G$57,$Z42)&amp;"")</f>
        <v/>
      </c>
      <c r="AD42" s="53" t="str">
        <f>IF($Z42="","",IF($F42=ApportCouvert,OccCouvert,INDEX(Îlots!$O$8:$O$57,$Z42)&amp;""))</f>
        <v/>
      </c>
      <c r="AE42" s="53" t="str">
        <f t="shared" si="3"/>
        <v/>
      </c>
      <c r="AF42" s="53" t="str">
        <f t="shared" si="4"/>
        <v/>
      </c>
      <c r="AG42" s="53" t="str">
        <f t="shared" si="5"/>
        <v/>
      </c>
      <c r="AH42" s="53">
        <f t="shared" si="6"/>
        <v>0</v>
      </c>
      <c r="AI42" s="53">
        <f t="shared" si="7"/>
        <v>0</v>
      </c>
      <c r="AJ42" s="53">
        <f t="shared" si="8"/>
        <v>0</v>
      </c>
      <c r="AK42" s="53">
        <f t="shared" si="9"/>
        <v>0</v>
      </c>
      <c r="AL42" s="53">
        <f t="shared" si="10"/>
        <v>0</v>
      </c>
      <c r="AM42" s="53">
        <f>IF($AA42="",0,IF(INDEX(Fertilisants!$C$8:$C$47,$AA42)="Effluent d'élevage",1,0))</f>
        <v>0</v>
      </c>
      <c r="AN42" s="53" t="str">
        <f>IF($AA42="","",IF(INDEX(Fertilisants!$C$8:$C$47,$AA42)="Engrais minéral","Minéral","Organique"))</f>
        <v/>
      </c>
      <c r="AO42" s="53" t="str">
        <f t="shared" si="11"/>
        <v/>
      </c>
      <c r="AP42" s="53" t="str">
        <f t="shared" si="12"/>
        <v/>
      </c>
      <c r="AQ42" s="53" t="str">
        <f t="shared" si="13"/>
        <v/>
      </c>
      <c r="AR42" s="53" t="str">
        <f>IF(AND($D42&lt;&gt;"",$D42=FicheIlot),COUNTIF($D$8:$D42,FicheIlot),"")</f>
        <v/>
      </c>
    </row>
    <row r="43" spans="2:44" ht="18.95" customHeight="1" x14ac:dyDescent="0.25">
      <c r="B43" s="42" t="str">
        <f>IF(C43="","",COUNT($C$8:C43))</f>
        <v/>
      </c>
      <c r="C43" s="43"/>
      <c r="D43" s="44"/>
      <c r="E43" s="45" t="str">
        <f>IF($Z43="","",IF($F43=ApportCouvert,INDEX(Îlots!$I$8:$I$57,$Z43)&amp;"",INDEX(Îlots!$N$8:$N$57,$Z43)&amp;""))</f>
        <v/>
      </c>
      <c r="F43" s="44"/>
      <c r="G43" s="44"/>
      <c r="H43" s="46" t="str">
        <f>IF($AA43="","",INDEX(Fertilisants!$D$8:$D$47,$AA43)&amp;"")</f>
        <v/>
      </c>
      <c r="I43" s="47"/>
      <c r="J43" s="48"/>
      <c r="K43" s="46" t="str">
        <f>IF($AA43="","",INDEX(Fertilisants!$E$8:$E$47,$AA43)&amp;"")</f>
        <v/>
      </c>
      <c r="L43" s="49" t="str">
        <f t="shared" si="0"/>
        <v/>
      </c>
      <c r="M43" s="50" t="str">
        <f>IF(OR($J43="",$AA43=""),"",$J43*N(INDEX(Fertilisants!$G$8:$G$47,$AA43)))</f>
        <v/>
      </c>
      <c r="N43" s="50" t="str">
        <f>IF(OR($J43="",$AA43=""),"",$J43*N(INDEX(Fertilisants!$I$8:$I$47,$AA43)))</f>
        <v/>
      </c>
      <c r="O43" s="50" t="str">
        <f>IF(OR($J43="",$AA43=""),"",$J43*N(INDEX(Fertilisants!$J$8:$J$47,$AA43)))</f>
        <v/>
      </c>
      <c r="P43" s="50" t="str">
        <f>IF(OR($J43="",$AA43=""),"",$J43*N(INDEX(Fertilisants!$K$8:$K$47,$AA43)))</f>
        <v/>
      </c>
      <c r="Q43" s="50" t="str">
        <f t="shared" si="1"/>
        <v/>
      </c>
      <c r="R43" s="44"/>
      <c r="S43" s="44"/>
      <c r="T43" s="51"/>
      <c r="U43" s="44"/>
      <c r="V43" s="43"/>
      <c r="W43" s="52" t="str">
        <f t="shared" si="2"/>
        <v/>
      </c>
      <c r="X43" s="44"/>
      <c r="Z43" s="53" t="str">
        <f>IF($D43="","",IFERROR(MATCH($D43,Îlots!$D$8:$D$57,0),""))</f>
        <v/>
      </c>
      <c r="AA43" s="53" t="str">
        <f>IF($G43="","",IFERROR(MATCH($G43,Fertilisants!$B$8:$B$47,0),""))</f>
        <v/>
      </c>
      <c r="AB43" s="53" t="str">
        <f>IF($Z43="","",INDEX(Îlots!$E$8:$E$57,$Z43))</f>
        <v/>
      </c>
      <c r="AC43" s="53" t="str">
        <f>IF($Z43="","",INDEX(Îlots!$G$8:$G$57,$Z43)&amp;"")</f>
        <v/>
      </c>
      <c r="AD43" s="53" t="str">
        <f>IF($Z43="","",IF($F43=ApportCouvert,OccCouvert,INDEX(Îlots!$O$8:$O$57,$Z43)&amp;""))</f>
        <v/>
      </c>
      <c r="AE43" s="53" t="str">
        <f t="shared" si="3"/>
        <v/>
      </c>
      <c r="AF43" s="53" t="str">
        <f t="shared" si="4"/>
        <v/>
      </c>
      <c r="AG43" s="53" t="str">
        <f t="shared" si="5"/>
        <v/>
      </c>
      <c r="AH43" s="53">
        <f t="shared" si="6"/>
        <v>0</v>
      </c>
      <c r="AI43" s="53">
        <f t="shared" si="7"/>
        <v>0</v>
      </c>
      <c r="AJ43" s="53">
        <f t="shared" si="8"/>
        <v>0</v>
      </c>
      <c r="AK43" s="53">
        <f t="shared" si="9"/>
        <v>0</v>
      </c>
      <c r="AL43" s="53">
        <f t="shared" si="10"/>
        <v>0</v>
      </c>
      <c r="AM43" s="53">
        <f>IF($AA43="",0,IF(INDEX(Fertilisants!$C$8:$C$47,$AA43)="Effluent d'élevage",1,0))</f>
        <v>0</v>
      </c>
      <c r="AN43" s="53" t="str">
        <f>IF($AA43="","",IF(INDEX(Fertilisants!$C$8:$C$47,$AA43)="Engrais minéral","Minéral","Organique"))</f>
        <v/>
      </c>
      <c r="AO43" s="53" t="str">
        <f t="shared" si="11"/>
        <v/>
      </c>
      <c r="AP43" s="53" t="str">
        <f t="shared" si="12"/>
        <v/>
      </c>
      <c r="AQ43" s="53" t="str">
        <f t="shared" si="13"/>
        <v/>
      </c>
      <c r="AR43" s="53" t="str">
        <f>IF(AND($D43&lt;&gt;"",$D43=FicheIlot),COUNTIF($D$8:$D43,FicheIlot),"")</f>
        <v/>
      </c>
    </row>
    <row r="44" spans="2:44" ht="18.95" customHeight="1" x14ac:dyDescent="0.25">
      <c r="B44" s="42" t="str">
        <f>IF(C44="","",COUNT($C$8:C44))</f>
        <v/>
      </c>
      <c r="C44" s="43"/>
      <c r="D44" s="44"/>
      <c r="E44" s="45" t="str">
        <f>IF($Z44="","",IF($F44=ApportCouvert,INDEX(Îlots!$I$8:$I$57,$Z44)&amp;"",INDEX(Îlots!$N$8:$N$57,$Z44)&amp;""))</f>
        <v/>
      </c>
      <c r="F44" s="44"/>
      <c r="G44" s="44"/>
      <c r="H44" s="46" t="str">
        <f>IF($AA44="","",INDEX(Fertilisants!$D$8:$D$47,$AA44)&amp;"")</f>
        <v/>
      </c>
      <c r="I44" s="47"/>
      <c r="J44" s="48"/>
      <c r="K44" s="46" t="str">
        <f>IF($AA44="","",INDEX(Fertilisants!$E$8:$E$47,$AA44)&amp;"")</f>
        <v/>
      </c>
      <c r="L44" s="49" t="str">
        <f t="shared" si="0"/>
        <v/>
      </c>
      <c r="M44" s="50" t="str">
        <f>IF(OR($J44="",$AA44=""),"",$J44*N(INDEX(Fertilisants!$G$8:$G$47,$AA44)))</f>
        <v/>
      </c>
      <c r="N44" s="50" t="str">
        <f>IF(OR($J44="",$AA44=""),"",$J44*N(INDEX(Fertilisants!$I$8:$I$47,$AA44)))</f>
        <v/>
      </c>
      <c r="O44" s="50" t="str">
        <f>IF(OR($J44="",$AA44=""),"",$J44*N(INDEX(Fertilisants!$J$8:$J$47,$AA44)))</f>
        <v/>
      </c>
      <c r="P44" s="50" t="str">
        <f>IF(OR($J44="",$AA44=""),"",$J44*N(INDEX(Fertilisants!$K$8:$K$47,$AA44)))</f>
        <v/>
      </c>
      <c r="Q44" s="50" t="str">
        <f t="shared" si="1"/>
        <v/>
      </c>
      <c r="R44" s="44"/>
      <c r="S44" s="44"/>
      <c r="T44" s="51"/>
      <c r="U44" s="44"/>
      <c r="V44" s="43"/>
      <c r="W44" s="52" t="str">
        <f t="shared" si="2"/>
        <v/>
      </c>
      <c r="X44" s="44"/>
      <c r="Z44" s="53" t="str">
        <f>IF($D44="","",IFERROR(MATCH($D44,Îlots!$D$8:$D$57,0),""))</f>
        <v/>
      </c>
      <c r="AA44" s="53" t="str">
        <f>IF($G44="","",IFERROR(MATCH($G44,Fertilisants!$B$8:$B$47,0),""))</f>
        <v/>
      </c>
      <c r="AB44" s="53" t="str">
        <f>IF($Z44="","",INDEX(Îlots!$E$8:$E$57,$Z44))</f>
        <v/>
      </c>
      <c r="AC44" s="53" t="str">
        <f>IF($Z44="","",INDEX(Îlots!$G$8:$G$57,$Z44)&amp;"")</f>
        <v/>
      </c>
      <c r="AD44" s="53" t="str">
        <f>IF($Z44="","",IF($F44=ApportCouvert,OccCouvert,INDEX(Îlots!$O$8:$O$57,$Z44)&amp;""))</f>
        <v/>
      </c>
      <c r="AE44" s="53" t="str">
        <f t="shared" si="3"/>
        <v/>
      </c>
      <c r="AF44" s="53" t="str">
        <f t="shared" si="4"/>
        <v/>
      </c>
      <c r="AG44" s="53" t="str">
        <f t="shared" si="5"/>
        <v/>
      </c>
      <c r="AH44" s="53">
        <f t="shared" si="6"/>
        <v>0</v>
      </c>
      <c r="AI44" s="53">
        <f t="shared" si="7"/>
        <v>0</v>
      </c>
      <c r="AJ44" s="53">
        <f t="shared" si="8"/>
        <v>0</v>
      </c>
      <c r="AK44" s="53">
        <f t="shared" si="9"/>
        <v>0</v>
      </c>
      <c r="AL44" s="53">
        <f t="shared" si="10"/>
        <v>0</v>
      </c>
      <c r="AM44" s="53">
        <f>IF($AA44="",0,IF(INDEX(Fertilisants!$C$8:$C$47,$AA44)="Effluent d'élevage",1,0))</f>
        <v>0</v>
      </c>
      <c r="AN44" s="53" t="str">
        <f>IF($AA44="","",IF(INDEX(Fertilisants!$C$8:$C$47,$AA44)="Engrais minéral","Minéral","Organique"))</f>
        <v/>
      </c>
      <c r="AO44" s="53" t="str">
        <f t="shared" si="11"/>
        <v/>
      </c>
      <c r="AP44" s="53" t="str">
        <f t="shared" si="12"/>
        <v/>
      </c>
      <c r="AQ44" s="53" t="str">
        <f t="shared" si="13"/>
        <v/>
      </c>
      <c r="AR44" s="53" t="str">
        <f>IF(AND($D44&lt;&gt;"",$D44=FicheIlot),COUNTIF($D$8:$D44,FicheIlot),"")</f>
        <v/>
      </c>
    </row>
    <row r="45" spans="2:44" ht="18.95" customHeight="1" x14ac:dyDescent="0.25">
      <c r="B45" s="42" t="str">
        <f>IF(C45="","",COUNT($C$8:C45))</f>
        <v/>
      </c>
      <c r="C45" s="43"/>
      <c r="D45" s="44"/>
      <c r="E45" s="45" t="str">
        <f>IF($Z45="","",IF($F45=ApportCouvert,INDEX(Îlots!$I$8:$I$57,$Z45)&amp;"",INDEX(Îlots!$N$8:$N$57,$Z45)&amp;""))</f>
        <v/>
      </c>
      <c r="F45" s="44"/>
      <c r="G45" s="44"/>
      <c r="H45" s="46" t="str">
        <f>IF($AA45="","",INDEX(Fertilisants!$D$8:$D$47,$AA45)&amp;"")</f>
        <v/>
      </c>
      <c r="I45" s="47"/>
      <c r="J45" s="48"/>
      <c r="K45" s="46" t="str">
        <f>IF($AA45="","",INDEX(Fertilisants!$E$8:$E$47,$AA45)&amp;"")</f>
        <v/>
      </c>
      <c r="L45" s="49" t="str">
        <f t="shared" si="0"/>
        <v/>
      </c>
      <c r="M45" s="50" t="str">
        <f>IF(OR($J45="",$AA45=""),"",$J45*N(INDEX(Fertilisants!$G$8:$G$47,$AA45)))</f>
        <v/>
      </c>
      <c r="N45" s="50" t="str">
        <f>IF(OR($J45="",$AA45=""),"",$J45*N(INDEX(Fertilisants!$I$8:$I$47,$AA45)))</f>
        <v/>
      </c>
      <c r="O45" s="50" t="str">
        <f>IF(OR($J45="",$AA45=""),"",$J45*N(INDEX(Fertilisants!$J$8:$J$47,$AA45)))</f>
        <v/>
      </c>
      <c r="P45" s="50" t="str">
        <f>IF(OR($J45="",$AA45=""),"",$J45*N(INDEX(Fertilisants!$K$8:$K$47,$AA45)))</f>
        <v/>
      </c>
      <c r="Q45" s="50" t="str">
        <f t="shared" si="1"/>
        <v/>
      </c>
      <c r="R45" s="44"/>
      <c r="S45" s="44"/>
      <c r="T45" s="51"/>
      <c r="U45" s="44"/>
      <c r="V45" s="43"/>
      <c r="W45" s="52" t="str">
        <f t="shared" si="2"/>
        <v/>
      </c>
      <c r="X45" s="44"/>
      <c r="Z45" s="53" t="str">
        <f>IF($D45="","",IFERROR(MATCH($D45,Îlots!$D$8:$D$57,0),""))</f>
        <v/>
      </c>
      <c r="AA45" s="53" t="str">
        <f>IF($G45="","",IFERROR(MATCH($G45,Fertilisants!$B$8:$B$47,0),""))</f>
        <v/>
      </c>
      <c r="AB45" s="53" t="str">
        <f>IF($Z45="","",INDEX(Îlots!$E$8:$E$57,$Z45))</f>
        <v/>
      </c>
      <c r="AC45" s="53" t="str">
        <f>IF($Z45="","",INDEX(Îlots!$G$8:$G$57,$Z45)&amp;"")</f>
        <v/>
      </c>
      <c r="AD45" s="53" t="str">
        <f>IF($Z45="","",IF($F45=ApportCouvert,OccCouvert,INDEX(Îlots!$O$8:$O$57,$Z45)&amp;""))</f>
        <v/>
      </c>
      <c r="AE45" s="53" t="str">
        <f t="shared" si="3"/>
        <v/>
      </c>
      <c r="AF45" s="53" t="str">
        <f t="shared" si="4"/>
        <v/>
      </c>
      <c r="AG45" s="53" t="str">
        <f t="shared" si="5"/>
        <v/>
      </c>
      <c r="AH45" s="53">
        <f t="shared" si="6"/>
        <v>0</v>
      </c>
      <c r="AI45" s="53">
        <f t="shared" si="7"/>
        <v>0</v>
      </c>
      <c r="AJ45" s="53">
        <f t="shared" si="8"/>
        <v>0</v>
      </c>
      <c r="AK45" s="53">
        <f t="shared" si="9"/>
        <v>0</v>
      </c>
      <c r="AL45" s="53">
        <f t="shared" si="10"/>
        <v>0</v>
      </c>
      <c r="AM45" s="53">
        <f>IF($AA45="",0,IF(INDEX(Fertilisants!$C$8:$C$47,$AA45)="Effluent d'élevage",1,0))</f>
        <v>0</v>
      </c>
      <c r="AN45" s="53" t="str">
        <f>IF($AA45="","",IF(INDEX(Fertilisants!$C$8:$C$47,$AA45)="Engrais minéral","Minéral","Organique"))</f>
        <v/>
      </c>
      <c r="AO45" s="53" t="str">
        <f t="shared" si="11"/>
        <v/>
      </c>
      <c r="AP45" s="53" t="str">
        <f t="shared" si="12"/>
        <v/>
      </c>
      <c r="AQ45" s="53" t="str">
        <f t="shared" si="13"/>
        <v/>
      </c>
      <c r="AR45" s="53" t="str">
        <f>IF(AND($D45&lt;&gt;"",$D45=FicheIlot),COUNTIF($D$8:$D45,FicheIlot),"")</f>
        <v/>
      </c>
    </row>
    <row r="46" spans="2:44" ht="18.95" customHeight="1" x14ac:dyDescent="0.25">
      <c r="B46" s="42" t="str">
        <f>IF(C46="","",COUNT($C$8:C46))</f>
        <v/>
      </c>
      <c r="C46" s="43"/>
      <c r="D46" s="44"/>
      <c r="E46" s="45" t="str">
        <f>IF($Z46="","",IF($F46=ApportCouvert,INDEX(Îlots!$I$8:$I$57,$Z46)&amp;"",INDEX(Îlots!$N$8:$N$57,$Z46)&amp;""))</f>
        <v/>
      </c>
      <c r="F46" s="44"/>
      <c r="G46" s="44"/>
      <c r="H46" s="46" t="str">
        <f>IF($AA46="","",INDEX(Fertilisants!$D$8:$D$47,$AA46)&amp;"")</f>
        <v/>
      </c>
      <c r="I46" s="47"/>
      <c r="J46" s="48"/>
      <c r="K46" s="46" t="str">
        <f>IF($AA46="","",INDEX(Fertilisants!$E$8:$E$47,$AA46)&amp;"")</f>
        <v/>
      </c>
      <c r="L46" s="49" t="str">
        <f t="shared" si="0"/>
        <v/>
      </c>
      <c r="M46" s="50" t="str">
        <f>IF(OR($J46="",$AA46=""),"",$J46*N(INDEX(Fertilisants!$G$8:$G$47,$AA46)))</f>
        <v/>
      </c>
      <c r="N46" s="50" t="str">
        <f>IF(OR($J46="",$AA46=""),"",$J46*N(INDEX(Fertilisants!$I$8:$I$47,$AA46)))</f>
        <v/>
      </c>
      <c r="O46" s="50" t="str">
        <f>IF(OR($J46="",$AA46=""),"",$J46*N(INDEX(Fertilisants!$J$8:$J$47,$AA46)))</f>
        <v/>
      </c>
      <c r="P46" s="50" t="str">
        <f>IF(OR($J46="",$AA46=""),"",$J46*N(INDEX(Fertilisants!$K$8:$K$47,$AA46)))</f>
        <v/>
      </c>
      <c r="Q46" s="50" t="str">
        <f t="shared" si="1"/>
        <v/>
      </c>
      <c r="R46" s="44"/>
      <c r="S46" s="44"/>
      <c r="T46" s="51"/>
      <c r="U46" s="44"/>
      <c r="V46" s="43"/>
      <c r="W46" s="52" t="str">
        <f t="shared" si="2"/>
        <v/>
      </c>
      <c r="X46" s="44"/>
      <c r="Z46" s="53" t="str">
        <f>IF($D46="","",IFERROR(MATCH($D46,Îlots!$D$8:$D$57,0),""))</f>
        <v/>
      </c>
      <c r="AA46" s="53" t="str">
        <f>IF($G46="","",IFERROR(MATCH($G46,Fertilisants!$B$8:$B$47,0),""))</f>
        <v/>
      </c>
      <c r="AB46" s="53" t="str">
        <f>IF($Z46="","",INDEX(Îlots!$E$8:$E$57,$Z46))</f>
        <v/>
      </c>
      <c r="AC46" s="53" t="str">
        <f>IF($Z46="","",INDEX(Îlots!$G$8:$G$57,$Z46)&amp;"")</f>
        <v/>
      </c>
      <c r="AD46" s="53" t="str">
        <f>IF($Z46="","",IF($F46=ApportCouvert,OccCouvert,INDEX(Îlots!$O$8:$O$57,$Z46)&amp;""))</f>
        <v/>
      </c>
      <c r="AE46" s="53" t="str">
        <f t="shared" si="3"/>
        <v/>
      </c>
      <c r="AF46" s="53" t="str">
        <f t="shared" si="4"/>
        <v/>
      </c>
      <c r="AG46" s="53" t="str">
        <f t="shared" si="5"/>
        <v/>
      </c>
      <c r="AH46" s="53">
        <f t="shared" si="6"/>
        <v>0</v>
      </c>
      <c r="AI46" s="53">
        <f t="shared" si="7"/>
        <v>0</v>
      </c>
      <c r="AJ46" s="53">
        <f t="shared" si="8"/>
        <v>0</v>
      </c>
      <c r="AK46" s="53">
        <f t="shared" si="9"/>
        <v>0</v>
      </c>
      <c r="AL46" s="53">
        <f t="shared" si="10"/>
        <v>0</v>
      </c>
      <c r="AM46" s="53">
        <f>IF($AA46="",0,IF(INDEX(Fertilisants!$C$8:$C$47,$AA46)="Effluent d'élevage",1,0))</f>
        <v>0</v>
      </c>
      <c r="AN46" s="53" t="str">
        <f>IF($AA46="","",IF(INDEX(Fertilisants!$C$8:$C$47,$AA46)="Engrais minéral","Minéral","Organique"))</f>
        <v/>
      </c>
      <c r="AO46" s="53" t="str">
        <f t="shared" si="11"/>
        <v/>
      </c>
      <c r="AP46" s="53" t="str">
        <f t="shared" si="12"/>
        <v/>
      </c>
      <c r="AQ46" s="53" t="str">
        <f t="shared" si="13"/>
        <v/>
      </c>
      <c r="AR46" s="53" t="str">
        <f>IF(AND($D46&lt;&gt;"",$D46=FicheIlot),COUNTIF($D$8:$D46,FicheIlot),"")</f>
        <v/>
      </c>
    </row>
    <row r="47" spans="2:44" ht="18.95" customHeight="1" x14ac:dyDescent="0.25">
      <c r="B47" s="42" t="str">
        <f>IF(C47="","",COUNT($C$8:C47))</f>
        <v/>
      </c>
      <c r="C47" s="43"/>
      <c r="D47" s="44"/>
      <c r="E47" s="45" t="str">
        <f>IF($Z47="","",IF($F47=ApportCouvert,INDEX(Îlots!$I$8:$I$57,$Z47)&amp;"",INDEX(Îlots!$N$8:$N$57,$Z47)&amp;""))</f>
        <v/>
      </c>
      <c r="F47" s="44"/>
      <c r="G47" s="44"/>
      <c r="H47" s="46" t="str">
        <f>IF($AA47="","",INDEX(Fertilisants!$D$8:$D$47,$AA47)&amp;"")</f>
        <v/>
      </c>
      <c r="I47" s="47"/>
      <c r="J47" s="48"/>
      <c r="K47" s="46" t="str">
        <f>IF($AA47="","",INDEX(Fertilisants!$E$8:$E$47,$AA47)&amp;"")</f>
        <v/>
      </c>
      <c r="L47" s="49" t="str">
        <f t="shared" si="0"/>
        <v/>
      </c>
      <c r="M47" s="50" t="str">
        <f>IF(OR($J47="",$AA47=""),"",$J47*N(INDEX(Fertilisants!$G$8:$G$47,$AA47)))</f>
        <v/>
      </c>
      <c r="N47" s="50" t="str">
        <f>IF(OR($J47="",$AA47=""),"",$J47*N(INDEX(Fertilisants!$I$8:$I$47,$AA47)))</f>
        <v/>
      </c>
      <c r="O47" s="50" t="str">
        <f>IF(OR($J47="",$AA47=""),"",$J47*N(INDEX(Fertilisants!$J$8:$J$47,$AA47)))</f>
        <v/>
      </c>
      <c r="P47" s="50" t="str">
        <f>IF(OR($J47="",$AA47=""),"",$J47*N(INDEX(Fertilisants!$K$8:$K$47,$AA47)))</f>
        <v/>
      </c>
      <c r="Q47" s="50" t="str">
        <f t="shared" si="1"/>
        <v/>
      </c>
      <c r="R47" s="44"/>
      <c r="S47" s="44"/>
      <c r="T47" s="51"/>
      <c r="U47" s="44"/>
      <c r="V47" s="43"/>
      <c r="W47" s="52" t="str">
        <f t="shared" si="2"/>
        <v/>
      </c>
      <c r="X47" s="44"/>
      <c r="Z47" s="53" t="str">
        <f>IF($D47="","",IFERROR(MATCH($D47,Îlots!$D$8:$D$57,0),""))</f>
        <v/>
      </c>
      <c r="AA47" s="53" t="str">
        <f>IF($G47="","",IFERROR(MATCH($G47,Fertilisants!$B$8:$B$47,0),""))</f>
        <v/>
      </c>
      <c r="AB47" s="53" t="str">
        <f>IF($Z47="","",INDEX(Îlots!$E$8:$E$57,$Z47))</f>
        <v/>
      </c>
      <c r="AC47" s="53" t="str">
        <f>IF($Z47="","",INDEX(Îlots!$G$8:$G$57,$Z47)&amp;"")</f>
        <v/>
      </c>
      <c r="AD47" s="53" t="str">
        <f>IF($Z47="","",IF($F47=ApportCouvert,OccCouvert,INDEX(Îlots!$O$8:$O$57,$Z47)&amp;""))</f>
        <v/>
      </c>
      <c r="AE47" s="53" t="str">
        <f t="shared" si="3"/>
        <v/>
      </c>
      <c r="AF47" s="53" t="str">
        <f t="shared" si="4"/>
        <v/>
      </c>
      <c r="AG47" s="53" t="str">
        <f t="shared" si="5"/>
        <v/>
      </c>
      <c r="AH47" s="53">
        <f t="shared" si="6"/>
        <v>0</v>
      </c>
      <c r="AI47" s="53">
        <f t="shared" si="7"/>
        <v>0</v>
      </c>
      <c r="AJ47" s="53">
        <f t="shared" si="8"/>
        <v>0</v>
      </c>
      <c r="AK47" s="53">
        <f t="shared" si="9"/>
        <v>0</v>
      </c>
      <c r="AL47" s="53">
        <f t="shared" si="10"/>
        <v>0</v>
      </c>
      <c r="AM47" s="53">
        <f>IF($AA47="",0,IF(INDEX(Fertilisants!$C$8:$C$47,$AA47)="Effluent d'élevage",1,0))</f>
        <v>0</v>
      </c>
      <c r="AN47" s="53" t="str">
        <f>IF($AA47="","",IF(INDEX(Fertilisants!$C$8:$C$47,$AA47)="Engrais minéral","Minéral","Organique"))</f>
        <v/>
      </c>
      <c r="AO47" s="53" t="str">
        <f t="shared" si="11"/>
        <v/>
      </c>
      <c r="AP47" s="53" t="str">
        <f t="shared" si="12"/>
        <v/>
      </c>
      <c r="AQ47" s="53" t="str">
        <f t="shared" si="13"/>
        <v/>
      </c>
      <c r="AR47" s="53" t="str">
        <f>IF(AND($D47&lt;&gt;"",$D47=FicheIlot),COUNTIF($D$8:$D47,FicheIlot),"")</f>
        <v/>
      </c>
    </row>
    <row r="48" spans="2:44" ht="18.95" customHeight="1" x14ac:dyDescent="0.25">
      <c r="B48" s="42" t="str">
        <f>IF(C48="","",COUNT($C$8:C48))</f>
        <v/>
      </c>
      <c r="C48" s="43"/>
      <c r="D48" s="44"/>
      <c r="E48" s="45" t="str">
        <f>IF($Z48="","",IF($F48=ApportCouvert,INDEX(Îlots!$I$8:$I$57,$Z48)&amp;"",INDEX(Îlots!$N$8:$N$57,$Z48)&amp;""))</f>
        <v/>
      </c>
      <c r="F48" s="44"/>
      <c r="G48" s="44"/>
      <c r="H48" s="46" t="str">
        <f>IF($AA48="","",INDEX(Fertilisants!$D$8:$D$47,$AA48)&amp;"")</f>
        <v/>
      </c>
      <c r="I48" s="47"/>
      <c r="J48" s="48"/>
      <c r="K48" s="46" t="str">
        <f>IF($AA48="","",INDEX(Fertilisants!$E$8:$E$47,$AA48)&amp;"")</f>
        <v/>
      </c>
      <c r="L48" s="49" t="str">
        <f t="shared" si="0"/>
        <v/>
      </c>
      <c r="M48" s="50" t="str">
        <f>IF(OR($J48="",$AA48=""),"",$J48*N(INDEX(Fertilisants!$G$8:$G$47,$AA48)))</f>
        <v/>
      </c>
      <c r="N48" s="50" t="str">
        <f>IF(OR($J48="",$AA48=""),"",$J48*N(INDEX(Fertilisants!$I$8:$I$47,$AA48)))</f>
        <v/>
      </c>
      <c r="O48" s="50" t="str">
        <f>IF(OR($J48="",$AA48=""),"",$J48*N(INDEX(Fertilisants!$J$8:$J$47,$AA48)))</f>
        <v/>
      </c>
      <c r="P48" s="50" t="str">
        <f>IF(OR($J48="",$AA48=""),"",$J48*N(INDEX(Fertilisants!$K$8:$K$47,$AA48)))</f>
        <v/>
      </c>
      <c r="Q48" s="50" t="str">
        <f t="shared" si="1"/>
        <v/>
      </c>
      <c r="R48" s="44"/>
      <c r="S48" s="44"/>
      <c r="T48" s="51"/>
      <c r="U48" s="44"/>
      <c r="V48" s="43"/>
      <c r="W48" s="52" t="str">
        <f t="shared" si="2"/>
        <v/>
      </c>
      <c r="X48" s="44"/>
      <c r="Z48" s="53" t="str">
        <f>IF($D48="","",IFERROR(MATCH($D48,Îlots!$D$8:$D$57,0),""))</f>
        <v/>
      </c>
      <c r="AA48" s="53" t="str">
        <f>IF($G48="","",IFERROR(MATCH($G48,Fertilisants!$B$8:$B$47,0),""))</f>
        <v/>
      </c>
      <c r="AB48" s="53" t="str">
        <f>IF($Z48="","",INDEX(Îlots!$E$8:$E$57,$Z48))</f>
        <v/>
      </c>
      <c r="AC48" s="53" t="str">
        <f>IF($Z48="","",INDEX(Îlots!$G$8:$G$57,$Z48)&amp;"")</f>
        <v/>
      </c>
      <c r="AD48" s="53" t="str">
        <f>IF($Z48="","",IF($F48=ApportCouvert,OccCouvert,INDEX(Îlots!$O$8:$O$57,$Z48)&amp;""))</f>
        <v/>
      </c>
      <c r="AE48" s="53" t="str">
        <f t="shared" si="3"/>
        <v/>
      </c>
      <c r="AF48" s="53" t="str">
        <f t="shared" si="4"/>
        <v/>
      </c>
      <c r="AG48" s="53" t="str">
        <f t="shared" si="5"/>
        <v/>
      </c>
      <c r="AH48" s="53">
        <f t="shared" si="6"/>
        <v>0</v>
      </c>
      <c r="AI48" s="53">
        <f t="shared" si="7"/>
        <v>0</v>
      </c>
      <c r="AJ48" s="53">
        <f t="shared" si="8"/>
        <v>0</v>
      </c>
      <c r="AK48" s="53">
        <f t="shared" si="9"/>
        <v>0</v>
      </c>
      <c r="AL48" s="53">
        <f t="shared" si="10"/>
        <v>0</v>
      </c>
      <c r="AM48" s="53">
        <f>IF($AA48="",0,IF(INDEX(Fertilisants!$C$8:$C$47,$AA48)="Effluent d'élevage",1,0))</f>
        <v>0</v>
      </c>
      <c r="AN48" s="53" t="str">
        <f>IF($AA48="","",IF(INDEX(Fertilisants!$C$8:$C$47,$AA48)="Engrais minéral","Minéral","Organique"))</f>
        <v/>
      </c>
      <c r="AO48" s="53" t="str">
        <f t="shared" si="11"/>
        <v/>
      </c>
      <c r="AP48" s="53" t="str">
        <f t="shared" si="12"/>
        <v/>
      </c>
      <c r="AQ48" s="53" t="str">
        <f t="shared" si="13"/>
        <v/>
      </c>
      <c r="AR48" s="53" t="str">
        <f>IF(AND($D48&lt;&gt;"",$D48=FicheIlot),COUNTIF($D$8:$D48,FicheIlot),"")</f>
        <v/>
      </c>
    </row>
    <row r="49" spans="2:44" ht="18.95" customHeight="1" x14ac:dyDescent="0.25">
      <c r="B49" s="42" t="str">
        <f>IF(C49="","",COUNT($C$8:C49))</f>
        <v/>
      </c>
      <c r="C49" s="43"/>
      <c r="D49" s="44"/>
      <c r="E49" s="45" t="str">
        <f>IF($Z49="","",IF($F49=ApportCouvert,INDEX(Îlots!$I$8:$I$57,$Z49)&amp;"",INDEX(Îlots!$N$8:$N$57,$Z49)&amp;""))</f>
        <v/>
      </c>
      <c r="F49" s="44"/>
      <c r="G49" s="44"/>
      <c r="H49" s="46" t="str">
        <f>IF($AA49="","",INDEX(Fertilisants!$D$8:$D$47,$AA49)&amp;"")</f>
        <v/>
      </c>
      <c r="I49" s="47"/>
      <c r="J49" s="48"/>
      <c r="K49" s="46" t="str">
        <f>IF($AA49="","",INDEX(Fertilisants!$E$8:$E$47,$AA49)&amp;"")</f>
        <v/>
      </c>
      <c r="L49" s="49" t="str">
        <f t="shared" si="0"/>
        <v/>
      </c>
      <c r="M49" s="50" t="str">
        <f>IF(OR($J49="",$AA49=""),"",$J49*N(INDEX(Fertilisants!$G$8:$G$47,$AA49)))</f>
        <v/>
      </c>
      <c r="N49" s="50" t="str">
        <f>IF(OR($J49="",$AA49=""),"",$J49*N(INDEX(Fertilisants!$I$8:$I$47,$AA49)))</f>
        <v/>
      </c>
      <c r="O49" s="50" t="str">
        <f>IF(OR($J49="",$AA49=""),"",$J49*N(INDEX(Fertilisants!$J$8:$J$47,$AA49)))</f>
        <v/>
      </c>
      <c r="P49" s="50" t="str">
        <f>IF(OR($J49="",$AA49=""),"",$J49*N(INDEX(Fertilisants!$K$8:$K$47,$AA49)))</f>
        <v/>
      </c>
      <c r="Q49" s="50" t="str">
        <f t="shared" si="1"/>
        <v/>
      </c>
      <c r="R49" s="44"/>
      <c r="S49" s="44"/>
      <c r="T49" s="51"/>
      <c r="U49" s="44"/>
      <c r="V49" s="43"/>
      <c r="W49" s="52" t="str">
        <f t="shared" si="2"/>
        <v/>
      </c>
      <c r="X49" s="44"/>
      <c r="Z49" s="53" t="str">
        <f>IF($D49="","",IFERROR(MATCH($D49,Îlots!$D$8:$D$57,0),""))</f>
        <v/>
      </c>
      <c r="AA49" s="53" t="str">
        <f>IF($G49="","",IFERROR(MATCH($G49,Fertilisants!$B$8:$B$47,0),""))</f>
        <v/>
      </c>
      <c r="AB49" s="53" t="str">
        <f>IF($Z49="","",INDEX(Îlots!$E$8:$E$57,$Z49))</f>
        <v/>
      </c>
      <c r="AC49" s="53" t="str">
        <f>IF($Z49="","",INDEX(Îlots!$G$8:$G$57,$Z49)&amp;"")</f>
        <v/>
      </c>
      <c r="AD49" s="53" t="str">
        <f>IF($Z49="","",IF($F49=ApportCouvert,OccCouvert,INDEX(Îlots!$O$8:$O$57,$Z49)&amp;""))</f>
        <v/>
      </c>
      <c r="AE49" s="53" t="str">
        <f t="shared" si="3"/>
        <v/>
      </c>
      <c r="AF49" s="53" t="str">
        <f t="shared" si="4"/>
        <v/>
      </c>
      <c r="AG49" s="53" t="str">
        <f t="shared" si="5"/>
        <v/>
      </c>
      <c r="AH49" s="53">
        <f t="shared" si="6"/>
        <v>0</v>
      </c>
      <c r="AI49" s="53">
        <f t="shared" si="7"/>
        <v>0</v>
      </c>
      <c r="AJ49" s="53">
        <f t="shared" si="8"/>
        <v>0</v>
      </c>
      <c r="AK49" s="53">
        <f t="shared" si="9"/>
        <v>0</v>
      </c>
      <c r="AL49" s="53">
        <f t="shared" si="10"/>
        <v>0</v>
      </c>
      <c r="AM49" s="53">
        <f>IF($AA49="",0,IF(INDEX(Fertilisants!$C$8:$C$47,$AA49)="Effluent d'élevage",1,0))</f>
        <v>0</v>
      </c>
      <c r="AN49" s="53" t="str">
        <f>IF($AA49="","",IF(INDEX(Fertilisants!$C$8:$C$47,$AA49)="Engrais minéral","Minéral","Organique"))</f>
        <v/>
      </c>
      <c r="AO49" s="53" t="str">
        <f t="shared" si="11"/>
        <v/>
      </c>
      <c r="AP49" s="53" t="str">
        <f t="shared" si="12"/>
        <v/>
      </c>
      <c r="AQ49" s="53" t="str">
        <f t="shared" si="13"/>
        <v/>
      </c>
      <c r="AR49" s="53" t="str">
        <f>IF(AND($D49&lt;&gt;"",$D49=FicheIlot),COUNTIF($D$8:$D49,FicheIlot),"")</f>
        <v/>
      </c>
    </row>
    <row r="50" spans="2:44" ht="18.95" customHeight="1" x14ac:dyDescent="0.25">
      <c r="B50" s="42" t="str">
        <f>IF(C50="","",COUNT($C$8:C50))</f>
        <v/>
      </c>
      <c r="C50" s="43"/>
      <c r="D50" s="44"/>
      <c r="E50" s="45" t="str">
        <f>IF($Z50="","",IF($F50=ApportCouvert,INDEX(Îlots!$I$8:$I$57,$Z50)&amp;"",INDEX(Îlots!$N$8:$N$57,$Z50)&amp;""))</f>
        <v/>
      </c>
      <c r="F50" s="44"/>
      <c r="G50" s="44"/>
      <c r="H50" s="46" t="str">
        <f>IF($AA50="","",INDEX(Fertilisants!$D$8:$D$47,$AA50)&amp;"")</f>
        <v/>
      </c>
      <c r="I50" s="47"/>
      <c r="J50" s="48"/>
      <c r="K50" s="46" t="str">
        <f>IF($AA50="","",INDEX(Fertilisants!$E$8:$E$47,$AA50)&amp;"")</f>
        <v/>
      </c>
      <c r="L50" s="49" t="str">
        <f t="shared" si="0"/>
        <v/>
      </c>
      <c r="M50" s="50" t="str">
        <f>IF(OR($J50="",$AA50=""),"",$J50*N(INDEX(Fertilisants!$G$8:$G$47,$AA50)))</f>
        <v/>
      </c>
      <c r="N50" s="50" t="str">
        <f>IF(OR($J50="",$AA50=""),"",$J50*N(INDEX(Fertilisants!$I$8:$I$47,$AA50)))</f>
        <v/>
      </c>
      <c r="O50" s="50" t="str">
        <f>IF(OR($J50="",$AA50=""),"",$J50*N(INDEX(Fertilisants!$J$8:$J$47,$AA50)))</f>
        <v/>
      </c>
      <c r="P50" s="50" t="str">
        <f>IF(OR($J50="",$AA50=""),"",$J50*N(INDEX(Fertilisants!$K$8:$K$47,$AA50)))</f>
        <v/>
      </c>
      <c r="Q50" s="50" t="str">
        <f t="shared" si="1"/>
        <v/>
      </c>
      <c r="R50" s="44"/>
      <c r="S50" s="44"/>
      <c r="T50" s="51"/>
      <c r="U50" s="44"/>
      <c r="V50" s="43"/>
      <c r="W50" s="52" t="str">
        <f t="shared" si="2"/>
        <v/>
      </c>
      <c r="X50" s="44"/>
      <c r="Z50" s="53" t="str">
        <f>IF($D50="","",IFERROR(MATCH($D50,Îlots!$D$8:$D$57,0),""))</f>
        <v/>
      </c>
      <c r="AA50" s="53" t="str">
        <f>IF($G50="","",IFERROR(MATCH($G50,Fertilisants!$B$8:$B$47,0),""))</f>
        <v/>
      </c>
      <c r="AB50" s="53" t="str">
        <f>IF($Z50="","",INDEX(Îlots!$E$8:$E$57,$Z50))</f>
        <v/>
      </c>
      <c r="AC50" s="53" t="str">
        <f>IF($Z50="","",INDEX(Îlots!$G$8:$G$57,$Z50)&amp;"")</f>
        <v/>
      </c>
      <c r="AD50" s="53" t="str">
        <f>IF($Z50="","",IF($F50=ApportCouvert,OccCouvert,INDEX(Îlots!$O$8:$O$57,$Z50)&amp;""))</f>
        <v/>
      </c>
      <c r="AE50" s="53" t="str">
        <f t="shared" si="3"/>
        <v/>
      </c>
      <c r="AF50" s="53" t="str">
        <f t="shared" si="4"/>
        <v/>
      </c>
      <c r="AG50" s="53" t="str">
        <f t="shared" si="5"/>
        <v/>
      </c>
      <c r="AH50" s="53">
        <f t="shared" si="6"/>
        <v>0</v>
      </c>
      <c r="AI50" s="53">
        <f t="shared" si="7"/>
        <v>0</v>
      </c>
      <c r="AJ50" s="53">
        <f t="shared" si="8"/>
        <v>0</v>
      </c>
      <c r="AK50" s="53">
        <f t="shared" si="9"/>
        <v>0</v>
      </c>
      <c r="AL50" s="53">
        <f t="shared" si="10"/>
        <v>0</v>
      </c>
      <c r="AM50" s="53">
        <f>IF($AA50="",0,IF(INDEX(Fertilisants!$C$8:$C$47,$AA50)="Effluent d'élevage",1,0))</f>
        <v>0</v>
      </c>
      <c r="AN50" s="53" t="str">
        <f>IF($AA50="","",IF(INDEX(Fertilisants!$C$8:$C$47,$AA50)="Engrais minéral","Minéral","Organique"))</f>
        <v/>
      </c>
      <c r="AO50" s="53" t="str">
        <f t="shared" si="11"/>
        <v/>
      </c>
      <c r="AP50" s="53" t="str">
        <f t="shared" si="12"/>
        <v/>
      </c>
      <c r="AQ50" s="53" t="str">
        <f t="shared" si="13"/>
        <v/>
      </c>
      <c r="AR50" s="53" t="str">
        <f>IF(AND($D50&lt;&gt;"",$D50=FicheIlot),COUNTIF($D$8:$D50,FicheIlot),"")</f>
        <v/>
      </c>
    </row>
    <row r="51" spans="2:44" ht="18.95" customHeight="1" x14ac:dyDescent="0.25">
      <c r="B51" s="42" t="str">
        <f>IF(C51="","",COUNT($C$8:C51))</f>
        <v/>
      </c>
      <c r="C51" s="43"/>
      <c r="D51" s="44"/>
      <c r="E51" s="45" t="str">
        <f>IF($Z51="","",IF($F51=ApportCouvert,INDEX(Îlots!$I$8:$I$57,$Z51)&amp;"",INDEX(Îlots!$N$8:$N$57,$Z51)&amp;""))</f>
        <v/>
      </c>
      <c r="F51" s="44"/>
      <c r="G51" s="44"/>
      <c r="H51" s="46" t="str">
        <f>IF($AA51="","",INDEX(Fertilisants!$D$8:$D$47,$AA51)&amp;"")</f>
        <v/>
      </c>
      <c r="I51" s="47"/>
      <c r="J51" s="48"/>
      <c r="K51" s="46" t="str">
        <f>IF($AA51="","",INDEX(Fertilisants!$E$8:$E$47,$AA51)&amp;"")</f>
        <v/>
      </c>
      <c r="L51" s="49" t="str">
        <f t="shared" si="0"/>
        <v/>
      </c>
      <c r="M51" s="50" t="str">
        <f>IF(OR($J51="",$AA51=""),"",$J51*N(INDEX(Fertilisants!$G$8:$G$47,$AA51)))</f>
        <v/>
      </c>
      <c r="N51" s="50" t="str">
        <f>IF(OR($J51="",$AA51=""),"",$J51*N(INDEX(Fertilisants!$I$8:$I$47,$AA51)))</f>
        <v/>
      </c>
      <c r="O51" s="50" t="str">
        <f>IF(OR($J51="",$AA51=""),"",$J51*N(INDEX(Fertilisants!$J$8:$J$47,$AA51)))</f>
        <v/>
      </c>
      <c r="P51" s="50" t="str">
        <f>IF(OR($J51="",$AA51=""),"",$J51*N(INDEX(Fertilisants!$K$8:$K$47,$AA51)))</f>
        <v/>
      </c>
      <c r="Q51" s="50" t="str">
        <f t="shared" si="1"/>
        <v/>
      </c>
      <c r="R51" s="44"/>
      <c r="S51" s="44"/>
      <c r="T51" s="51"/>
      <c r="U51" s="44"/>
      <c r="V51" s="43"/>
      <c r="W51" s="52" t="str">
        <f t="shared" si="2"/>
        <v/>
      </c>
      <c r="X51" s="44"/>
      <c r="Z51" s="53" t="str">
        <f>IF($D51="","",IFERROR(MATCH($D51,Îlots!$D$8:$D$57,0),""))</f>
        <v/>
      </c>
      <c r="AA51" s="53" t="str">
        <f>IF($G51="","",IFERROR(MATCH($G51,Fertilisants!$B$8:$B$47,0),""))</f>
        <v/>
      </c>
      <c r="AB51" s="53" t="str">
        <f>IF($Z51="","",INDEX(Îlots!$E$8:$E$57,$Z51))</f>
        <v/>
      </c>
      <c r="AC51" s="53" t="str">
        <f>IF($Z51="","",INDEX(Îlots!$G$8:$G$57,$Z51)&amp;"")</f>
        <v/>
      </c>
      <c r="AD51" s="53" t="str">
        <f>IF($Z51="","",IF($F51=ApportCouvert,OccCouvert,INDEX(Îlots!$O$8:$O$57,$Z51)&amp;""))</f>
        <v/>
      </c>
      <c r="AE51" s="53" t="str">
        <f t="shared" si="3"/>
        <v/>
      </c>
      <c r="AF51" s="53" t="str">
        <f t="shared" si="4"/>
        <v/>
      </c>
      <c r="AG51" s="53" t="str">
        <f t="shared" si="5"/>
        <v/>
      </c>
      <c r="AH51" s="53">
        <f t="shared" si="6"/>
        <v>0</v>
      </c>
      <c r="AI51" s="53">
        <f t="shared" si="7"/>
        <v>0</v>
      </c>
      <c r="AJ51" s="53">
        <f t="shared" si="8"/>
        <v>0</v>
      </c>
      <c r="AK51" s="53">
        <f t="shared" si="9"/>
        <v>0</v>
      </c>
      <c r="AL51" s="53">
        <f t="shared" si="10"/>
        <v>0</v>
      </c>
      <c r="AM51" s="53">
        <f>IF($AA51="",0,IF(INDEX(Fertilisants!$C$8:$C$47,$AA51)="Effluent d'élevage",1,0))</f>
        <v>0</v>
      </c>
      <c r="AN51" s="53" t="str">
        <f>IF($AA51="","",IF(INDEX(Fertilisants!$C$8:$C$47,$AA51)="Engrais minéral","Minéral","Organique"))</f>
        <v/>
      </c>
      <c r="AO51" s="53" t="str">
        <f t="shared" si="11"/>
        <v/>
      </c>
      <c r="AP51" s="53" t="str">
        <f t="shared" si="12"/>
        <v/>
      </c>
      <c r="AQ51" s="53" t="str">
        <f t="shared" si="13"/>
        <v/>
      </c>
      <c r="AR51" s="53" t="str">
        <f>IF(AND($D51&lt;&gt;"",$D51=FicheIlot),COUNTIF($D$8:$D51,FicheIlot),"")</f>
        <v/>
      </c>
    </row>
    <row r="52" spans="2:44" ht="18.95" customHeight="1" x14ac:dyDescent="0.25">
      <c r="B52" s="42" t="str">
        <f>IF(C52="","",COUNT($C$8:C52))</f>
        <v/>
      </c>
      <c r="C52" s="43"/>
      <c r="D52" s="44"/>
      <c r="E52" s="45" t="str">
        <f>IF($Z52="","",IF($F52=ApportCouvert,INDEX(Îlots!$I$8:$I$57,$Z52)&amp;"",INDEX(Îlots!$N$8:$N$57,$Z52)&amp;""))</f>
        <v/>
      </c>
      <c r="F52" s="44"/>
      <c r="G52" s="44"/>
      <c r="H52" s="46" t="str">
        <f>IF($AA52="","",INDEX(Fertilisants!$D$8:$D$47,$AA52)&amp;"")</f>
        <v/>
      </c>
      <c r="I52" s="47"/>
      <c r="J52" s="48"/>
      <c r="K52" s="46" t="str">
        <f>IF($AA52="","",INDEX(Fertilisants!$E$8:$E$47,$AA52)&amp;"")</f>
        <v/>
      </c>
      <c r="L52" s="49" t="str">
        <f t="shared" si="0"/>
        <v/>
      </c>
      <c r="M52" s="50" t="str">
        <f>IF(OR($J52="",$AA52=""),"",$J52*N(INDEX(Fertilisants!$G$8:$G$47,$AA52)))</f>
        <v/>
      </c>
      <c r="N52" s="50" t="str">
        <f>IF(OR($J52="",$AA52=""),"",$J52*N(INDEX(Fertilisants!$I$8:$I$47,$AA52)))</f>
        <v/>
      </c>
      <c r="O52" s="50" t="str">
        <f>IF(OR($J52="",$AA52=""),"",$J52*N(INDEX(Fertilisants!$J$8:$J$47,$AA52)))</f>
        <v/>
      </c>
      <c r="P52" s="50" t="str">
        <f>IF(OR($J52="",$AA52=""),"",$J52*N(INDEX(Fertilisants!$K$8:$K$47,$AA52)))</f>
        <v/>
      </c>
      <c r="Q52" s="50" t="str">
        <f t="shared" si="1"/>
        <v/>
      </c>
      <c r="R52" s="44"/>
      <c r="S52" s="44"/>
      <c r="T52" s="51"/>
      <c r="U52" s="44"/>
      <c r="V52" s="43"/>
      <c r="W52" s="52" t="str">
        <f t="shared" si="2"/>
        <v/>
      </c>
      <c r="X52" s="44"/>
      <c r="Z52" s="53" t="str">
        <f>IF($D52="","",IFERROR(MATCH($D52,Îlots!$D$8:$D$57,0),""))</f>
        <v/>
      </c>
      <c r="AA52" s="53" t="str">
        <f>IF($G52="","",IFERROR(MATCH($G52,Fertilisants!$B$8:$B$47,0),""))</f>
        <v/>
      </c>
      <c r="AB52" s="53" t="str">
        <f>IF($Z52="","",INDEX(Îlots!$E$8:$E$57,$Z52))</f>
        <v/>
      </c>
      <c r="AC52" s="53" t="str">
        <f>IF($Z52="","",INDEX(Îlots!$G$8:$G$57,$Z52)&amp;"")</f>
        <v/>
      </c>
      <c r="AD52" s="53" t="str">
        <f>IF($Z52="","",IF($F52=ApportCouvert,OccCouvert,INDEX(Îlots!$O$8:$O$57,$Z52)&amp;""))</f>
        <v/>
      </c>
      <c r="AE52" s="53" t="str">
        <f t="shared" si="3"/>
        <v/>
      </c>
      <c r="AF52" s="53" t="str">
        <f t="shared" si="4"/>
        <v/>
      </c>
      <c r="AG52" s="53" t="str">
        <f t="shared" si="5"/>
        <v/>
      </c>
      <c r="AH52" s="53">
        <f t="shared" si="6"/>
        <v>0</v>
      </c>
      <c r="AI52" s="53">
        <f t="shared" si="7"/>
        <v>0</v>
      </c>
      <c r="AJ52" s="53">
        <f t="shared" si="8"/>
        <v>0</v>
      </c>
      <c r="AK52" s="53">
        <f t="shared" si="9"/>
        <v>0</v>
      </c>
      <c r="AL52" s="53">
        <f t="shared" si="10"/>
        <v>0</v>
      </c>
      <c r="AM52" s="53">
        <f>IF($AA52="",0,IF(INDEX(Fertilisants!$C$8:$C$47,$AA52)="Effluent d'élevage",1,0))</f>
        <v>0</v>
      </c>
      <c r="AN52" s="53" t="str">
        <f>IF($AA52="","",IF(INDEX(Fertilisants!$C$8:$C$47,$AA52)="Engrais minéral","Minéral","Organique"))</f>
        <v/>
      </c>
      <c r="AO52" s="53" t="str">
        <f t="shared" si="11"/>
        <v/>
      </c>
      <c r="AP52" s="53" t="str">
        <f t="shared" si="12"/>
        <v/>
      </c>
      <c r="AQ52" s="53" t="str">
        <f t="shared" si="13"/>
        <v/>
      </c>
      <c r="AR52" s="53" t="str">
        <f>IF(AND($D52&lt;&gt;"",$D52=FicheIlot),COUNTIF($D$8:$D52,FicheIlot),"")</f>
        <v/>
      </c>
    </row>
    <row r="53" spans="2:44" ht="18.95" customHeight="1" x14ac:dyDescent="0.25">
      <c r="B53" s="42" t="str">
        <f>IF(C53="","",COUNT($C$8:C53))</f>
        <v/>
      </c>
      <c r="C53" s="43"/>
      <c r="D53" s="44"/>
      <c r="E53" s="45" t="str">
        <f>IF($Z53="","",IF($F53=ApportCouvert,INDEX(Îlots!$I$8:$I$57,$Z53)&amp;"",INDEX(Îlots!$N$8:$N$57,$Z53)&amp;""))</f>
        <v/>
      </c>
      <c r="F53" s="44"/>
      <c r="G53" s="44"/>
      <c r="H53" s="46" t="str">
        <f>IF($AA53="","",INDEX(Fertilisants!$D$8:$D$47,$AA53)&amp;"")</f>
        <v/>
      </c>
      <c r="I53" s="47"/>
      <c r="J53" s="48"/>
      <c r="K53" s="46" t="str">
        <f>IF($AA53="","",INDEX(Fertilisants!$E$8:$E$47,$AA53)&amp;"")</f>
        <v/>
      </c>
      <c r="L53" s="49" t="str">
        <f t="shared" si="0"/>
        <v/>
      </c>
      <c r="M53" s="50" t="str">
        <f>IF(OR($J53="",$AA53=""),"",$J53*N(INDEX(Fertilisants!$G$8:$G$47,$AA53)))</f>
        <v/>
      </c>
      <c r="N53" s="50" t="str">
        <f>IF(OR($J53="",$AA53=""),"",$J53*N(INDEX(Fertilisants!$I$8:$I$47,$AA53)))</f>
        <v/>
      </c>
      <c r="O53" s="50" t="str">
        <f>IF(OR($J53="",$AA53=""),"",$J53*N(INDEX(Fertilisants!$J$8:$J$47,$AA53)))</f>
        <v/>
      </c>
      <c r="P53" s="50" t="str">
        <f>IF(OR($J53="",$AA53=""),"",$J53*N(INDEX(Fertilisants!$K$8:$K$47,$AA53)))</f>
        <v/>
      </c>
      <c r="Q53" s="50" t="str">
        <f t="shared" si="1"/>
        <v/>
      </c>
      <c r="R53" s="44"/>
      <c r="S53" s="44"/>
      <c r="T53" s="51"/>
      <c r="U53" s="44"/>
      <c r="V53" s="43"/>
      <c r="W53" s="52" t="str">
        <f t="shared" si="2"/>
        <v/>
      </c>
      <c r="X53" s="44"/>
      <c r="Z53" s="53" t="str">
        <f>IF($D53="","",IFERROR(MATCH($D53,Îlots!$D$8:$D$57,0),""))</f>
        <v/>
      </c>
      <c r="AA53" s="53" t="str">
        <f>IF($G53="","",IFERROR(MATCH($G53,Fertilisants!$B$8:$B$47,0),""))</f>
        <v/>
      </c>
      <c r="AB53" s="53" t="str">
        <f>IF($Z53="","",INDEX(Îlots!$E$8:$E$57,$Z53))</f>
        <v/>
      </c>
      <c r="AC53" s="53" t="str">
        <f>IF($Z53="","",INDEX(Îlots!$G$8:$G$57,$Z53)&amp;"")</f>
        <v/>
      </c>
      <c r="AD53" s="53" t="str">
        <f>IF($Z53="","",IF($F53=ApportCouvert,OccCouvert,INDEX(Îlots!$O$8:$O$57,$Z53)&amp;""))</f>
        <v/>
      </c>
      <c r="AE53" s="53" t="str">
        <f t="shared" si="3"/>
        <v/>
      </c>
      <c r="AF53" s="53" t="str">
        <f t="shared" si="4"/>
        <v/>
      </c>
      <c r="AG53" s="53" t="str">
        <f t="shared" si="5"/>
        <v/>
      </c>
      <c r="AH53" s="53">
        <f t="shared" si="6"/>
        <v>0</v>
      </c>
      <c r="AI53" s="53">
        <f t="shared" si="7"/>
        <v>0</v>
      </c>
      <c r="AJ53" s="53">
        <f t="shared" si="8"/>
        <v>0</v>
      </c>
      <c r="AK53" s="53">
        <f t="shared" si="9"/>
        <v>0</v>
      </c>
      <c r="AL53" s="53">
        <f t="shared" si="10"/>
        <v>0</v>
      </c>
      <c r="AM53" s="53">
        <f>IF($AA53="",0,IF(INDEX(Fertilisants!$C$8:$C$47,$AA53)="Effluent d'élevage",1,0))</f>
        <v>0</v>
      </c>
      <c r="AN53" s="53" t="str">
        <f>IF($AA53="","",IF(INDEX(Fertilisants!$C$8:$C$47,$AA53)="Engrais minéral","Minéral","Organique"))</f>
        <v/>
      </c>
      <c r="AO53" s="53" t="str">
        <f t="shared" si="11"/>
        <v/>
      </c>
      <c r="AP53" s="53" t="str">
        <f t="shared" si="12"/>
        <v/>
      </c>
      <c r="AQ53" s="53" t="str">
        <f t="shared" si="13"/>
        <v/>
      </c>
      <c r="AR53" s="53" t="str">
        <f>IF(AND($D53&lt;&gt;"",$D53=FicheIlot),COUNTIF($D$8:$D53,FicheIlot),"")</f>
        <v/>
      </c>
    </row>
    <row r="54" spans="2:44" ht="18.95" customHeight="1" x14ac:dyDescent="0.25">
      <c r="B54" s="42" t="str">
        <f>IF(C54="","",COUNT($C$8:C54))</f>
        <v/>
      </c>
      <c r="C54" s="43"/>
      <c r="D54" s="44"/>
      <c r="E54" s="45" t="str">
        <f>IF($Z54="","",IF($F54=ApportCouvert,INDEX(Îlots!$I$8:$I$57,$Z54)&amp;"",INDEX(Îlots!$N$8:$N$57,$Z54)&amp;""))</f>
        <v/>
      </c>
      <c r="F54" s="44"/>
      <c r="G54" s="44"/>
      <c r="H54" s="46" t="str">
        <f>IF($AA54="","",INDEX(Fertilisants!$D$8:$D$47,$AA54)&amp;"")</f>
        <v/>
      </c>
      <c r="I54" s="47"/>
      <c r="J54" s="48"/>
      <c r="K54" s="46" t="str">
        <f>IF($AA54="","",INDEX(Fertilisants!$E$8:$E$47,$AA54)&amp;"")</f>
        <v/>
      </c>
      <c r="L54" s="49" t="str">
        <f t="shared" si="0"/>
        <v/>
      </c>
      <c r="M54" s="50" t="str">
        <f>IF(OR($J54="",$AA54=""),"",$J54*N(INDEX(Fertilisants!$G$8:$G$47,$AA54)))</f>
        <v/>
      </c>
      <c r="N54" s="50" t="str">
        <f>IF(OR($J54="",$AA54=""),"",$J54*N(INDEX(Fertilisants!$I$8:$I$47,$AA54)))</f>
        <v/>
      </c>
      <c r="O54" s="50" t="str">
        <f>IF(OR($J54="",$AA54=""),"",$J54*N(INDEX(Fertilisants!$J$8:$J$47,$AA54)))</f>
        <v/>
      </c>
      <c r="P54" s="50" t="str">
        <f>IF(OR($J54="",$AA54=""),"",$J54*N(INDEX(Fertilisants!$K$8:$K$47,$AA54)))</f>
        <v/>
      </c>
      <c r="Q54" s="50" t="str">
        <f t="shared" si="1"/>
        <v/>
      </c>
      <c r="R54" s="44"/>
      <c r="S54" s="44"/>
      <c r="T54" s="51"/>
      <c r="U54" s="44"/>
      <c r="V54" s="43"/>
      <c r="W54" s="52" t="str">
        <f t="shared" si="2"/>
        <v/>
      </c>
      <c r="X54" s="44"/>
      <c r="Z54" s="53" t="str">
        <f>IF($D54="","",IFERROR(MATCH($D54,Îlots!$D$8:$D$57,0),""))</f>
        <v/>
      </c>
      <c r="AA54" s="53" t="str">
        <f>IF($G54="","",IFERROR(MATCH($G54,Fertilisants!$B$8:$B$47,0),""))</f>
        <v/>
      </c>
      <c r="AB54" s="53" t="str">
        <f>IF($Z54="","",INDEX(Îlots!$E$8:$E$57,$Z54))</f>
        <v/>
      </c>
      <c r="AC54" s="53" t="str">
        <f>IF($Z54="","",INDEX(Îlots!$G$8:$G$57,$Z54)&amp;"")</f>
        <v/>
      </c>
      <c r="AD54" s="53" t="str">
        <f>IF($Z54="","",IF($F54=ApportCouvert,OccCouvert,INDEX(Îlots!$O$8:$O$57,$Z54)&amp;""))</f>
        <v/>
      </c>
      <c r="AE54" s="53" t="str">
        <f t="shared" si="3"/>
        <v/>
      </c>
      <c r="AF54" s="53" t="str">
        <f t="shared" si="4"/>
        <v/>
      </c>
      <c r="AG54" s="53" t="str">
        <f t="shared" si="5"/>
        <v/>
      </c>
      <c r="AH54" s="53">
        <f t="shared" si="6"/>
        <v>0</v>
      </c>
      <c r="AI54" s="53">
        <f t="shared" si="7"/>
        <v>0</v>
      </c>
      <c r="AJ54" s="53">
        <f t="shared" si="8"/>
        <v>0</v>
      </c>
      <c r="AK54" s="53">
        <f t="shared" si="9"/>
        <v>0</v>
      </c>
      <c r="AL54" s="53">
        <f t="shared" si="10"/>
        <v>0</v>
      </c>
      <c r="AM54" s="53">
        <f>IF($AA54="",0,IF(INDEX(Fertilisants!$C$8:$C$47,$AA54)="Effluent d'élevage",1,0))</f>
        <v>0</v>
      </c>
      <c r="AN54" s="53" t="str">
        <f>IF($AA54="","",IF(INDEX(Fertilisants!$C$8:$C$47,$AA54)="Engrais minéral","Minéral","Organique"))</f>
        <v/>
      </c>
      <c r="AO54" s="53" t="str">
        <f t="shared" si="11"/>
        <v/>
      </c>
      <c r="AP54" s="53" t="str">
        <f t="shared" si="12"/>
        <v/>
      </c>
      <c r="AQ54" s="53" t="str">
        <f t="shared" si="13"/>
        <v/>
      </c>
      <c r="AR54" s="53" t="str">
        <f>IF(AND($D54&lt;&gt;"",$D54=FicheIlot),COUNTIF($D$8:$D54,FicheIlot),"")</f>
        <v/>
      </c>
    </row>
    <row r="55" spans="2:44" ht="18.95" customHeight="1" x14ac:dyDescent="0.25">
      <c r="B55" s="42" t="str">
        <f>IF(C55="","",COUNT($C$8:C55))</f>
        <v/>
      </c>
      <c r="C55" s="43"/>
      <c r="D55" s="44"/>
      <c r="E55" s="45" t="str">
        <f>IF($Z55="","",IF($F55=ApportCouvert,INDEX(Îlots!$I$8:$I$57,$Z55)&amp;"",INDEX(Îlots!$N$8:$N$57,$Z55)&amp;""))</f>
        <v/>
      </c>
      <c r="F55" s="44"/>
      <c r="G55" s="44"/>
      <c r="H55" s="46" t="str">
        <f>IF($AA55="","",INDEX(Fertilisants!$D$8:$D$47,$AA55)&amp;"")</f>
        <v/>
      </c>
      <c r="I55" s="47"/>
      <c r="J55" s="48"/>
      <c r="K55" s="46" t="str">
        <f>IF($AA55="","",INDEX(Fertilisants!$E$8:$E$47,$AA55)&amp;"")</f>
        <v/>
      </c>
      <c r="L55" s="49" t="str">
        <f t="shared" si="0"/>
        <v/>
      </c>
      <c r="M55" s="50" t="str">
        <f>IF(OR($J55="",$AA55=""),"",$J55*N(INDEX(Fertilisants!$G$8:$G$47,$AA55)))</f>
        <v/>
      </c>
      <c r="N55" s="50" t="str">
        <f>IF(OR($J55="",$AA55=""),"",$J55*N(INDEX(Fertilisants!$I$8:$I$47,$AA55)))</f>
        <v/>
      </c>
      <c r="O55" s="50" t="str">
        <f>IF(OR($J55="",$AA55=""),"",$J55*N(INDEX(Fertilisants!$J$8:$J$47,$AA55)))</f>
        <v/>
      </c>
      <c r="P55" s="50" t="str">
        <f>IF(OR($J55="",$AA55=""),"",$J55*N(INDEX(Fertilisants!$K$8:$K$47,$AA55)))</f>
        <v/>
      </c>
      <c r="Q55" s="50" t="str">
        <f t="shared" si="1"/>
        <v/>
      </c>
      <c r="R55" s="44"/>
      <c r="S55" s="44"/>
      <c r="T55" s="51"/>
      <c r="U55" s="44"/>
      <c r="V55" s="43"/>
      <c r="W55" s="52" t="str">
        <f t="shared" si="2"/>
        <v/>
      </c>
      <c r="X55" s="44"/>
      <c r="Z55" s="53" t="str">
        <f>IF($D55="","",IFERROR(MATCH($D55,Îlots!$D$8:$D$57,0),""))</f>
        <v/>
      </c>
      <c r="AA55" s="53" t="str">
        <f>IF($G55="","",IFERROR(MATCH($G55,Fertilisants!$B$8:$B$47,0),""))</f>
        <v/>
      </c>
      <c r="AB55" s="53" t="str">
        <f>IF($Z55="","",INDEX(Îlots!$E$8:$E$57,$Z55))</f>
        <v/>
      </c>
      <c r="AC55" s="53" t="str">
        <f>IF($Z55="","",INDEX(Îlots!$G$8:$G$57,$Z55)&amp;"")</f>
        <v/>
      </c>
      <c r="AD55" s="53" t="str">
        <f>IF($Z55="","",IF($F55=ApportCouvert,OccCouvert,INDEX(Îlots!$O$8:$O$57,$Z55)&amp;""))</f>
        <v/>
      </c>
      <c r="AE55" s="53" t="str">
        <f t="shared" si="3"/>
        <v/>
      </c>
      <c r="AF55" s="53" t="str">
        <f t="shared" si="4"/>
        <v/>
      </c>
      <c r="AG55" s="53" t="str">
        <f t="shared" si="5"/>
        <v/>
      </c>
      <c r="AH55" s="53">
        <f t="shared" si="6"/>
        <v>0</v>
      </c>
      <c r="AI55" s="53">
        <f t="shared" si="7"/>
        <v>0</v>
      </c>
      <c r="AJ55" s="53">
        <f t="shared" si="8"/>
        <v>0</v>
      </c>
      <c r="AK55" s="53">
        <f t="shared" si="9"/>
        <v>0</v>
      </c>
      <c r="AL55" s="53">
        <f t="shared" si="10"/>
        <v>0</v>
      </c>
      <c r="AM55" s="53">
        <f>IF($AA55="",0,IF(INDEX(Fertilisants!$C$8:$C$47,$AA55)="Effluent d'élevage",1,0))</f>
        <v>0</v>
      </c>
      <c r="AN55" s="53" t="str">
        <f>IF($AA55="","",IF(INDEX(Fertilisants!$C$8:$C$47,$AA55)="Engrais minéral","Minéral","Organique"))</f>
        <v/>
      </c>
      <c r="AO55" s="53" t="str">
        <f t="shared" si="11"/>
        <v/>
      </c>
      <c r="AP55" s="53" t="str">
        <f t="shared" si="12"/>
        <v/>
      </c>
      <c r="AQ55" s="53" t="str">
        <f t="shared" si="13"/>
        <v/>
      </c>
      <c r="AR55" s="53" t="str">
        <f>IF(AND($D55&lt;&gt;"",$D55=FicheIlot),COUNTIF($D$8:$D55,FicheIlot),"")</f>
        <v/>
      </c>
    </row>
    <row r="56" spans="2:44" ht="18.95" customHeight="1" x14ac:dyDescent="0.25">
      <c r="B56" s="42" t="str">
        <f>IF(C56="","",COUNT($C$8:C56))</f>
        <v/>
      </c>
      <c r="C56" s="43"/>
      <c r="D56" s="44"/>
      <c r="E56" s="45" t="str">
        <f>IF($Z56="","",IF($F56=ApportCouvert,INDEX(Îlots!$I$8:$I$57,$Z56)&amp;"",INDEX(Îlots!$N$8:$N$57,$Z56)&amp;""))</f>
        <v/>
      </c>
      <c r="F56" s="44"/>
      <c r="G56" s="44"/>
      <c r="H56" s="46" t="str">
        <f>IF($AA56="","",INDEX(Fertilisants!$D$8:$D$47,$AA56)&amp;"")</f>
        <v/>
      </c>
      <c r="I56" s="47"/>
      <c r="J56" s="48"/>
      <c r="K56" s="46" t="str">
        <f>IF($AA56="","",INDEX(Fertilisants!$E$8:$E$47,$AA56)&amp;"")</f>
        <v/>
      </c>
      <c r="L56" s="49" t="str">
        <f t="shared" si="0"/>
        <v/>
      </c>
      <c r="M56" s="50" t="str">
        <f>IF(OR($J56="",$AA56=""),"",$J56*N(INDEX(Fertilisants!$G$8:$G$47,$AA56)))</f>
        <v/>
      </c>
      <c r="N56" s="50" t="str">
        <f>IF(OR($J56="",$AA56=""),"",$J56*N(INDEX(Fertilisants!$I$8:$I$47,$AA56)))</f>
        <v/>
      </c>
      <c r="O56" s="50" t="str">
        <f>IF(OR($J56="",$AA56=""),"",$J56*N(INDEX(Fertilisants!$J$8:$J$47,$AA56)))</f>
        <v/>
      </c>
      <c r="P56" s="50" t="str">
        <f>IF(OR($J56="",$AA56=""),"",$J56*N(INDEX(Fertilisants!$K$8:$K$47,$AA56)))</f>
        <v/>
      </c>
      <c r="Q56" s="50" t="str">
        <f t="shared" si="1"/>
        <v/>
      </c>
      <c r="R56" s="44"/>
      <c r="S56" s="44"/>
      <c r="T56" s="51"/>
      <c r="U56" s="44"/>
      <c r="V56" s="43"/>
      <c r="W56" s="52" t="str">
        <f t="shared" si="2"/>
        <v/>
      </c>
      <c r="X56" s="44"/>
      <c r="Z56" s="53" t="str">
        <f>IF($D56="","",IFERROR(MATCH($D56,Îlots!$D$8:$D$57,0),""))</f>
        <v/>
      </c>
      <c r="AA56" s="53" t="str">
        <f>IF($G56="","",IFERROR(MATCH($G56,Fertilisants!$B$8:$B$47,0),""))</f>
        <v/>
      </c>
      <c r="AB56" s="53" t="str">
        <f>IF($Z56="","",INDEX(Îlots!$E$8:$E$57,$Z56))</f>
        <v/>
      </c>
      <c r="AC56" s="53" t="str">
        <f>IF($Z56="","",INDEX(Îlots!$G$8:$G$57,$Z56)&amp;"")</f>
        <v/>
      </c>
      <c r="AD56" s="53" t="str">
        <f>IF($Z56="","",IF($F56=ApportCouvert,OccCouvert,INDEX(Îlots!$O$8:$O$57,$Z56)&amp;""))</f>
        <v/>
      </c>
      <c r="AE56" s="53" t="str">
        <f t="shared" si="3"/>
        <v/>
      </c>
      <c r="AF56" s="53" t="str">
        <f t="shared" si="4"/>
        <v/>
      </c>
      <c r="AG56" s="53" t="str">
        <f t="shared" si="5"/>
        <v/>
      </c>
      <c r="AH56" s="53">
        <f t="shared" si="6"/>
        <v>0</v>
      </c>
      <c r="AI56" s="53">
        <f t="shared" si="7"/>
        <v>0</v>
      </c>
      <c r="AJ56" s="53">
        <f t="shared" si="8"/>
        <v>0</v>
      </c>
      <c r="AK56" s="53">
        <f t="shared" si="9"/>
        <v>0</v>
      </c>
      <c r="AL56" s="53">
        <f t="shared" si="10"/>
        <v>0</v>
      </c>
      <c r="AM56" s="53">
        <f>IF($AA56="",0,IF(INDEX(Fertilisants!$C$8:$C$47,$AA56)="Effluent d'élevage",1,0))</f>
        <v>0</v>
      </c>
      <c r="AN56" s="53" t="str">
        <f>IF($AA56="","",IF(INDEX(Fertilisants!$C$8:$C$47,$AA56)="Engrais minéral","Minéral","Organique"))</f>
        <v/>
      </c>
      <c r="AO56" s="53" t="str">
        <f t="shared" si="11"/>
        <v/>
      </c>
      <c r="AP56" s="53" t="str">
        <f t="shared" si="12"/>
        <v/>
      </c>
      <c r="AQ56" s="53" t="str">
        <f t="shared" si="13"/>
        <v/>
      </c>
      <c r="AR56" s="53" t="str">
        <f>IF(AND($D56&lt;&gt;"",$D56=FicheIlot),COUNTIF($D$8:$D56,FicheIlot),"")</f>
        <v/>
      </c>
    </row>
    <row r="57" spans="2:44" ht="18.95" customHeight="1" x14ac:dyDescent="0.25">
      <c r="B57" s="42" t="str">
        <f>IF(C57="","",COUNT($C$8:C57))</f>
        <v/>
      </c>
      <c r="C57" s="43"/>
      <c r="D57" s="44"/>
      <c r="E57" s="45" t="str">
        <f>IF($Z57="","",IF($F57=ApportCouvert,INDEX(Îlots!$I$8:$I$57,$Z57)&amp;"",INDEX(Îlots!$N$8:$N$57,$Z57)&amp;""))</f>
        <v/>
      </c>
      <c r="F57" s="44"/>
      <c r="G57" s="44"/>
      <c r="H57" s="46" t="str">
        <f>IF($AA57="","",INDEX(Fertilisants!$D$8:$D$47,$AA57)&amp;"")</f>
        <v/>
      </c>
      <c r="I57" s="47"/>
      <c r="J57" s="48"/>
      <c r="K57" s="46" t="str">
        <f>IF($AA57="","",INDEX(Fertilisants!$E$8:$E$47,$AA57)&amp;"")</f>
        <v/>
      </c>
      <c r="L57" s="49" t="str">
        <f t="shared" si="0"/>
        <v/>
      </c>
      <c r="M57" s="50" t="str">
        <f>IF(OR($J57="",$AA57=""),"",$J57*N(INDEX(Fertilisants!$G$8:$G$47,$AA57)))</f>
        <v/>
      </c>
      <c r="N57" s="50" t="str">
        <f>IF(OR($J57="",$AA57=""),"",$J57*N(INDEX(Fertilisants!$I$8:$I$47,$AA57)))</f>
        <v/>
      </c>
      <c r="O57" s="50" t="str">
        <f>IF(OR($J57="",$AA57=""),"",$J57*N(INDEX(Fertilisants!$J$8:$J$47,$AA57)))</f>
        <v/>
      </c>
      <c r="P57" s="50" t="str">
        <f>IF(OR($J57="",$AA57=""),"",$J57*N(INDEX(Fertilisants!$K$8:$K$47,$AA57)))</f>
        <v/>
      </c>
      <c r="Q57" s="50" t="str">
        <f t="shared" si="1"/>
        <v/>
      </c>
      <c r="R57" s="44"/>
      <c r="S57" s="44"/>
      <c r="T57" s="51"/>
      <c r="U57" s="44"/>
      <c r="V57" s="43"/>
      <c r="W57" s="52" t="str">
        <f t="shared" si="2"/>
        <v/>
      </c>
      <c r="X57" s="44"/>
      <c r="Z57" s="53" t="str">
        <f>IF($D57="","",IFERROR(MATCH($D57,Îlots!$D$8:$D$57,0),""))</f>
        <v/>
      </c>
      <c r="AA57" s="53" t="str">
        <f>IF($G57="","",IFERROR(MATCH($G57,Fertilisants!$B$8:$B$47,0),""))</f>
        <v/>
      </c>
      <c r="AB57" s="53" t="str">
        <f>IF($Z57="","",INDEX(Îlots!$E$8:$E$57,$Z57))</f>
        <v/>
      </c>
      <c r="AC57" s="53" t="str">
        <f>IF($Z57="","",INDEX(Îlots!$G$8:$G$57,$Z57)&amp;"")</f>
        <v/>
      </c>
      <c r="AD57" s="53" t="str">
        <f>IF($Z57="","",IF($F57=ApportCouvert,OccCouvert,INDEX(Îlots!$O$8:$O$57,$Z57)&amp;""))</f>
        <v/>
      </c>
      <c r="AE57" s="53" t="str">
        <f t="shared" si="3"/>
        <v/>
      </c>
      <c r="AF57" s="53" t="str">
        <f t="shared" si="4"/>
        <v/>
      </c>
      <c r="AG57" s="53" t="str">
        <f t="shared" si="5"/>
        <v/>
      </c>
      <c r="AH57" s="53">
        <f t="shared" si="6"/>
        <v>0</v>
      </c>
      <c r="AI57" s="53">
        <f t="shared" si="7"/>
        <v>0</v>
      </c>
      <c r="AJ57" s="53">
        <f t="shared" si="8"/>
        <v>0</v>
      </c>
      <c r="AK57" s="53">
        <f t="shared" si="9"/>
        <v>0</v>
      </c>
      <c r="AL57" s="53">
        <f t="shared" si="10"/>
        <v>0</v>
      </c>
      <c r="AM57" s="53">
        <f>IF($AA57="",0,IF(INDEX(Fertilisants!$C$8:$C$47,$AA57)="Effluent d'élevage",1,0))</f>
        <v>0</v>
      </c>
      <c r="AN57" s="53" t="str">
        <f>IF($AA57="","",IF(INDEX(Fertilisants!$C$8:$C$47,$AA57)="Engrais minéral","Minéral","Organique"))</f>
        <v/>
      </c>
      <c r="AO57" s="53" t="str">
        <f t="shared" si="11"/>
        <v/>
      </c>
      <c r="AP57" s="53" t="str">
        <f t="shared" si="12"/>
        <v/>
      </c>
      <c r="AQ57" s="53" t="str">
        <f t="shared" si="13"/>
        <v/>
      </c>
      <c r="AR57" s="53" t="str">
        <f>IF(AND($D57&lt;&gt;"",$D57=FicheIlot),COUNTIF($D$8:$D57,FicheIlot),"")</f>
        <v/>
      </c>
    </row>
    <row r="58" spans="2:44" ht="18.95" customHeight="1" x14ac:dyDescent="0.25">
      <c r="B58" s="42" t="str">
        <f>IF(C58="","",COUNT($C$8:C58))</f>
        <v/>
      </c>
      <c r="C58" s="43"/>
      <c r="D58" s="44"/>
      <c r="E58" s="45" t="str">
        <f>IF($Z58="","",IF($F58=ApportCouvert,INDEX(Îlots!$I$8:$I$57,$Z58)&amp;"",INDEX(Îlots!$N$8:$N$57,$Z58)&amp;""))</f>
        <v/>
      </c>
      <c r="F58" s="44"/>
      <c r="G58" s="44"/>
      <c r="H58" s="46" t="str">
        <f>IF($AA58="","",INDEX(Fertilisants!$D$8:$D$47,$AA58)&amp;"")</f>
        <v/>
      </c>
      <c r="I58" s="47"/>
      <c r="J58" s="48"/>
      <c r="K58" s="46" t="str">
        <f>IF($AA58="","",INDEX(Fertilisants!$E$8:$E$47,$AA58)&amp;"")</f>
        <v/>
      </c>
      <c r="L58" s="49" t="str">
        <f t="shared" si="0"/>
        <v/>
      </c>
      <c r="M58" s="50" t="str">
        <f>IF(OR($J58="",$AA58=""),"",$J58*N(INDEX(Fertilisants!$G$8:$G$47,$AA58)))</f>
        <v/>
      </c>
      <c r="N58" s="50" t="str">
        <f>IF(OR($J58="",$AA58=""),"",$J58*N(INDEX(Fertilisants!$I$8:$I$47,$AA58)))</f>
        <v/>
      </c>
      <c r="O58" s="50" t="str">
        <f>IF(OR($J58="",$AA58=""),"",$J58*N(INDEX(Fertilisants!$J$8:$J$47,$AA58)))</f>
        <v/>
      </c>
      <c r="P58" s="50" t="str">
        <f>IF(OR($J58="",$AA58=""),"",$J58*N(INDEX(Fertilisants!$K$8:$K$47,$AA58)))</f>
        <v/>
      </c>
      <c r="Q58" s="50" t="str">
        <f t="shared" si="1"/>
        <v/>
      </c>
      <c r="R58" s="44"/>
      <c r="S58" s="44"/>
      <c r="T58" s="51"/>
      <c r="U58" s="44"/>
      <c r="V58" s="43"/>
      <c r="W58" s="52" t="str">
        <f t="shared" si="2"/>
        <v/>
      </c>
      <c r="X58" s="44"/>
      <c r="Z58" s="53" t="str">
        <f>IF($D58="","",IFERROR(MATCH($D58,Îlots!$D$8:$D$57,0),""))</f>
        <v/>
      </c>
      <c r="AA58" s="53" t="str">
        <f>IF($G58="","",IFERROR(MATCH($G58,Fertilisants!$B$8:$B$47,0),""))</f>
        <v/>
      </c>
      <c r="AB58" s="53" t="str">
        <f>IF($Z58="","",INDEX(Îlots!$E$8:$E$57,$Z58))</f>
        <v/>
      </c>
      <c r="AC58" s="53" t="str">
        <f>IF($Z58="","",INDEX(Îlots!$G$8:$G$57,$Z58)&amp;"")</f>
        <v/>
      </c>
      <c r="AD58" s="53" t="str">
        <f>IF($Z58="","",IF($F58=ApportCouvert,OccCouvert,INDEX(Îlots!$O$8:$O$57,$Z58)&amp;""))</f>
        <v/>
      </c>
      <c r="AE58" s="53" t="str">
        <f t="shared" si="3"/>
        <v/>
      </c>
      <c r="AF58" s="53" t="str">
        <f t="shared" si="4"/>
        <v/>
      </c>
      <c r="AG58" s="53" t="str">
        <f t="shared" si="5"/>
        <v/>
      </c>
      <c r="AH58" s="53">
        <f t="shared" si="6"/>
        <v>0</v>
      </c>
      <c r="AI58" s="53">
        <f t="shared" si="7"/>
        <v>0</v>
      </c>
      <c r="AJ58" s="53">
        <f t="shared" si="8"/>
        <v>0</v>
      </c>
      <c r="AK58" s="53">
        <f t="shared" si="9"/>
        <v>0</v>
      </c>
      <c r="AL58" s="53">
        <f t="shared" si="10"/>
        <v>0</v>
      </c>
      <c r="AM58" s="53">
        <f>IF($AA58="",0,IF(INDEX(Fertilisants!$C$8:$C$47,$AA58)="Effluent d'élevage",1,0))</f>
        <v>0</v>
      </c>
      <c r="AN58" s="53" t="str">
        <f>IF($AA58="","",IF(INDEX(Fertilisants!$C$8:$C$47,$AA58)="Engrais minéral","Minéral","Organique"))</f>
        <v/>
      </c>
      <c r="AO58" s="53" t="str">
        <f t="shared" si="11"/>
        <v/>
      </c>
      <c r="AP58" s="53" t="str">
        <f t="shared" si="12"/>
        <v/>
      </c>
      <c r="AQ58" s="53" t="str">
        <f t="shared" si="13"/>
        <v/>
      </c>
      <c r="AR58" s="53" t="str">
        <f>IF(AND($D58&lt;&gt;"",$D58=FicheIlot),COUNTIF($D$8:$D58,FicheIlot),"")</f>
        <v/>
      </c>
    </row>
    <row r="59" spans="2:44" ht="18.95" customHeight="1" x14ac:dyDescent="0.25">
      <c r="B59" s="42" t="str">
        <f>IF(C59="","",COUNT($C$8:C59))</f>
        <v/>
      </c>
      <c r="C59" s="43"/>
      <c r="D59" s="44"/>
      <c r="E59" s="45" t="str">
        <f>IF($Z59="","",IF($F59=ApportCouvert,INDEX(Îlots!$I$8:$I$57,$Z59)&amp;"",INDEX(Îlots!$N$8:$N$57,$Z59)&amp;""))</f>
        <v/>
      </c>
      <c r="F59" s="44"/>
      <c r="G59" s="44"/>
      <c r="H59" s="46" t="str">
        <f>IF($AA59="","",INDEX(Fertilisants!$D$8:$D$47,$AA59)&amp;"")</f>
        <v/>
      </c>
      <c r="I59" s="47"/>
      <c r="J59" s="48"/>
      <c r="K59" s="46" t="str">
        <f>IF($AA59="","",INDEX(Fertilisants!$E$8:$E$47,$AA59)&amp;"")</f>
        <v/>
      </c>
      <c r="L59" s="49" t="str">
        <f t="shared" si="0"/>
        <v/>
      </c>
      <c r="M59" s="50" t="str">
        <f>IF(OR($J59="",$AA59=""),"",$J59*N(INDEX(Fertilisants!$G$8:$G$47,$AA59)))</f>
        <v/>
      </c>
      <c r="N59" s="50" t="str">
        <f>IF(OR($J59="",$AA59=""),"",$J59*N(INDEX(Fertilisants!$I$8:$I$47,$AA59)))</f>
        <v/>
      </c>
      <c r="O59" s="50" t="str">
        <f>IF(OR($J59="",$AA59=""),"",$J59*N(INDEX(Fertilisants!$J$8:$J$47,$AA59)))</f>
        <v/>
      </c>
      <c r="P59" s="50" t="str">
        <f>IF(OR($J59="",$AA59=""),"",$J59*N(INDEX(Fertilisants!$K$8:$K$47,$AA59)))</f>
        <v/>
      </c>
      <c r="Q59" s="50" t="str">
        <f t="shared" si="1"/>
        <v/>
      </c>
      <c r="R59" s="44"/>
      <c r="S59" s="44"/>
      <c r="T59" s="51"/>
      <c r="U59" s="44"/>
      <c r="V59" s="43"/>
      <c r="W59" s="52" t="str">
        <f t="shared" si="2"/>
        <v/>
      </c>
      <c r="X59" s="44"/>
      <c r="Z59" s="53" t="str">
        <f>IF($D59="","",IFERROR(MATCH($D59,Îlots!$D$8:$D$57,0),""))</f>
        <v/>
      </c>
      <c r="AA59" s="53" t="str">
        <f>IF($G59="","",IFERROR(MATCH($G59,Fertilisants!$B$8:$B$47,0),""))</f>
        <v/>
      </c>
      <c r="AB59" s="53" t="str">
        <f>IF($Z59="","",INDEX(Îlots!$E$8:$E$57,$Z59))</f>
        <v/>
      </c>
      <c r="AC59" s="53" t="str">
        <f>IF($Z59="","",INDEX(Îlots!$G$8:$G$57,$Z59)&amp;"")</f>
        <v/>
      </c>
      <c r="AD59" s="53" t="str">
        <f>IF($Z59="","",IF($F59=ApportCouvert,OccCouvert,INDEX(Îlots!$O$8:$O$57,$Z59)&amp;""))</f>
        <v/>
      </c>
      <c r="AE59" s="53" t="str">
        <f t="shared" si="3"/>
        <v/>
      </c>
      <c r="AF59" s="53" t="str">
        <f t="shared" si="4"/>
        <v/>
      </c>
      <c r="AG59" s="53" t="str">
        <f t="shared" si="5"/>
        <v/>
      </c>
      <c r="AH59" s="53">
        <f t="shared" si="6"/>
        <v>0</v>
      </c>
      <c r="AI59" s="53">
        <f t="shared" si="7"/>
        <v>0</v>
      </c>
      <c r="AJ59" s="53">
        <f t="shared" si="8"/>
        <v>0</v>
      </c>
      <c r="AK59" s="53">
        <f t="shared" si="9"/>
        <v>0</v>
      </c>
      <c r="AL59" s="53">
        <f t="shared" si="10"/>
        <v>0</v>
      </c>
      <c r="AM59" s="53">
        <f>IF($AA59="",0,IF(INDEX(Fertilisants!$C$8:$C$47,$AA59)="Effluent d'élevage",1,0))</f>
        <v>0</v>
      </c>
      <c r="AN59" s="53" t="str">
        <f>IF($AA59="","",IF(INDEX(Fertilisants!$C$8:$C$47,$AA59)="Engrais minéral","Minéral","Organique"))</f>
        <v/>
      </c>
      <c r="AO59" s="53" t="str">
        <f t="shared" si="11"/>
        <v/>
      </c>
      <c r="AP59" s="53" t="str">
        <f t="shared" si="12"/>
        <v/>
      </c>
      <c r="AQ59" s="53" t="str">
        <f t="shared" si="13"/>
        <v/>
      </c>
      <c r="AR59" s="53" t="str">
        <f>IF(AND($D59&lt;&gt;"",$D59=FicheIlot),COUNTIF($D$8:$D59,FicheIlot),"")</f>
        <v/>
      </c>
    </row>
    <row r="60" spans="2:44" ht="18.95" customHeight="1" x14ac:dyDescent="0.25">
      <c r="B60" s="42" t="str">
        <f>IF(C60="","",COUNT($C$8:C60))</f>
        <v/>
      </c>
      <c r="C60" s="43"/>
      <c r="D60" s="44"/>
      <c r="E60" s="45" t="str">
        <f>IF($Z60="","",IF($F60=ApportCouvert,INDEX(Îlots!$I$8:$I$57,$Z60)&amp;"",INDEX(Îlots!$N$8:$N$57,$Z60)&amp;""))</f>
        <v/>
      </c>
      <c r="F60" s="44"/>
      <c r="G60" s="44"/>
      <c r="H60" s="46" t="str">
        <f>IF($AA60="","",INDEX(Fertilisants!$D$8:$D$47,$AA60)&amp;"")</f>
        <v/>
      </c>
      <c r="I60" s="47"/>
      <c r="J60" s="48"/>
      <c r="K60" s="46" t="str">
        <f>IF($AA60="","",INDEX(Fertilisants!$E$8:$E$47,$AA60)&amp;"")</f>
        <v/>
      </c>
      <c r="L60" s="49" t="str">
        <f t="shared" si="0"/>
        <v/>
      </c>
      <c r="M60" s="50" t="str">
        <f>IF(OR($J60="",$AA60=""),"",$J60*N(INDEX(Fertilisants!$G$8:$G$47,$AA60)))</f>
        <v/>
      </c>
      <c r="N60" s="50" t="str">
        <f>IF(OR($J60="",$AA60=""),"",$J60*N(INDEX(Fertilisants!$I$8:$I$47,$AA60)))</f>
        <v/>
      </c>
      <c r="O60" s="50" t="str">
        <f>IF(OR($J60="",$AA60=""),"",$J60*N(INDEX(Fertilisants!$J$8:$J$47,$AA60)))</f>
        <v/>
      </c>
      <c r="P60" s="50" t="str">
        <f>IF(OR($J60="",$AA60=""),"",$J60*N(INDEX(Fertilisants!$K$8:$K$47,$AA60)))</f>
        <v/>
      </c>
      <c r="Q60" s="50" t="str">
        <f t="shared" si="1"/>
        <v/>
      </c>
      <c r="R60" s="44"/>
      <c r="S60" s="44"/>
      <c r="T60" s="51"/>
      <c r="U60" s="44"/>
      <c r="V60" s="43"/>
      <c r="W60" s="52" t="str">
        <f t="shared" si="2"/>
        <v/>
      </c>
      <c r="X60" s="44"/>
      <c r="Z60" s="53" t="str">
        <f>IF($D60="","",IFERROR(MATCH($D60,Îlots!$D$8:$D$57,0),""))</f>
        <v/>
      </c>
      <c r="AA60" s="53" t="str">
        <f>IF($G60="","",IFERROR(MATCH($G60,Fertilisants!$B$8:$B$47,0),""))</f>
        <v/>
      </c>
      <c r="AB60" s="53" t="str">
        <f>IF($Z60="","",INDEX(Îlots!$E$8:$E$57,$Z60))</f>
        <v/>
      </c>
      <c r="AC60" s="53" t="str">
        <f>IF($Z60="","",INDEX(Îlots!$G$8:$G$57,$Z60)&amp;"")</f>
        <v/>
      </c>
      <c r="AD60" s="53" t="str">
        <f>IF($Z60="","",IF($F60=ApportCouvert,OccCouvert,INDEX(Îlots!$O$8:$O$57,$Z60)&amp;""))</f>
        <v/>
      </c>
      <c r="AE60" s="53" t="str">
        <f t="shared" si="3"/>
        <v/>
      </c>
      <c r="AF60" s="53" t="str">
        <f t="shared" si="4"/>
        <v/>
      </c>
      <c r="AG60" s="53" t="str">
        <f t="shared" si="5"/>
        <v/>
      </c>
      <c r="AH60" s="53">
        <f t="shared" si="6"/>
        <v>0</v>
      </c>
      <c r="AI60" s="53">
        <f t="shared" si="7"/>
        <v>0</v>
      </c>
      <c r="AJ60" s="53">
        <f t="shared" si="8"/>
        <v>0</v>
      </c>
      <c r="AK60" s="53">
        <f t="shared" si="9"/>
        <v>0</v>
      </c>
      <c r="AL60" s="53">
        <f t="shared" si="10"/>
        <v>0</v>
      </c>
      <c r="AM60" s="53">
        <f>IF($AA60="",0,IF(INDEX(Fertilisants!$C$8:$C$47,$AA60)="Effluent d'élevage",1,0))</f>
        <v>0</v>
      </c>
      <c r="AN60" s="53" t="str">
        <f>IF($AA60="","",IF(INDEX(Fertilisants!$C$8:$C$47,$AA60)="Engrais minéral","Minéral","Organique"))</f>
        <v/>
      </c>
      <c r="AO60" s="53" t="str">
        <f t="shared" si="11"/>
        <v/>
      </c>
      <c r="AP60" s="53" t="str">
        <f t="shared" si="12"/>
        <v/>
      </c>
      <c r="AQ60" s="53" t="str">
        <f t="shared" si="13"/>
        <v/>
      </c>
      <c r="AR60" s="53" t="str">
        <f>IF(AND($D60&lt;&gt;"",$D60=FicheIlot),COUNTIF($D$8:$D60,FicheIlot),"")</f>
        <v/>
      </c>
    </row>
    <row r="61" spans="2:44" ht="18.95" customHeight="1" x14ac:dyDescent="0.25">
      <c r="B61" s="42" t="str">
        <f>IF(C61="","",COUNT($C$8:C61))</f>
        <v/>
      </c>
      <c r="C61" s="43"/>
      <c r="D61" s="44"/>
      <c r="E61" s="45" t="str">
        <f>IF($Z61="","",IF($F61=ApportCouvert,INDEX(Îlots!$I$8:$I$57,$Z61)&amp;"",INDEX(Îlots!$N$8:$N$57,$Z61)&amp;""))</f>
        <v/>
      </c>
      <c r="F61" s="44"/>
      <c r="G61" s="44"/>
      <c r="H61" s="46" t="str">
        <f>IF($AA61="","",INDEX(Fertilisants!$D$8:$D$47,$AA61)&amp;"")</f>
        <v/>
      </c>
      <c r="I61" s="47"/>
      <c r="J61" s="48"/>
      <c r="K61" s="46" t="str">
        <f>IF($AA61="","",INDEX(Fertilisants!$E$8:$E$47,$AA61)&amp;"")</f>
        <v/>
      </c>
      <c r="L61" s="49" t="str">
        <f t="shared" si="0"/>
        <v/>
      </c>
      <c r="M61" s="50" t="str">
        <f>IF(OR($J61="",$AA61=""),"",$J61*N(INDEX(Fertilisants!$G$8:$G$47,$AA61)))</f>
        <v/>
      </c>
      <c r="N61" s="50" t="str">
        <f>IF(OR($J61="",$AA61=""),"",$J61*N(INDEX(Fertilisants!$I$8:$I$47,$AA61)))</f>
        <v/>
      </c>
      <c r="O61" s="50" t="str">
        <f>IF(OR($J61="",$AA61=""),"",$J61*N(INDEX(Fertilisants!$J$8:$J$47,$AA61)))</f>
        <v/>
      </c>
      <c r="P61" s="50" t="str">
        <f>IF(OR($J61="",$AA61=""),"",$J61*N(INDEX(Fertilisants!$K$8:$K$47,$AA61)))</f>
        <v/>
      </c>
      <c r="Q61" s="50" t="str">
        <f t="shared" si="1"/>
        <v/>
      </c>
      <c r="R61" s="44"/>
      <c r="S61" s="44"/>
      <c r="T61" s="51"/>
      <c r="U61" s="44"/>
      <c r="V61" s="43"/>
      <c r="W61" s="52" t="str">
        <f t="shared" si="2"/>
        <v/>
      </c>
      <c r="X61" s="44"/>
      <c r="Z61" s="53" t="str">
        <f>IF($D61="","",IFERROR(MATCH($D61,Îlots!$D$8:$D$57,0),""))</f>
        <v/>
      </c>
      <c r="AA61" s="53" t="str">
        <f>IF($G61="","",IFERROR(MATCH($G61,Fertilisants!$B$8:$B$47,0),""))</f>
        <v/>
      </c>
      <c r="AB61" s="53" t="str">
        <f>IF($Z61="","",INDEX(Îlots!$E$8:$E$57,$Z61))</f>
        <v/>
      </c>
      <c r="AC61" s="53" t="str">
        <f>IF($Z61="","",INDEX(Îlots!$G$8:$G$57,$Z61)&amp;"")</f>
        <v/>
      </c>
      <c r="AD61" s="53" t="str">
        <f>IF($Z61="","",IF($F61=ApportCouvert,OccCouvert,INDEX(Îlots!$O$8:$O$57,$Z61)&amp;""))</f>
        <v/>
      </c>
      <c r="AE61" s="53" t="str">
        <f t="shared" si="3"/>
        <v/>
      </c>
      <c r="AF61" s="53" t="str">
        <f t="shared" si="4"/>
        <v/>
      </c>
      <c r="AG61" s="53" t="str">
        <f t="shared" si="5"/>
        <v/>
      </c>
      <c r="AH61" s="53">
        <f t="shared" si="6"/>
        <v>0</v>
      </c>
      <c r="AI61" s="53">
        <f t="shared" si="7"/>
        <v>0</v>
      </c>
      <c r="AJ61" s="53">
        <f t="shared" si="8"/>
        <v>0</v>
      </c>
      <c r="AK61" s="53">
        <f t="shared" si="9"/>
        <v>0</v>
      </c>
      <c r="AL61" s="53">
        <f t="shared" si="10"/>
        <v>0</v>
      </c>
      <c r="AM61" s="53">
        <f>IF($AA61="",0,IF(INDEX(Fertilisants!$C$8:$C$47,$AA61)="Effluent d'élevage",1,0))</f>
        <v>0</v>
      </c>
      <c r="AN61" s="53" t="str">
        <f>IF($AA61="","",IF(INDEX(Fertilisants!$C$8:$C$47,$AA61)="Engrais minéral","Minéral","Organique"))</f>
        <v/>
      </c>
      <c r="AO61" s="53" t="str">
        <f t="shared" si="11"/>
        <v/>
      </c>
      <c r="AP61" s="53" t="str">
        <f t="shared" si="12"/>
        <v/>
      </c>
      <c r="AQ61" s="53" t="str">
        <f t="shared" si="13"/>
        <v/>
      </c>
      <c r="AR61" s="53" t="str">
        <f>IF(AND($D61&lt;&gt;"",$D61=FicheIlot),COUNTIF($D$8:$D61,FicheIlot),"")</f>
        <v/>
      </c>
    </row>
    <row r="62" spans="2:44" ht="18.95" customHeight="1" x14ac:dyDescent="0.25">
      <c r="B62" s="42" t="str">
        <f>IF(C62="","",COUNT($C$8:C62))</f>
        <v/>
      </c>
      <c r="C62" s="43"/>
      <c r="D62" s="44"/>
      <c r="E62" s="45" t="str">
        <f>IF($Z62="","",IF($F62=ApportCouvert,INDEX(Îlots!$I$8:$I$57,$Z62)&amp;"",INDEX(Îlots!$N$8:$N$57,$Z62)&amp;""))</f>
        <v/>
      </c>
      <c r="F62" s="44"/>
      <c r="G62" s="44"/>
      <c r="H62" s="46" t="str">
        <f>IF($AA62="","",INDEX(Fertilisants!$D$8:$D$47,$AA62)&amp;"")</f>
        <v/>
      </c>
      <c r="I62" s="47"/>
      <c r="J62" s="48"/>
      <c r="K62" s="46" t="str">
        <f>IF($AA62="","",INDEX(Fertilisants!$E$8:$E$47,$AA62)&amp;"")</f>
        <v/>
      </c>
      <c r="L62" s="49" t="str">
        <f t="shared" si="0"/>
        <v/>
      </c>
      <c r="M62" s="50" t="str">
        <f>IF(OR($J62="",$AA62=""),"",$J62*N(INDEX(Fertilisants!$G$8:$G$47,$AA62)))</f>
        <v/>
      </c>
      <c r="N62" s="50" t="str">
        <f>IF(OR($J62="",$AA62=""),"",$J62*N(INDEX(Fertilisants!$I$8:$I$47,$AA62)))</f>
        <v/>
      </c>
      <c r="O62" s="50" t="str">
        <f>IF(OR($J62="",$AA62=""),"",$J62*N(INDEX(Fertilisants!$J$8:$J$47,$AA62)))</f>
        <v/>
      </c>
      <c r="P62" s="50" t="str">
        <f>IF(OR($J62="",$AA62=""),"",$J62*N(INDEX(Fertilisants!$K$8:$K$47,$AA62)))</f>
        <v/>
      </c>
      <c r="Q62" s="50" t="str">
        <f t="shared" si="1"/>
        <v/>
      </c>
      <c r="R62" s="44"/>
      <c r="S62" s="44"/>
      <c r="T62" s="51"/>
      <c r="U62" s="44"/>
      <c r="V62" s="43"/>
      <c r="W62" s="52" t="str">
        <f t="shared" si="2"/>
        <v/>
      </c>
      <c r="X62" s="44"/>
      <c r="Z62" s="53" t="str">
        <f>IF($D62="","",IFERROR(MATCH($D62,Îlots!$D$8:$D$57,0),""))</f>
        <v/>
      </c>
      <c r="AA62" s="53" t="str">
        <f>IF($G62="","",IFERROR(MATCH($G62,Fertilisants!$B$8:$B$47,0),""))</f>
        <v/>
      </c>
      <c r="AB62" s="53" t="str">
        <f>IF($Z62="","",INDEX(Îlots!$E$8:$E$57,$Z62))</f>
        <v/>
      </c>
      <c r="AC62" s="53" t="str">
        <f>IF($Z62="","",INDEX(Îlots!$G$8:$G$57,$Z62)&amp;"")</f>
        <v/>
      </c>
      <c r="AD62" s="53" t="str">
        <f>IF($Z62="","",IF($F62=ApportCouvert,OccCouvert,INDEX(Îlots!$O$8:$O$57,$Z62)&amp;""))</f>
        <v/>
      </c>
      <c r="AE62" s="53" t="str">
        <f t="shared" si="3"/>
        <v/>
      </c>
      <c r="AF62" s="53" t="str">
        <f t="shared" si="4"/>
        <v/>
      </c>
      <c r="AG62" s="53" t="str">
        <f t="shared" si="5"/>
        <v/>
      </c>
      <c r="AH62" s="53">
        <f t="shared" si="6"/>
        <v>0</v>
      </c>
      <c r="AI62" s="53">
        <f t="shared" si="7"/>
        <v>0</v>
      </c>
      <c r="AJ62" s="53">
        <f t="shared" si="8"/>
        <v>0</v>
      </c>
      <c r="AK62" s="53">
        <f t="shared" si="9"/>
        <v>0</v>
      </c>
      <c r="AL62" s="53">
        <f t="shared" si="10"/>
        <v>0</v>
      </c>
      <c r="AM62" s="53">
        <f>IF($AA62="",0,IF(INDEX(Fertilisants!$C$8:$C$47,$AA62)="Effluent d'élevage",1,0))</f>
        <v>0</v>
      </c>
      <c r="AN62" s="53" t="str">
        <f>IF($AA62="","",IF(INDEX(Fertilisants!$C$8:$C$47,$AA62)="Engrais minéral","Minéral","Organique"))</f>
        <v/>
      </c>
      <c r="AO62" s="53" t="str">
        <f t="shared" si="11"/>
        <v/>
      </c>
      <c r="AP62" s="53" t="str">
        <f t="shared" si="12"/>
        <v/>
      </c>
      <c r="AQ62" s="53" t="str">
        <f t="shared" si="13"/>
        <v/>
      </c>
      <c r="AR62" s="53" t="str">
        <f>IF(AND($D62&lt;&gt;"",$D62=FicheIlot),COUNTIF($D$8:$D62,FicheIlot),"")</f>
        <v/>
      </c>
    </row>
    <row r="63" spans="2:44" ht="18.95" customHeight="1" x14ac:dyDescent="0.25">
      <c r="B63" s="42" t="str">
        <f>IF(C63="","",COUNT($C$8:C63))</f>
        <v/>
      </c>
      <c r="C63" s="43"/>
      <c r="D63" s="44"/>
      <c r="E63" s="45" t="str">
        <f>IF($Z63="","",IF($F63=ApportCouvert,INDEX(Îlots!$I$8:$I$57,$Z63)&amp;"",INDEX(Îlots!$N$8:$N$57,$Z63)&amp;""))</f>
        <v/>
      </c>
      <c r="F63" s="44"/>
      <c r="G63" s="44"/>
      <c r="H63" s="46" t="str">
        <f>IF($AA63="","",INDEX(Fertilisants!$D$8:$D$47,$AA63)&amp;"")</f>
        <v/>
      </c>
      <c r="I63" s="47"/>
      <c r="J63" s="48"/>
      <c r="K63" s="46" t="str">
        <f>IF($AA63="","",INDEX(Fertilisants!$E$8:$E$47,$AA63)&amp;"")</f>
        <v/>
      </c>
      <c r="L63" s="49" t="str">
        <f t="shared" si="0"/>
        <v/>
      </c>
      <c r="M63" s="50" t="str">
        <f>IF(OR($J63="",$AA63=""),"",$J63*N(INDEX(Fertilisants!$G$8:$G$47,$AA63)))</f>
        <v/>
      </c>
      <c r="N63" s="50" t="str">
        <f>IF(OR($J63="",$AA63=""),"",$J63*N(INDEX(Fertilisants!$I$8:$I$47,$AA63)))</f>
        <v/>
      </c>
      <c r="O63" s="50" t="str">
        <f>IF(OR($J63="",$AA63=""),"",$J63*N(INDEX(Fertilisants!$J$8:$J$47,$AA63)))</f>
        <v/>
      </c>
      <c r="P63" s="50" t="str">
        <f>IF(OR($J63="",$AA63=""),"",$J63*N(INDEX(Fertilisants!$K$8:$K$47,$AA63)))</f>
        <v/>
      </c>
      <c r="Q63" s="50" t="str">
        <f t="shared" si="1"/>
        <v/>
      </c>
      <c r="R63" s="44"/>
      <c r="S63" s="44"/>
      <c r="T63" s="51"/>
      <c r="U63" s="44"/>
      <c r="V63" s="43"/>
      <c r="W63" s="52" t="str">
        <f t="shared" si="2"/>
        <v/>
      </c>
      <c r="X63" s="44"/>
      <c r="Z63" s="53" t="str">
        <f>IF($D63="","",IFERROR(MATCH($D63,Îlots!$D$8:$D$57,0),""))</f>
        <v/>
      </c>
      <c r="AA63" s="53" t="str">
        <f>IF($G63="","",IFERROR(MATCH($G63,Fertilisants!$B$8:$B$47,0),""))</f>
        <v/>
      </c>
      <c r="AB63" s="53" t="str">
        <f>IF($Z63="","",INDEX(Îlots!$E$8:$E$57,$Z63))</f>
        <v/>
      </c>
      <c r="AC63" s="53" t="str">
        <f>IF($Z63="","",INDEX(Îlots!$G$8:$G$57,$Z63)&amp;"")</f>
        <v/>
      </c>
      <c r="AD63" s="53" t="str">
        <f>IF($Z63="","",IF($F63=ApportCouvert,OccCouvert,INDEX(Îlots!$O$8:$O$57,$Z63)&amp;""))</f>
        <v/>
      </c>
      <c r="AE63" s="53" t="str">
        <f t="shared" si="3"/>
        <v/>
      </c>
      <c r="AF63" s="53" t="str">
        <f t="shared" si="4"/>
        <v/>
      </c>
      <c r="AG63" s="53" t="str">
        <f t="shared" si="5"/>
        <v/>
      </c>
      <c r="AH63" s="53">
        <f t="shared" si="6"/>
        <v>0</v>
      </c>
      <c r="AI63" s="53">
        <f t="shared" si="7"/>
        <v>0</v>
      </c>
      <c r="AJ63" s="53">
        <f t="shared" si="8"/>
        <v>0</v>
      </c>
      <c r="AK63" s="53">
        <f t="shared" si="9"/>
        <v>0</v>
      </c>
      <c r="AL63" s="53">
        <f t="shared" si="10"/>
        <v>0</v>
      </c>
      <c r="AM63" s="53">
        <f>IF($AA63="",0,IF(INDEX(Fertilisants!$C$8:$C$47,$AA63)="Effluent d'élevage",1,0))</f>
        <v>0</v>
      </c>
      <c r="AN63" s="53" t="str">
        <f>IF($AA63="","",IF(INDEX(Fertilisants!$C$8:$C$47,$AA63)="Engrais minéral","Minéral","Organique"))</f>
        <v/>
      </c>
      <c r="AO63" s="53" t="str">
        <f t="shared" si="11"/>
        <v/>
      </c>
      <c r="AP63" s="53" t="str">
        <f t="shared" si="12"/>
        <v/>
      </c>
      <c r="AQ63" s="53" t="str">
        <f t="shared" si="13"/>
        <v/>
      </c>
      <c r="AR63" s="53" t="str">
        <f>IF(AND($D63&lt;&gt;"",$D63=FicheIlot),COUNTIF($D$8:$D63,FicheIlot),"")</f>
        <v/>
      </c>
    </row>
    <row r="64" spans="2:44" ht="18.95" customHeight="1" x14ac:dyDescent="0.25">
      <c r="B64" s="42" t="str">
        <f>IF(C64="","",COUNT($C$8:C64))</f>
        <v/>
      </c>
      <c r="C64" s="43"/>
      <c r="D64" s="44"/>
      <c r="E64" s="45" t="str">
        <f>IF($Z64="","",IF($F64=ApportCouvert,INDEX(Îlots!$I$8:$I$57,$Z64)&amp;"",INDEX(Îlots!$N$8:$N$57,$Z64)&amp;""))</f>
        <v/>
      </c>
      <c r="F64" s="44"/>
      <c r="G64" s="44"/>
      <c r="H64" s="46" t="str">
        <f>IF($AA64="","",INDEX(Fertilisants!$D$8:$D$47,$AA64)&amp;"")</f>
        <v/>
      </c>
      <c r="I64" s="47"/>
      <c r="J64" s="48"/>
      <c r="K64" s="46" t="str">
        <f>IF($AA64="","",INDEX(Fertilisants!$E$8:$E$47,$AA64)&amp;"")</f>
        <v/>
      </c>
      <c r="L64" s="49" t="str">
        <f t="shared" si="0"/>
        <v/>
      </c>
      <c r="M64" s="50" t="str">
        <f>IF(OR($J64="",$AA64=""),"",$J64*N(INDEX(Fertilisants!$G$8:$G$47,$AA64)))</f>
        <v/>
      </c>
      <c r="N64" s="50" t="str">
        <f>IF(OR($J64="",$AA64=""),"",$J64*N(INDEX(Fertilisants!$I$8:$I$47,$AA64)))</f>
        <v/>
      </c>
      <c r="O64" s="50" t="str">
        <f>IF(OR($J64="",$AA64=""),"",$J64*N(INDEX(Fertilisants!$J$8:$J$47,$AA64)))</f>
        <v/>
      </c>
      <c r="P64" s="50" t="str">
        <f>IF(OR($J64="",$AA64=""),"",$J64*N(INDEX(Fertilisants!$K$8:$K$47,$AA64)))</f>
        <v/>
      </c>
      <c r="Q64" s="50" t="str">
        <f t="shared" si="1"/>
        <v/>
      </c>
      <c r="R64" s="44"/>
      <c r="S64" s="44"/>
      <c r="T64" s="51"/>
      <c r="U64" s="44"/>
      <c r="V64" s="43"/>
      <c r="W64" s="52" t="str">
        <f t="shared" si="2"/>
        <v/>
      </c>
      <c r="X64" s="44"/>
      <c r="Z64" s="53" t="str">
        <f>IF($D64="","",IFERROR(MATCH($D64,Îlots!$D$8:$D$57,0),""))</f>
        <v/>
      </c>
      <c r="AA64" s="53" t="str">
        <f>IF($G64="","",IFERROR(MATCH($G64,Fertilisants!$B$8:$B$47,0),""))</f>
        <v/>
      </c>
      <c r="AB64" s="53" t="str">
        <f>IF($Z64="","",INDEX(Îlots!$E$8:$E$57,$Z64))</f>
        <v/>
      </c>
      <c r="AC64" s="53" t="str">
        <f>IF($Z64="","",INDEX(Îlots!$G$8:$G$57,$Z64)&amp;"")</f>
        <v/>
      </c>
      <c r="AD64" s="53" t="str">
        <f>IF($Z64="","",IF($F64=ApportCouvert,OccCouvert,INDEX(Îlots!$O$8:$O$57,$Z64)&amp;""))</f>
        <v/>
      </c>
      <c r="AE64" s="53" t="str">
        <f t="shared" si="3"/>
        <v/>
      </c>
      <c r="AF64" s="53" t="str">
        <f t="shared" si="4"/>
        <v/>
      </c>
      <c r="AG64" s="53" t="str">
        <f t="shared" si="5"/>
        <v/>
      </c>
      <c r="AH64" s="53">
        <f t="shared" si="6"/>
        <v>0</v>
      </c>
      <c r="AI64" s="53">
        <f t="shared" si="7"/>
        <v>0</v>
      </c>
      <c r="AJ64" s="53">
        <f t="shared" si="8"/>
        <v>0</v>
      </c>
      <c r="AK64" s="53">
        <f t="shared" si="9"/>
        <v>0</v>
      </c>
      <c r="AL64" s="53">
        <f t="shared" si="10"/>
        <v>0</v>
      </c>
      <c r="AM64" s="53">
        <f>IF($AA64="",0,IF(INDEX(Fertilisants!$C$8:$C$47,$AA64)="Effluent d'élevage",1,0))</f>
        <v>0</v>
      </c>
      <c r="AN64" s="53" t="str">
        <f>IF($AA64="","",IF(INDEX(Fertilisants!$C$8:$C$47,$AA64)="Engrais minéral","Minéral","Organique"))</f>
        <v/>
      </c>
      <c r="AO64" s="53" t="str">
        <f t="shared" si="11"/>
        <v/>
      </c>
      <c r="AP64" s="53" t="str">
        <f t="shared" si="12"/>
        <v/>
      </c>
      <c r="AQ64" s="53" t="str">
        <f t="shared" si="13"/>
        <v/>
      </c>
      <c r="AR64" s="53" t="str">
        <f>IF(AND($D64&lt;&gt;"",$D64=FicheIlot),COUNTIF($D$8:$D64,FicheIlot),"")</f>
        <v/>
      </c>
    </row>
    <row r="65" spans="2:44" ht="18.95" customHeight="1" x14ac:dyDescent="0.25">
      <c r="B65" s="42" t="str">
        <f>IF(C65="","",COUNT($C$8:C65))</f>
        <v/>
      </c>
      <c r="C65" s="43"/>
      <c r="D65" s="44"/>
      <c r="E65" s="45" t="str">
        <f>IF($Z65="","",IF($F65=ApportCouvert,INDEX(Îlots!$I$8:$I$57,$Z65)&amp;"",INDEX(Îlots!$N$8:$N$57,$Z65)&amp;""))</f>
        <v/>
      </c>
      <c r="F65" s="44"/>
      <c r="G65" s="44"/>
      <c r="H65" s="46" t="str">
        <f>IF($AA65="","",INDEX(Fertilisants!$D$8:$D$47,$AA65)&amp;"")</f>
        <v/>
      </c>
      <c r="I65" s="47"/>
      <c r="J65" s="48"/>
      <c r="K65" s="46" t="str">
        <f>IF($AA65="","",INDEX(Fertilisants!$E$8:$E$47,$AA65)&amp;"")</f>
        <v/>
      </c>
      <c r="L65" s="49" t="str">
        <f t="shared" si="0"/>
        <v/>
      </c>
      <c r="M65" s="50" t="str">
        <f>IF(OR($J65="",$AA65=""),"",$J65*N(INDEX(Fertilisants!$G$8:$G$47,$AA65)))</f>
        <v/>
      </c>
      <c r="N65" s="50" t="str">
        <f>IF(OR($J65="",$AA65=""),"",$J65*N(INDEX(Fertilisants!$I$8:$I$47,$AA65)))</f>
        <v/>
      </c>
      <c r="O65" s="50" t="str">
        <f>IF(OR($J65="",$AA65=""),"",$J65*N(INDEX(Fertilisants!$J$8:$J$47,$AA65)))</f>
        <v/>
      </c>
      <c r="P65" s="50" t="str">
        <f>IF(OR($J65="",$AA65=""),"",$J65*N(INDEX(Fertilisants!$K$8:$K$47,$AA65)))</f>
        <v/>
      </c>
      <c r="Q65" s="50" t="str">
        <f t="shared" si="1"/>
        <v/>
      </c>
      <c r="R65" s="44"/>
      <c r="S65" s="44"/>
      <c r="T65" s="51"/>
      <c r="U65" s="44"/>
      <c r="V65" s="43"/>
      <c r="W65" s="52" t="str">
        <f t="shared" si="2"/>
        <v/>
      </c>
      <c r="X65" s="44"/>
      <c r="Z65" s="53" t="str">
        <f>IF($D65="","",IFERROR(MATCH($D65,Îlots!$D$8:$D$57,0),""))</f>
        <v/>
      </c>
      <c r="AA65" s="53" t="str">
        <f>IF($G65="","",IFERROR(MATCH($G65,Fertilisants!$B$8:$B$47,0),""))</f>
        <v/>
      </c>
      <c r="AB65" s="53" t="str">
        <f>IF($Z65="","",INDEX(Îlots!$E$8:$E$57,$Z65))</f>
        <v/>
      </c>
      <c r="AC65" s="53" t="str">
        <f>IF($Z65="","",INDEX(Îlots!$G$8:$G$57,$Z65)&amp;"")</f>
        <v/>
      </c>
      <c r="AD65" s="53" t="str">
        <f>IF($Z65="","",IF($F65=ApportCouvert,OccCouvert,INDEX(Îlots!$O$8:$O$57,$Z65)&amp;""))</f>
        <v/>
      </c>
      <c r="AE65" s="53" t="str">
        <f t="shared" si="3"/>
        <v/>
      </c>
      <c r="AF65" s="53" t="str">
        <f t="shared" si="4"/>
        <v/>
      </c>
      <c r="AG65" s="53" t="str">
        <f t="shared" si="5"/>
        <v/>
      </c>
      <c r="AH65" s="53">
        <f t="shared" si="6"/>
        <v>0</v>
      </c>
      <c r="AI65" s="53">
        <f t="shared" si="7"/>
        <v>0</v>
      </c>
      <c r="AJ65" s="53">
        <f t="shared" si="8"/>
        <v>0</v>
      </c>
      <c r="AK65" s="53">
        <f t="shared" si="9"/>
        <v>0</v>
      </c>
      <c r="AL65" s="53">
        <f t="shared" si="10"/>
        <v>0</v>
      </c>
      <c r="AM65" s="53">
        <f>IF($AA65="",0,IF(INDEX(Fertilisants!$C$8:$C$47,$AA65)="Effluent d'élevage",1,0))</f>
        <v>0</v>
      </c>
      <c r="AN65" s="53" t="str">
        <f>IF($AA65="","",IF(INDEX(Fertilisants!$C$8:$C$47,$AA65)="Engrais minéral","Minéral","Organique"))</f>
        <v/>
      </c>
      <c r="AO65" s="53" t="str">
        <f t="shared" si="11"/>
        <v/>
      </c>
      <c r="AP65" s="53" t="str">
        <f t="shared" si="12"/>
        <v/>
      </c>
      <c r="AQ65" s="53" t="str">
        <f t="shared" si="13"/>
        <v/>
      </c>
      <c r="AR65" s="53" t="str">
        <f>IF(AND($D65&lt;&gt;"",$D65=FicheIlot),COUNTIF($D$8:$D65,FicheIlot),"")</f>
        <v/>
      </c>
    </row>
    <row r="66" spans="2:44" ht="18.95" customHeight="1" x14ac:dyDescent="0.25">
      <c r="B66" s="42" t="str">
        <f>IF(C66="","",COUNT($C$8:C66))</f>
        <v/>
      </c>
      <c r="C66" s="43"/>
      <c r="D66" s="44"/>
      <c r="E66" s="45" t="str">
        <f>IF($Z66="","",IF($F66=ApportCouvert,INDEX(Îlots!$I$8:$I$57,$Z66)&amp;"",INDEX(Îlots!$N$8:$N$57,$Z66)&amp;""))</f>
        <v/>
      </c>
      <c r="F66" s="44"/>
      <c r="G66" s="44"/>
      <c r="H66" s="46" t="str">
        <f>IF($AA66="","",INDEX(Fertilisants!$D$8:$D$47,$AA66)&amp;"")</f>
        <v/>
      </c>
      <c r="I66" s="47"/>
      <c r="J66" s="48"/>
      <c r="K66" s="46" t="str">
        <f>IF($AA66="","",INDEX(Fertilisants!$E$8:$E$47,$AA66)&amp;"")</f>
        <v/>
      </c>
      <c r="L66" s="49" t="str">
        <f t="shared" si="0"/>
        <v/>
      </c>
      <c r="M66" s="50" t="str">
        <f>IF(OR($J66="",$AA66=""),"",$J66*N(INDEX(Fertilisants!$G$8:$G$47,$AA66)))</f>
        <v/>
      </c>
      <c r="N66" s="50" t="str">
        <f>IF(OR($J66="",$AA66=""),"",$J66*N(INDEX(Fertilisants!$I$8:$I$47,$AA66)))</f>
        <v/>
      </c>
      <c r="O66" s="50" t="str">
        <f>IF(OR($J66="",$AA66=""),"",$J66*N(INDEX(Fertilisants!$J$8:$J$47,$AA66)))</f>
        <v/>
      </c>
      <c r="P66" s="50" t="str">
        <f>IF(OR($J66="",$AA66=""),"",$J66*N(INDEX(Fertilisants!$K$8:$K$47,$AA66)))</f>
        <v/>
      </c>
      <c r="Q66" s="50" t="str">
        <f t="shared" si="1"/>
        <v/>
      </c>
      <c r="R66" s="44"/>
      <c r="S66" s="44"/>
      <c r="T66" s="51"/>
      <c r="U66" s="44"/>
      <c r="V66" s="43"/>
      <c r="W66" s="52" t="str">
        <f t="shared" si="2"/>
        <v/>
      </c>
      <c r="X66" s="44"/>
      <c r="Z66" s="53" t="str">
        <f>IF($D66="","",IFERROR(MATCH($D66,Îlots!$D$8:$D$57,0),""))</f>
        <v/>
      </c>
      <c r="AA66" s="53" t="str">
        <f>IF($G66="","",IFERROR(MATCH($G66,Fertilisants!$B$8:$B$47,0),""))</f>
        <v/>
      </c>
      <c r="AB66" s="53" t="str">
        <f>IF($Z66="","",INDEX(Îlots!$E$8:$E$57,$Z66))</f>
        <v/>
      </c>
      <c r="AC66" s="53" t="str">
        <f>IF($Z66="","",INDEX(Îlots!$G$8:$G$57,$Z66)&amp;"")</f>
        <v/>
      </c>
      <c r="AD66" s="53" t="str">
        <f>IF($Z66="","",IF($F66=ApportCouvert,OccCouvert,INDEX(Îlots!$O$8:$O$57,$Z66)&amp;""))</f>
        <v/>
      </c>
      <c r="AE66" s="53" t="str">
        <f t="shared" si="3"/>
        <v/>
      </c>
      <c r="AF66" s="53" t="str">
        <f t="shared" si="4"/>
        <v/>
      </c>
      <c r="AG66" s="53" t="str">
        <f t="shared" si="5"/>
        <v/>
      </c>
      <c r="AH66" s="53">
        <f t="shared" si="6"/>
        <v>0</v>
      </c>
      <c r="AI66" s="53">
        <f t="shared" si="7"/>
        <v>0</v>
      </c>
      <c r="AJ66" s="53">
        <f t="shared" si="8"/>
        <v>0</v>
      </c>
      <c r="AK66" s="53">
        <f t="shared" si="9"/>
        <v>0</v>
      </c>
      <c r="AL66" s="53">
        <f t="shared" si="10"/>
        <v>0</v>
      </c>
      <c r="AM66" s="53">
        <f>IF($AA66="",0,IF(INDEX(Fertilisants!$C$8:$C$47,$AA66)="Effluent d'élevage",1,0))</f>
        <v>0</v>
      </c>
      <c r="AN66" s="53" t="str">
        <f>IF($AA66="","",IF(INDEX(Fertilisants!$C$8:$C$47,$AA66)="Engrais minéral","Minéral","Organique"))</f>
        <v/>
      </c>
      <c r="AO66" s="53" t="str">
        <f t="shared" si="11"/>
        <v/>
      </c>
      <c r="AP66" s="53" t="str">
        <f t="shared" si="12"/>
        <v/>
      </c>
      <c r="AQ66" s="53" t="str">
        <f t="shared" si="13"/>
        <v/>
      </c>
      <c r="AR66" s="53" t="str">
        <f>IF(AND($D66&lt;&gt;"",$D66=FicheIlot),COUNTIF($D$8:$D66,FicheIlot),"")</f>
        <v/>
      </c>
    </row>
    <row r="67" spans="2:44" ht="18.95" customHeight="1" x14ac:dyDescent="0.25">
      <c r="B67" s="42" t="str">
        <f>IF(C67="","",COUNT($C$8:C67))</f>
        <v/>
      </c>
      <c r="C67" s="43"/>
      <c r="D67" s="44"/>
      <c r="E67" s="45" t="str">
        <f>IF($Z67="","",IF($F67=ApportCouvert,INDEX(Îlots!$I$8:$I$57,$Z67)&amp;"",INDEX(Îlots!$N$8:$N$57,$Z67)&amp;""))</f>
        <v/>
      </c>
      <c r="F67" s="44"/>
      <c r="G67" s="44"/>
      <c r="H67" s="46" t="str">
        <f>IF($AA67="","",INDEX(Fertilisants!$D$8:$D$47,$AA67)&amp;"")</f>
        <v/>
      </c>
      <c r="I67" s="47"/>
      <c r="J67" s="48"/>
      <c r="K67" s="46" t="str">
        <f>IF($AA67="","",INDEX(Fertilisants!$E$8:$E$47,$AA67)&amp;"")</f>
        <v/>
      </c>
      <c r="L67" s="49" t="str">
        <f t="shared" si="0"/>
        <v/>
      </c>
      <c r="M67" s="50" t="str">
        <f>IF(OR($J67="",$AA67=""),"",$J67*N(INDEX(Fertilisants!$G$8:$G$47,$AA67)))</f>
        <v/>
      </c>
      <c r="N67" s="50" t="str">
        <f>IF(OR($J67="",$AA67=""),"",$J67*N(INDEX(Fertilisants!$I$8:$I$47,$AA67)))</f>
        <v/>
      </c>
      <c r="O67" s="50" t="str">
        <f>IF(OR($J67="",$AA67=""),"",$J67*N(INDEX(Fertilisants!$J$8:$J$47,$AA67)))</f>
        <v/>
      </c>
      <c r="P67" s="50" t="str">
        <f>IF(OR($J67="",$AA67=""),"",$J67*N(INDEX(Fertilisants!$K$8:$K$47,$AA67)))</f>
        <v/>
      </c>
      <c r="Q67" s="50" t="str">
        <f t="shared" si="1"/>
        <v/>
      </c>
      <c r="R67" s="44"/>
      <c r="S67" s="44"/>
      <c r="T67" s="51"/>
      <c r="U67" s="44"/>
      <c r="V67" s="43"/>
      <c r="W67" s="52" t="str">
        <f t="shared" si="2"/>
        <v/>
      </c>
      <c r="X67" s="44"/>
      <c r="Z67" s="53" t="str">
        <f>IF($D67="","",IFERROR(MATCH($D67,Îlots!$D$8:$D$57,0),""))</f>
        <v/>
      </c>
      <c r="AA67" s="53" t="str">
        <f>IF($G67="","",IFERROR(MATCH($G67,Fertilisants!$B$8:$B$47,0),""))</f>
        <v/>
      </c>
      <c r="AB67" s="53" t="str">
        <f>IF($Z67="","",INDEX(Îlots!$E$8:$E$57,$Z67))</f>
        <v/>
      </c>
      <c r="AC67" s="53" t="str">
        <f>IF($Z67="","",INDEX(Îlots!$G$8:$G$57,$Z67)&amp;"")</f>
        <v/>
      </c>
      <c r="AD67" s="53" t="str">
        <f>IF($Z67="","",IF($F67=ApportCouvert,OccCouvert,INDEX(Îlots!$O$8:$O$57,$Z67)&amp;""))</f>
        <v/>
      </c>
      <c r="AE67" s="53" t="str">
        <f t="shared" si="3"/>
        <v/>
      </c>
      <c r="AF67" s="53" t="str">
        <f t="shared" si="4"/>
        <v/>
      </c>
      <c r="AG67" s="53" t="str">
        <f t="shared" si="5"/>
        <v/>
      </c>
      <c r="AH67" s="53">
        <f t="shared" si="6"/>
        <v>0</v>
      </c>
      <c r="AI67" s="53">
        <f t="shared" si="7"/>
        <v>0</v>
      </c>
      <c r="AJ67" s="53">
        <f t="shared" si="8"/>
        <v>0</v>
      </c>
      <c r="AK67" s="53">
        <f t="shared" si="9"/>
        <v>0</v>
      </c>
      <c r="AL67" s="53">
        <f t="shared" si="10"/>
        <v>0</v>
      </c>
      <c r="AM67" s="53">
        <f>IF($AA67="",0,IF(INDEX(Fertilisants!$C$8:$C$47,$AA67)="Effluent d'élevage",1,0))</f>
        <v>0</v>
      </c>
      <c r="AN67" s="53" t="str">
        <f>IF($AA67="","",IF(INDEX(Fertilisants!$C$8:$C$47,$AA67)="Engrais minéral","Minéral","Organique"))</f>
        <v/>
      </c>
      <c r="AO67" s="53" t="str">
        <f t="shared" si="11"/>
        <v/>
      </c>
      <c r="AP67" s="53" t="str">
        <f t="shared" si="12"/>
        <v/>
      </c>
      <c r="AQ67" s="53" t="str">
        <f t="shared" si="13"/>
        <v/>
      </c>
      <c r="AR67" s="53" t="str">
        <f>IF(AND($D67&lt;&gt;"",$D67=FicheIlot),COUNTIF($D$8:$D67,FicheIlot),"")</f>
        <v/>
      </c>
    </row>
    <row r="68" spans="2:44" ht="18.95" customHeight="1" x14ac:dyDescent="0.25">
      <c r="B68" s="42" t="str">
        <f>IF(C68="","",COUNT($C$8:C68))</f>
        <v/>
      </c>
      <c r="C68" s="43"/>
      <c r="D68" s="44"/>
      <c r="E68" s="45" t="str">
        <f>IF($Z68="","",IF($F68=ApportCouvert,INDEX(Îlots!$I$8:$I$57,$Z68)&amp;"",INDEX(Îlots!$N$8:$N$57,$Z68)&amp;""))</f>
        <v/>
      </c>
      <c r="F68" s="44"/>
      <c r="G68" s="44"/>
      <c r="H68" s="46" t="str">
        <f>IF($AA68="","",INDEX(Fertilisants!$D$8:$D$47,$AA68)&amp;"")</f>
        <v/>
      </c>
      <c r="I68" s="47"/>
      <c r="J68" s="48"/>
      <c r="K68" s="46" t="str">
        <f>IF($AA68="","",INDEX(Fertilisants!$E$8:$E$47,$AA68)&amp;"")</f>
        <v/>
      </c>
      <c r="L68" s="49" t="str">
        <f t="shared" si="0"/>
        <v/>
      </c>
      <c r="M68" s="50" t="str">
        <f>IF(OR($J68="",$AA68=""),"",$J68*N(INDEX(Fertilisants!$G$8:$G$47,$AA68)))</f>
        <v/>
      </c>
      <c r="N68" s="50" t="str">
        <f>IF(OR($J68="",$AA68=""),"",$J68*N(INDEX(Fertilisants!$I$8:$I$47,$AA68)))</f>
        <v/>
      </c>
      <c r="O68" s="50" t="str">
        <f>IF(OR($J68="",$AA68=""),"",$J68*N(INDEX(Fertilisants!$J$8:$J$47,$AA68)))</f>
        <v/>
      </c>
      <c r="P68" s="50" t="str">
        <f>IF(OR($J68="",$AA68=""),"",$J68*N(INDEX(Fertilisants!$K$8:$K$47,$AA68)))</f>
        <v/>
      </c>
      <c r="Q68" s="50" t="str">
        <f t="shared" si="1"/>
        <v/>
      </c>
      <c r="R68" s="44"/>
      <c r="S68" s="44"/>
      <c r="T68" s="51"/>
      <c r="U68" s="44"/>
      <c r="V68" s="43"/>
      <c r="W68" s="52" t="str">
        <f t="shared" si="2"/>
        <v/>
      </c>
      <c r="X68" s="44"/>
      <c r="Z68" s="53" t="str">
        <f>IF($D68="","",IFERROR(MATCH($D68,Îlots!$D$8:$D$57,0),""))</f>
        <v/>
      </c>
      <c r="AA68" s="53" t="str">
        <f>IF($G68="","",IFERROR(MATCH($G68,Fertilisants!$B$8:$B$47,0),""))</f>
        <v/>
      </c>
      <c r="AB68" s="53" t="str">
        <f>IF($Z68="","",INDEX(Îlots!$E$8:$E$57,$Z68))</f>
        <v/>
      </c>
      <c r="AC68" s="53" t="str">
        <f>IF($Z68="","",INDEX(Îlots!$G$8:$G$57,$Z68)&amp;"")</f>
        <v/>
      </c>
      <c r="AD68" s="53" t="str">
        <f>IF($Z68="","",IF($F68=ApportCouvert,OccCouvert,INDEX(Îlots!$O$8:$O$57,$Z68)&amp;""))</f>
        <v/>
      </c>
      <c r="AE68" s="53" t="str">
        <f t="shared" si="3"/>
        <v/>
      </c>
      <c r="AF68" s="53" t="str">
        <f t="shared" si="4"/>
        <v/>
      </c>
      <c r="AG68" s="53" t="str">
        <f t="shared" si="5"/>
        <v/>
      </c>
      <c r="AH68" s="53">
        <f t="shared" si="6"/>
        <v>0</v>
      </c>
      <c r="AI68" s="53">
        <f t="shared" si="7"/>
        <v>0</v>
      </c>
      <c r="AJ68" s="53">
        <f t="shared" si="8"/>
        <v>0</v>
      </c>
      <c r="AK68" s="53">
        <f t="shared" si="9"/>
        <v>0</v>
      </c>
      <c r="AL68" s="53">
        <f t="shared" si="10"/>
        <v>0</v>
      </c>
      <c r="AM68" s="53">
        <f>IF($AA68="",0,IF(INDEX(Fertilisants!$C$8:$C$47,$AA68)="Effluent d'élevage",1,0))</f>
        <v>0</v>
      </c>
      <c r="AN68" s="53" t="str">
        <f>IF($AA68="","",IF(INDEX(Fertilisants!$C$8:$C$47,$AA68)="Engrais minéral","Minéral","Organique"))</f>
        <v/>
      </c>
      <c r="AO68" s="53" t="str">
        <f t="shared" si="11"/>
        <v/>
      </c>
      <c r="AP68" s="53" t="str">
        <f t="shared" si="12"/>
        <v/>
      </c>
      <c r="AQ68" s="53" t="str">
        <f t="shared" si="13"/>
        <v/>
      </c>
      <c r="AR68" s="53" t="str">
        <f>IF(AND($D68&lt;&gt;"",$D68=FicheIlot),COUNTIF($D$8:$D68,FicheIlot),"")</f>
        <v/>
      </c>
    </row>
    <row r="69" spans="2:44" ht="18.95" customHeight="1" x14ac:dyDescent="0.25">
      <c r="B69" s="42" t="str">
        <f>IF(C69="","",COUNT($C$8:C69))</f>
        <v/>
      </c>
      <c r="C69" s="43"/>
      <c r="D69" s="44"/>
      <c r="E69" s="45" t="str">
        <f>IF($Z69="","",IF($F69=ApportCouvert,INDEX(Îlots!$I$8:$I$57,$Z69)&amp;"",INDEX(Îlots!$N$8:$N$57,$Z69)&amp;""))</f>
        <v/>
      </c>
      <c r="F69" s="44"/>
      <c r="G69" s="44"/>
      <c r="H69" s="46" t="str">
        <f>IF($AA69="","",INDEX(Fertilisants!$D$8:$D$47,$AA69)&amp;"")</f>
        <v/>
      </c>
      <c r="I69" s="47"/>
      <c r="J69" s="48"/>
      <c r="K69" s="46" t="str">
        <f>IF($AA69="","",INDEX(Fertilisants!$E$8:$E$47,$AA69)&amp;"")</f>
        <v/>
      </c>
      <c r="L69" s="49" t="str">
        <f t="shared" si="0"/>
        <v/>
      </c>
      <c r="M69" s="50" t="str">
        <f>IF(OR($J69="",$AA69=""),"",$J69*N(INDEX(Fertilisants!$G$8:$G$47,$AA69)))</f>
        <v/>
      </c>
      <c r="N69" s="50" t="str">
        <f>IF(OR($J69="",$AA69=""),"",$J69*N(INDEX(Fertilisants!$I$8:$I$47,$AA69)))</f>
        <v/>
      </c>
      <c r="O69" s="50" t="str">
        <f>IF(OR($J69="",$AA69=""),"",$J69*N(INDEX(Fertilisants!$J$8:$J$47,$AA69)))</f>
        <v/>
      </c>
      <c r="P69" s="50" t="str">
        <f>IF(OR($J69="",$AA69=""),"",$J69*N(INDEX(Fertilisants!$K$8:$K$47,$AA69)))</f>
        <v/>
      </c>
      <c r="Q69" s="50" t="str">
        <f t="shared" si="1"/>
        <v/>
      </c>
      <c r="R69" s="44"/>
      <c r="S69" s="44"/>
      <c r="T69" s="51"/>
      <c r="U69" s="44"/>
      <c r="V69" s="43"/>
      <c r="W69" s="52" t="str">
        <f t="shared" si="2"/>
        <v/>
      </c>
      <c r="X69" s="44"/>
      <c r="Z69" s="53" t="str">
        <f>IF($D69="","",IFERROR(MATCH($D69,Îlots!$D$8:$D$57,0),""))</f>
        <v/>
      </c>
      <c r="AA69" s="53" t="str">
        <f>IF($G69="","",IFERROR(MATCH($G69,Fertilisants!$B$8:$B$47,0),""))</f>
        <v/>
      </c>
      <c r="AB69" s="53" t="str">
        <f>IF($Z69="","",INDEX(Îlots!$E$8:$E$57,$Z69))</f>
        <v/>
      </c>
      <c r="AC69" s="53" t="str">
        <f>IF($Z69="","",INDEX(Îlots!$G$8:$G$57,$Z69)&amp;"")</f>
        <v/>
      </c>
      <c r="AD69" s="53" t="str">
        <f>IF($Z69="","",IF($F69=ApportCouvert,OccCouvert,INDEX(Îlots!$O$8:$O$57,$Z69)&amp;""))</f>
        <v/>
      </c>
      <c r="AE69" s="53" t="str">
        <f t="shared" si="3"/>
        <v/>
      </c>
      <c r="AF69" s="53" t="str">
        <f t="shared" si="4"/>
        <v/>
      </c>
      <c r="AG69" s="53" t="str">
        <f t="shared" si="5"/>
        <v/>
      </c>
      <c r="AH69" s="53">
        <f t="shared" si="6"/>
        <v>0</v>
      </c>
      <c r="AI69" s="53">
        <f t="shared" si="7"/>
        <v>0</v>
      </c>
      <c r="AJ69" s="53">
        <f t="shared" si="8"/>
        <v>0</v>
      </c>
      <c r="AK69" s="53">
        <f t="shared" si="9"/>
        <v>0</v>
      </c>
      <c r="AL69" s="53">
        <f t="shared" si="10"/>
        <v>0</v>
      </c>
      <c r="AM69" s="53">
        <f>IF($AA69="",0,IF(INDEX(Fertilisants!$C$8:$C$47,$AA69)="Effluent d'élevage",1,0))</f>
        <v>0</v>
      </c>
      <c r="AN69" s="53" t="str">
        <f>IF($AA69="","",IF(INDEX(Fertilisants!$C$8:$C$47,$AA69)="Engrais minéral","Minéral","Organique"))</f>
        <v/>
      </c>
      <c r="AO69" s="53" t="str">
        <f t="shared" si="11"/>
        <v/>
      </c>
      <c r="AP69" s="53" t="str">
        <f t="shared" si="12"/>
        <v/>
      </c>
      <c r="AQ69" s="53" t="str">
        <f t="shared" si="13"/>
        <v/>
      </c>
      <c r="AR69" s="53" t="str">
        <f>IF(AND($D69&lt;&gt;"",$D69=FicheIlot),COUNTIF($D$8:$D69,FicheIlot),"")</f>
        <v/>
      </c>
    </row>
    <row r="70" spans="2:44" ht="18.95" customHeight="1" x14ac:dyDescent="0.25">
      <c r="B70" s="42" t="str">
        <f>IF(C70="","",COUNT($C$8:C70))</f>
        <v/>
      </c>
      <c r="C70" s="43"/>
      <c r="D70" s="44"/>
      <c r="E70" s="45" t="str">
        <f>IF($Z70="","",IF($F70=ApportCouvert,INDEX(Îlots!$I$8:$I$57,$Z70)&amp;"",INDEX(Îlots!$N$8:$N$57,$Z70)&amp;""))</f>
        <v/>
      </c>
      <c r="F70" s="44"/>
      <c r="G70" s="44"/>
      <c r="H70" s="46" t="str">
        <f>IF($AA70="","",INDEX(Fertilisants!$D$8:$D$47,$AA70)&amp;"")</f>
        <v/>
      </c>
      <c r="I70" s="47"/>
      <c r="J70" s="48"/>
      <c r="K70" s="46" t="str">
        <f>IF($AA70="","",INDEX(Fertilisants!$E$8:$E$47,$AA70)&amp;"")</f>
        <v/>
      </c>
      <c r="L70" s="49" t="str">
        <f t="shared" si="0"/>
        <v/>
      </c>
      <c r="M70" s="50" t="str">
        <f>IF(OR($J70="",$AA70=""),"",$J70*N(INDEX(Fertilisants!$G$8:$G$47,$AA70)))</f>
        <v/>
      </c>
      <c r="N70" s="50" t="str">
        <f>IF(OR($J70="",$AA70=""),"",$J70*N(INDEX(Fertilisants!$I$8:$I$47,$AA70)))</f>
        <v/>
      </c>
      <c r="O70" s="50" t="str">
        <f>IF(OR($J70="",$AA70=""),"",$J70*N(INDEX(Fertilisants!$J$8:$J$47,$AA70)))</f>
        <v/>
      </c>
      <c r="P70" s="50" t="str">
        <f>IF(OR($J70="",$AA70=""),"",$J70*N(INDEX(Fertilisants!$K$8:$K$47,$AA70)))</f>
        <v/>
      </c>
      <c r="Q70" s="50" t="str">
        <f t="shared" si="1"/>
        <v/>
      </c>
      <c r="R70" s="44"/>
      <c r="S70" s="44"/>
      <c r="T70" s="51"/>
      <c r="U70" s="44"/>
      <c r="V70" s="43"/>
      <c r="W70" s="52" t="str">
        <f t="shared" si="2"/>
        <v/>
      </c>
      <c r="X70" s="44"/>
      <c r="Z70" s="53" t="str">
        <f>IF($D70="","",IFERROR(MATCH($D70,Îlots!$D$8:$D$57,0),""))</f>
        <v/>
      </c>
      <c r="AA70" s="53" t="str">
        <f>IF($G70="","",IFERROR(MATCH($G70,Fertilisants!$B$8:$B$47,0),""))</f>
        <v/>
      </c>
      <c r="AB70" s="53" t="str">
        <f>IF($Z70="","",INDEX(Îlots!$E$8:$E$57,$Z70))</f>
        <v/>
      </c>
      <c r="AC70" s="53" t="str">
        <f>IF($Z70="","",INDEX(Îlots!$G$8:$G$57,$Z70)&amp;"")</f>
        <v/>
      </c>
      <c r="AD70" s="53" t="str">
        <f>IF($Z70="","",IF($F70=ApportCouvert,OccCouvert,INDEX(Îlots!$O$8:$O$57,$Z70)&amp;""))</f>
        <v/>
      </c>
      <c r="AE70" s="53" t="str">
        <f t="shared" si="3"/>
        <v/>
      </c>
      <c r="AF70" s="53" t="str">
        <f t="shared" si="4"/>
        <v/>
      </c>
      <c r="AG70" s="53" t="str">
        <f t="shared" si="5"/>
        <v/>
      </c>
      <c r="AH70" s="53">
        <f t="shared" si="6"/>
        <v>0</v>
      </c>
      <c r="AI70" s="53">
        <f t="shared" si="7"/>
        <v>0</v>
      </c>
      <c r="AJ70" s="53">
        <f t="shared" si="8"/>
        <v>0</v>
      </c>
      <c r="AK70" s="53">
        <f t="shared" si="9"/>
        <v>0</v>
      </c>
      <c r="AL70" s="53">
        <f t="shared" si="10"/>
        <v>0</v>
      </c>
      <c r="AM70" s="53">
        <f>IF($AA70="",0,IF(INDEX(Fertilisants!$C$8:$C$47,$AA70)="Effluent d'élevage",1,0))</f>
        <v>0</v>
      </c>
      <c r="AN70" s="53" t="str">
        <f>IF($AA70="","",IF(INDEX(Fertilisants!$C$8:$C$47,$AA70)="Engrais minéral","Minéral","Organique"))</f>
        <v/>
      </c>
      <c r="AO70" s="53" t="str">
        <f t="shared" si="11"/>
        <v/>
      </c>
      <c r="AP70" s="53" t="str">
        <f t="shared" si="12"/>
        <v/>
      </c>
      <c r="AQ70" s="53" t="str">
        <f t="shared" si="13"/>
        <v/>
      </c>
      <c r="AR70" s="53" t="str">
        <f>IF(AND($D70&lt;&gt;"",$D70=FicheIlot),COUNTIF($D$8:$D70,FicheIlot),"")</f>
        <v/>
      </c>
    </row>
    <row r="71" spans="2:44" ht="18.95" customHeight="1" x14ac:dyDescent="0.25">
      <c r="B71" s="42" t="str">
        <f>IF(C71="","",COUNT($C$8:C71))</f>
        <v/>
      </c>
      <c r="C71" s="43"/>
      <c r="D71" s="44"/>
      <c r="E71" s="45" t="str">
        <f>IF($Z71="","",IF($F71=ApportCouvert,INDEX(Îlots!$I$8:$I$57,$Z71)&amp;"",INDEX(Îlots!$N$8:$N$57,$Z71)&amp;""))</f>
        <v/>
      </c>
      <c r="F71" s="44"/>
      <c r="G71" s="44"/>
      <c r="H71" s="46" t="str">
        <f>IF($AA71="","",INDEX(Fertilisants!$D$8:$D$47,$AA71)&amp;"")</f>
        <v/>
      </c>
      <c r="I71" s="47"/>
      <c r="J71" s="48"/>
      <c r="K71" s="46" t="str">
        <f>IF($AA71="","",INDEX(Fertilisants!$E$8:$E$47,$AA71)&amp;"")</f>
        <v/>
      </c>
      <c r="L71" s="49" t="str">
        <f t="shared" si="0"/>
        <v/>
      </c>
      <c r="M71" s="50" t="str">
        <f>IF(OR($J71="",$AA71=""),"",$J71*N(INDEX(Fertilisants!$G$8:$G$47,$AA71)))</f>
        <v/>
      </c>
      <c r="N71" s="50" t="str">
        <f>IF(OR($J71="",$AA71=""),"",$J71*N(INDEX(Fertilisants!$I$8:$I$47,$AA71)))</f>
        <v/>
      </c>
      <c r="O71" s="50" t="str">
        <f>IF(OR($J71="",$AA71=""),"",$J71*N(INDEX(Fertilisants!$J$8:$J$47,$AA71)))</f>
        <v/>
      </c>
      <c r="P71" s="50" t="str">
        <f>IF(OR($J71="",$AA71=""),"",$J71*N(INDEX(Fertilisants!$K$8:$K$47,$AA71)))</f>
        <v/>
      </c>
      <c r="Q71" s="50" t="str">
        <f t="shared" si="1"/>
        <v/>
      </c>
      <c r="R71" s="44"/>
      <c r="S71" s="44"/>
      <c r="T71" s="51"/>
      <c r="U71" s="44"/>
      <c r="V71" s="43"/>
      <c r="W71" s="52" t="str">
        <f t="shared" si="2"/>
        <v/>
      </c>
      <c r="X71" s="44"/>
      <c r="Z71" s="53" t="str">
        <f>IF($D71="","",IFERROR(MATCH($D71,Îlots!$D$8:$D$57,0),""))</f>
        <v/>
      </c>
      <c r="AA71" s="53" t="str">
        <f>IF($G71="","",IFERROR(MATCH($G71,Fertilisants!$B$8:$B$47,0),""))</f>
        <v/>
      </c>
      <c r="AB71" s="53" t="str">
        <f>IF($Z71="","",INDEX(Îlots!$E$8:$E$57,$Z71))</f>
        <v/>
      </c>
      <c r="AC71" s="53" t="str">
        <f>IF($Z71="","",INDEX(Îlots!$G$8:$G$57,$Z71)&amp;"")</f>
        <v/>
      </c>
      <c r="AD71" s="53" t="str">
        <f>IF($Z71="","",IF($F71=ApportCouvert,OccCouvert,INDEX(Îlots!$O$8:$O$57,$Z71)&amp;""))</f>
        <v/>
      </c>
      <c r="AE71" s="53" t="str">
        <f t="shared" si="3"/>
        <v/>
      </c>
      <c r="AF71" s="53" t="str">
        <f t="shared" si="4"/>
        <v/>
      </c>
      <c r="AG71" s="53" t="str">
        <f t="shared" si="5"/>
        <v/>
      </c>
      <c r="AH71" s="53">
        <f t="shared" si="6"/>
        <v>0</v>
      </c>
      <c r="AI71" s="53">
        <f t="shared" si="7"/>
        <v>0</v>
      </c>
      <c r="AJ71" s="53">
        <f t="shared" si="8"/>
        <v>0</v>
      </c>
      <c r="AK71" s="53">
        <f t="shared" si="9"/>
        <v>0</v>
      </c>
      <c r="AL71" s="53">
        <f t="shared" si="10"/>
        <v>0</v>
      </c>
      <c r="AM71" s="53">
        <f>IF($AA71="",0,IF(INDEX(Fertilisants!$C$8:$C$47,$AA71)="Effluent d'élevage",1,0))</f>
        <v>0</v>
      </c>
      <c r="AN71" s="53" t="str">
        <f>IF($AA71="","",IF(INDEX(Fertilisants!$C$8:$C$47,$AA71)="Engrais minéral","Minéral","Organique"))</f>
        <v/>
      </c>
      <c r="AO71" s="53" t="str">
        <f t="shared" si="11"/>
        <v/>
      </c>
      <c r="AP71" s="53" t="str">
        <f t="shared" si="12"/>
        <v/>
      </c>
      <c r="AQ71" s="53" t="str">
        <f t="shared" si="13"/>
        <v/>
      </c>
      <c r="AR71" s="53" t="str">
        <f>IF(AND($D71&lt;&gt;"",$D71=FicheIlot),COUNTIF($D$8:$D71,FicheIlot),"")</f>
        <v/>
      </c>
    </row>
    <row r="72" spans="2:44" ht="18.95" customHeight="1" x14ac:dyDescent="0.25">
      <c r="B72" s="42" t="str">
        <f>IF(C72="","",COUNT($C$8:C72))</f>
        <v/>
      </c>
      <c r="C72" s="43"/>
      <c r="D72" s="44"/>
      <c r="E72" s="45" t="str">
        <f>IF($Z72="","",IF($F72=ApportCouvert,INDEX(Îlots!$I$8:$I$57,$Z72)&amp;"",INDEX(Îlots!$N$8:$N$57,$Z72)&amp;""))</f>
        <v/>
      </c>
      <c r="F72" s="44"/>
      <c r="G72" s="44"/>
      <c r="H72" s="46" t="str">
        <f>IF($AA72="","",INDEX(Fertilisants!$D$8:$D$47,$AA72)&amp;"")</f>
        <v/>
      </c>
      <c r="I72" s="47"/>
      <c r="J72" s="48"/>
      <c r="K72" s="46" t="str">
        <f>IF($AA72="","",INDEX(Fertilisants!$E$8:$E$47,$AA72)&amp;"")</f>
        <v/>
      </c>
      <c r="L72" s="49" t="str">
        <f t="shared" ref="L72:L135" si="14">IF(OR($I72="",$J72=""),"",$I72*$J72)</f>
        <v/>
      </c>
      <c r="M72" s="50" t="str">
        <f>IF(OR($J72="",$AA72=""),"",$J72*N(INDEX(Fertilisants!$G$8:$G$47,$AA72)))</f>
        <v/>
      </c>
      <c r="N72" s="50" t="str">
        <f>IF(OR($J72="",$AA72=""),"",$J72*N(INDEX(Fertilisants!$I$8:$I$47,$AA72)))</f>
        <v/>
      </c>
      <c r="O72" s="50" t="str">
        <f>IF(OR($J72="",$AA72=""),"",$J72*N(INDEX(Fertilisants!$J$8:$J$47,$AA72)))</f>
        <v/>
      </c>
      <c r="P72" s="50" t="str">
        <f>IF(OR($J72="",$AA72=""),"",$J72*N(INDEX(Fertilisants!$K$8:$K$47,$AA72)))</f>
        <v/>
      </c>
      <c r="Q72" s="50" t="str">
        <f t="shared" ref="Q72:Q135" si="15">IF(OR($I72="",$M72=""),"",$I72*$M72)</f>
        <v/>
      </c>
      <c r="R72" s="44"/>
      <c r="S72" s="44"/>
      <c r="T72" s="51"/>
      <c r="U72" s="44"/>
      <c r="V72" s="43"/>
      <c r="W72" s="52" t="str">
        <f t="shared" ref="W72:W135" si="16">IF($C72="","",IF(OR($D72="",$G72="",$I72="",$J72=""),"Incomplet",IF(OR($R72="Enneigé",$R72="Détrempé",$R72="Inondé",AND($R72="Gelé",$H72&lt;&gt;"Type 0",$H72&lt;&gt;"Type Ia")),"Sol interdit",IF($AL72=1,"Période interdite",IF(AND(ISNUMBER($AB72),$I72&gt;$AB72+0.001),"Surface &gt; îlot",IF(OR($C72&lt;DebutCampagne,$C72&gt;FinCampagne),"Hors campagne",IF(AND(ISNUMBER($V72),$V72-$C72&gt;DelaiSaisie),"Saisie tardive","Conforme")))))))</f>
        <v/>
      </c>
      <c r="X72" s="44"/>
      <c r="Z72" s="53" t="str">
        <f>IF($D72="","",IFERROR(MATCH($D72,Îlots!$D$8:$D$57,0),""))</f>
        <v/>
      </c>
      <c r="AA72" s="53" t="str">
        <f>IF($G72="","",IFERROR(MATCH($G72,Fertilisants!$B$8:$B$47,0),""))</f>
        <v/>
      </c>
      <c r="AB72" s="53" t="str">
        <f>IF($Z72="","",INDEX(Îlots!$E$8:$E$57,$Z72))</f>
        <v/>
      </c>
      <c r="AC72" s="53" t="str">
        <f>IF($Z72="","",INDEX(Îlots!$G$8:$G$57,$Z72)&amp;"")</f>
        <v/>
      </c>
      <c r="AD72" s="53" t="str">
        <f>IF($Z72="","",IF($F72=ApportCouvert,OccCouvert,INDEX(Îlots!$O$8:$O$57,$Z72)&amp;""))</f>
        <v/>
      </c>
      <c r="AE72" s="53" t="str">
        <f t="shared" ref="AE72:AE135" si="17">IF(OR($AD72="",$AC72="Non",ZoneVulnerable="Non"),"",IFERROR(MATCH($AD72,CalOccupations,0),""))</f>
        <v/>
      </c>
      <c r="AF72" s="53" t="str">
        <f t="shared" ref="AF72:AF135" si="18">IF($H72="","",IFERROR(MATCH($H72,CalTypes,0),""))</f>
        <v/>
      </c>
      <c r="AG72" s="53" t="str">
        <f t="shared" ref="AG72:AG135" si="19">IF(ISNUMBER($C72),MONTH($C72)*100+DAY($C72),"")</f>
        <v/>
      </c>
      <c r="AH72" s="53">
        <f t="shared" ref="AH72:AH135" si="20">IF(OR($AE72="",$AF72=""),0,IF(N(INDEX(CalPrincipal,$AE72,$AF72+0))=0,0,MONTH(INDEX(CalPrincipal,$AE72,$AF72+0))*100+DAY(INDEX(CalPrincipal,$AE72,$AF72+0))))</f>
        <v>0</v>
      </c>
      <c r="AI72" s="53">
        <f t="shared" ref="AI72:AI135" si="21">IF(OR($AE72="",$AF72=""),0,IF(N(INDEX(CalPrincipal,$AE72,$AF72+1))=0,0,MONTH(INDEX(CalPrincipal,$AE72,$AF72+1))*100+DAY(INDEX(CalPrincipal,$AE72,$AF72+1))))</f>
        <v>0</v>
      </c>
      <c r="AJ72" s="53">
        <f t="shared" ref="AJ72:AJ135" si="22">IF(OR($AE72="",$AF72=""),0,IF(N(INDEX(CalComplement,$AE72,$AF72+0))=0,0,MONTH(INDEX(CalComplement,$AE72,$AF72+0))*100+DAY(INDEX(CalComplement,$AE72,$AF72+0))))</f>
        <v>0</v>
      </c>
      <c r="AK72" s="53">
        <f t="shared" ref="AK72:AK135" si="23">IF(OR($AE72="",$AF72=""),0,IF(N(INDEX(CalComplement,$AE72,$AF72+1))=0,0,MONTH(INDEX(CalComplement,$AE72,$AF72+1))*100+DAY(INDEX(CalComplement,$AE72,$AF72+1))))</f>
        <v>0</v>
      </c>
      <c r="AL72" s="53">
        <f t="shared" ref="AL72:AL135" si="24">IF(OR($AE72="",$AF72="",$AG72=""),0,IF(OR(AND($AH72&gt;0,IF($AH72&lt;=$AI72,AND($AG72&gt;=$AH72,$AG72&lt;=$AI72),OR($AG72&gt;=$AH72,$AG72&lt;=$AI72))),AND($AJ72&gt;0,IF($AJ72&lt;=$AK72,AND($AG72&gt;=$AJ72,$AG72&lt;=$AK72),OR($AG72&gt;=$AJ72,$AG72&lt;=$AK72)))),1,0))</f>
        <v>0</v>
      </c>
      <c r="AM72" s="53">
        <f>IF($AA72="",0,IF(INDEX(Fertilisants!$C$8:$C$47,$AA72)="Effluent d'élevage",1,0))</f>
        <v>0</v>
      </c>
      <c r="AN72" s="53" t="str">
        <f>IF($AA72="","",IF(INDEX(Fertilisants!$C$8:$C$47,$AA72)="Engrais minéral","Minéral","Organique"))</f>
        <v/>
      </c>
      <c r="AO72" s="53" t="str">
        <f t="shared" ref="AO72:AO135" si="25">IF(OR($I72="",$N72=""),"",$I72*$N72)</f>
        <v/>
      </c>
      <c r="AP72" s="53" t="str">
        <f t="shared" ref="AP72:AP135" si="26">IF(OR($I72="",$O72=""),"",$I72*$O72)</f>
        <v/>
      </c>
      <c r="AQ72" s="53" t="str">
        <f t="shared" ref="AQ72:AQ135" si="27">IF(OR($I72="",$P72=""),"",$I72*$P72)</f>
        <v/>
      </c>
      <c r="AR72" s="53" t="str">
        <f>IF(AND($D72&lt;&gt;"",$D72=FicheIlot),COUNTIF($D$8:$D72,FicheIlot),"")</f>
        <v/>
      </c>
    </row>
    <row r="73" spans="2:44" ht="18.95" customHeight="1" x14ac:dyDescent="0.25">
      <c r="B73" s="42" t="str">
        <f>IF(C73="","",COUNT($C$8:C73))</f>
        <v/>
      </c>
      <c r="C73" s="43"/>
      <c r="D73" s="44"/>
      <c r="E73" s="45" t="str">
        <f>IF($Z73="","",IF($F73=ApportCouvert,INDEX(Îlots!$I$8:$I$57,$Z73)&amp;"",INDEX(Îlots!$N$8:$N$57,$Z73)&amp;""))</f>
        <v/>
      </c>
      <c r="F73" s="44"/>
      <c r="G73" s="44"/>
      <c r="H73" s="46" t="str">
        <f>IF($AA73="","",INDEX(Fertilisants!$D$8:$D$47,$AA73)&amp;"")</f>
        <v/>
      </c>
      <c r="I73" s="47"/>
      <c r="J73" s="48"/>
      <c r="K73" s="46" t="str">
        <f>IF($AA73="","",INDEX(Fertilisants!$E$8:$E$47,$AA73)&amp;"")</f>
        <v/>
      </c>
      <c r="L73" s="49" t="str">
        <f t="shared" si="14"/>
        <v/>
      </c>
      <c r="M73" s="50" t="str">
        <f>IF(OR($J73="",$AA73=""),"",$J73*N(INDEX(Fertilisants!$G$8:$G$47,$AA73)))</f>
        <v/>
      </c>
      <c r="N73" s="50" t="str">
        <f>IF(OR($J73="",$AA73=""),"",$J73*N(INDEX(Fertilisants!$I$8:$I$47,$AA73)))</f>
        <v/>
      </c>
      <c r="O73" s="50" t="str">
        <f>IF(OR($J73="",$AA73=""),"",$J73*N(INDEX(Fertilisants!$J$8:$J$47,$AA73)))</f>
        <v/>
      </c>
      <c r="P73" s="50" t="str">
        <f>IF(OR($J73="",$AA73=""),"",$J73*N(INDEX(Fertilisants!$K$8:$K$47,$AA73)))</f>
        <v/>
      </c>
      <c r="Q73" s="50" t="str">
        <f t="shared" si="15"/>
        <v/>
      </c>
      <c r="R73" s="44"/>
      <c r="S73" s="44"/>
      <c r="T73" s="51"/>
      <c r="U73" s="44"/>
      <c r="V73" s="43"/>
      <c r="W73" s="52" t="str">
        <f t="shared" si="16"/>
        <v/>
      </c>
      <c r="X73" s="44"/>
      <c r="Z73" s="53" t="str">
        <f>IF($D73="","",IFERROR(MATCH($D73,Îlots!$D$8:$D$57,0),""))</f>
        <v/>
      </c>
      <c r="AA73" s="53" t="str">
        <f>IF($G73="","",IFERROR(MATCH($G73,Fertilisants!$B$8:$B$47,0),""))</f>
        <v/>
      </c>
      <c r="AB73" s="53" t="str">
        <f>IF($Z73="","",INDEX(Îlots!$E$8:$E$57,$Z73))</f>
        <v/>
      </c>
      <c r="AC73" s="53" t="str">
        <f>IF($Z73="","",INDEX(Îlots!$G$8:$G$57,$Z73)&amp;"")</f>
        <v/>
      </c>
      <c r="AD73" s="53" t="str">
        <f>IF($Z73="","",IF($F73=ApportCouvert,OccCouvert,INDEX(Îlots!$O$8:$O$57,$Z73)&amp;""))</f>
        <v/>
      </c>
      <c r="AE73" s="53" t="str">
        <f t="shared" si="17"/>
        <v/>
      </c>
      <c r="AF73" s="53" t="str">
        <f t="shared" si="18"/>
        <v/>
      </c>
      <c r="AG73" s="53" t="str">
        <f t="shared" si="19"/>
        <v/>
      </c>
      <c r="AH73" s="53">
        <f t="shared" si="20"/>
        <v>0</v>
      </c>
      <c r="AI73" s="53">
        <f t="shared" si="21"/>
        <v>0</v>
      </c>
      <c r="AJ73" s="53">
        <f t="shared" si="22"/>
        <v>0</v>
      </c>
      <c r="AK73" s="53">
        <f t="shared" si="23"/>
        <v>0</v>
      </c>
      <c r="AL73" s="53">
        <f t="shared" si="24"/>
        <v>0</v>
      </c>
      <c r="AM73" s="53">
        <f>IF($AA73="",0,IF(INDEX(Fertilisants!$C$8:$C$47,$AA73)="Effluent d'élevage",1,0))</f>
        <v>0</v>
      </c>
      <c r="AN73" s="53" t="str">
        <f>IF($AA73="","",IF(INDEX(Fertilisants!$C$8:$C$47,$AA73)="Engrais minéral","Minéral","Organique"))</f>
        <v/>
      </c>
      <c r="AO73" s="53" t="str">
        <f t="shared" si="25"/>
        <v/>
      </c>
      <c r="AP73" s="53" t="str">
        <f t="shared" si="26"/>
        <v/>
      </c>
      <c r="AQ73" s="53" t="str">
        <f t="shared" si="27"/>
        <v/>
      </c>
      <c r="AR73" s="53" t="str">
        <f>IF(AND($D73&lt;&gt;"",$D73=FicheIlot),COUNTIF($D$8:$D73,FicheIlot),"")</f>
        <v/>
      </c>
    </row>
    <row r="74" spans="2:44" ht="18.95" customHeight="1" x14ac:dyDescent="0.25">
      <c r="B74" s="42" t="str">
        <f>IF(C74="","",COUNT($C$8:C74))</f>
        <v/>
      </c>
      <c r="C74" s="43"/>
      <c r="D74" s="44"/>
      <c r="E74" s="45" t="str">
        <f>IF($Z74="","",IF($F74=ApportCouvert,INDEX(Îlots!$I$8:$I$57,$Z74)&amp;"",INDEX(Îlots!$N$8:$N$57,$Z74)&amp;""))</f>
        <v/>
      </c>
      <c r="F74" s="44"/>
      <c r="G74" s="44"/>
      <c r="H74" s="46" t="str">
        <f>IF($AA74="","",INDEX(Fertilisants!$D$8:$D$47,$AA74)&amp;"")</f>
        <v/>
      </c>
      <c r="I74" s="47"/>
      <c r="J74" s="48"/>
      <c r="K74" s="46" t="str">
        <f>IF($AA74="","",INDEX(Fertilisants!$E$8:$E$47,$AA74)&amp;"")</f>
        <v/>
      </c>
      <c r="L74" s="49" t="str">
        <f t="shared" si="14"/>
        <v/>
      </c>
      <c r="M74" s="50" t="str">
        <f>IF(OR($J74="",$AA74=""),"",$J74*N(INDEX(Fertilisants!$G$8:$G$47,$AA74)))</f>
        <v/>
      </c>
      <c r="N74" s="50" t="str">
        <f>IF(OR($J74="",$AA74=""),"",$J74*N(INDEX(Fertilisants!$I$8:$I$47,$AA74)))</f>
        <v/>
      </c>
      <c r="O74" s="50" t="str">
        <f>IF(OR($J74="",$AA74=""),"",$J74*N(INDEX(Fertilisants!$J$8:$J$47,$AA74)))</f>
        <v/>
      </c>
      <c r="P74" s="50" t="str">
        <f>IF(OR($J74="",$AA74=""),"",$J74*N(INDEX(Fertilisants!$K$8:$K$47,$AA74)))</f>
        <v/>
      </c>
      <c r="Q74" s="50" t="str">
        <f t="shared" si="15"/>
        <v/>
      </c>
      <c r="R74" s="44"/>
      <c r="S74" s="44"/>
      <c r="T74" s="51"/>
      <c r="U74" s="44"/>
      <c r="V74" s="43"/>
      <c r="W74" s="52" t="str">
        <f t="shared" si="16"/>
        <v/>
      </c>
      <c r="X74" s="44"/>
      <c r="Z74" s="53" t="str">
        <f>IF($D74="","",IFERROR(MATCH($D74,Îlots!$D$8:$D$57,0),""))</f>
        <v/>
      </c>
      <c r="AA74" s="53" t="str">
        <f>IF($G74="","",IFERROR(MATCH($G74,Fertilisants!$B$8:$B$47,0),""))</f>
        <v/>
      </c>
      <c r="AB74" s="53" t="str">
        <f>IF($Z74="","",INDEX(Îlots!$E$8:$E$57,$Z74))</f>
        <v/>
      </c>
      <c r="AC74" s="53" t="str">
        <f>IF($Z74="","",INDEX(Îlots!$G$8:$G$57,$Z74)&amp;"")</f>
        <v/>
      </c>
      <c r="AD74" s="53" t="str">
        <f>IF($Z74="","",IF($F74=ApportCouvert,OccCouvert,INDEX(Îlots!$O$8:$O$57,$Z74)&amp;""))</f>
        <v/>
      </c>
      <c r="AE74" s="53" t="str">
        <f t="shared" si="17"/>
        <v/>
      </c>
      <c r="AF74" s="53" t="str">
        <f t="shared" si="18"/>
        <v/>
      </c>
      <c r="AG74" s="53" t="str">
        <f t="shared" si="19"/>
        <v/>
      </c>
      <c r="AH74" s="53">
        <f t="shared" si="20"/>
        <v>0</v>
      </c>
      <c r="AI74" s="53">
        <f t="shared" si="21"/>
        <v>0</v>
      </c>
      <c r="AJ74" s="53">
        <f t="shared" si="22"/>
        <v>0</v>
      </c>
      <c r="AK74" s="53">
        <f t="shared" si="23"/>
        <v>0</v>
      </c>
      <c r="AL74" s="53">
        <f t="shared" si="24"/>
        <v>0</v>
      </c>
      <c r="AM74" s="53">
        <f>IF($AA74="",0,IF(INDEX(Fertilisants!$C$8:$C$47,$AA74)="Effluent d'élevage",1,0))</f>
        <v>0</v>
      </c>
      <c r="AN74" s="53" t="str">
        <f>IF($AA74="","",IF(INDEX(Fertilisants!$C$8:$C$47,$AA74)="Engrais minéral","Minéral","Organique"))</f>
        <v/>
      </c>
      <c r="AO74" s="53" t="str">
        <f t="shared" si="25"/>
        <v/>
      </c>
      <c r="AP74" s="53" t="str">
        <f t="shared" si="26"/>
        <v/>
      </c>
      <c r="AQ74" s="53" t="str">
        <f t="shared" si="27"/>
        <v/>
      </c>
      <c r="AR74" s="53" t="str">
        <f>IF(AND($D74&lt;&gt;"",$D74=FicheIlot),COUNTIF($D$8:$D74,FicheIlot),"")</f>
        <v/>
      </c>
    </row>
    <row r="75" spans="2:44" ht="18.95" customHeight="1" x14ac:dyDescent="0.25">
      <c r="B75" s="42" t="str">
        <f>IF(C75="","",COUNT($C$8:C75))</f>
        <v/>
      </c>
      <c r="C75" s="43"/>
      <c r="D75" s="44"/>
      <c r="E75" s="45" t="str">
        <f>IF($Z75="","",IF($F75=ApportCouvert,INDEX(Îlots!$I$8:$I$57,$Z75)&amp;"",INDEX(Îlots!$N$8:$N$57,$Z75)&amp;""))</f>
        <v/>
      </c>
      <c r="F75" s="44"/>
      <c r="G75" s="44"/>
      <c r="H75" s="46" t="str">
        <f>IF($AA75="","",INDEX(Fertilisants!$D$8:$D$47,$AA75)&amp;"")</f>
        <v/>
      </c>
      <c r="I75" s="47"/>
      <c r="J75" s="48"/>
      <c r="K75" s="46" t="str">
        <f>IF($AA75="","",INDEX(Fertilisants!$E$8:$E$47,$AA75)&amp;"")</f>
        <v/>
      </c>
      <c r="L75" s="49" t="str">
        <f t="shared" si="14"/>
        <v/>
      </c>
      <c r="M75" s="50" t="str">
        <f>IF(OR($J75="",$AA75=""),"",$J75*N(INDEX(Fertilisants!$G$8:$G$47,$AA75)))</f>
        <v/>
      </c>
      <c r="N75" s="50" t="str">
        <f>IF(OR($J75="",$AA75=""),"",$J75*N(INDEX(Fertilisants!$I$8:$I$47,$AA75)))</f>
        <v/>
      </c>
      <c r="O75" s="50" t="str">
        <f>IF(OR($J75="",$AA75=""),"",$J75*N(INDEX(Fertilisants!$J$8:$J$47,$AA75)))</f>
        <v/>
      </c>
      <c r="P75" s="50" t="str">
        <f>IF(OR($J75="",$AA75=""),"",$J75*N(INDEX(Fertilisants!$K$8:$K$47,$AA75)))</f>
        <v/>
      </c>
      <c r="Q75" s="50" t="str">
        <f t="shared" si="15"/>
        <v/>
      </c>
      <c r="R75" s="44"/>
      <c r="S75" s="44"/>
      <c r="T75" s="51"/>
      <c r="U75" s="44"/>
      <c r="V75" s="43"/>
      <c r="W75" s="52" t="str">
        <f t="shared" si="16"/>
        <v/>
      </c>
      <c r="X75" s="44"/>
      <c r="Z75" s="53" t="str">
        <f>IF($D75="","",IFERROR(MATCH($D75,Îlots!$D$8:$D$57,0),""))</f>
        <v/>
      </c>
      <c r="AA75" s="53" t="str">
        <f>IF($G75="","",IFERROR(MATCH($G75,Fertilisants!$B$8:$B$47,0),""))</f>
        <v/>
      </c>
      <c r="AB75" s="53" t="str">
        <f>IF($Z75="","",INDEX(Îlots!$E$8:$E$57,$Z75))</f>
        <v/>
      </c>
      <c r="AC75" s="53" t="str">
        <f>IF($Z75="","",INDEX(Îlots!$G$8:$G$57,$Z75)&amp;"")</f>
        <v/>
      </c>
      <c r="AD75" s="53" t="str">
        <f>IF($Z75="","",IF($F75=ApportCouvert,OccCouvert,INDEX(Îlots!$O$8:$O$57,$Z75)&amp;""))</f>
        <v/>
      </c>
      <c r="AE75" s="53" t="str">
        <f t="shared" si="17"/>
        <v/>
      </c>
      <c r="AF75" s="53" t="str">
        <f t="shared" si="18"/>
        <v/>
      </c>
      <c r="AG75" s="53" t="str">
        <f t="shared" si="19"/>
        <v/>
      </c>
      <c r="AH75" s="53">
        <f t="shared" si="20"/>
        <v>0</v>
      </c>
      <c r="AI75" s="53">
        <f t="shared" si="21"/>
        <v>0</v>
      </c>
      <c r="AJ75" s="53">
        <f t="shared" si="22"/>
        <v>0</v>
      </c>
      <c r="AK75" s="53">
        <f t="shared" si="23"/>
        <v>0</v>
      </c>
      <c r="AL75" s="53">
        <f t="shared" si="24"/>
        <v>0</v>
      </c>
      <c r="AM75" s="53">
        <f>IF($AA75="",0,IF(INDEX(Fertilisants!$C$8:$C$47,$AA75)="Effluent d'élevage",1,0))</f>
        <v>0</v>
      </c>
      <c r="AN75" s="53" t="str">
        <f>IF($AA75="","",IF(INDEX(Fertilisants!$C$8:$C$47,$AA75)="Engrais minéral","Minéral","Organique"))</f>
        <v/>
      </c>
      <c r="AO75" s="53" t="str">
        <f t="shared" si="25"/>
        <v/>
      </c>
      <c r="AP75" s="53" t="str">
        <f t="shared" si="26"/>
        <v/>
      </c>
      <c r="AQ75" s="53" t="str">
        <f t="shared" si="27"/>
        <v/>
      </c>
      <c r="AR75" s="53" t="str">
        <f>IF(AND($D75&lt;&gt;"",$D75=FicheIlot),COUNTIF($D$8:$D75,FicheIlot),"")</f>
        <v/>
      </c>
    </row>
    <row r="76" spans="2:44" ht="18.95" customHeight="1" x14ac:dyDescent="0.25">
      <c r="B76" s="42" t="str">
        <f>IF(C76="","",COUNT($C$8:C76))</f>
        <v/>
      </c>
      <c r="C76" s="43"/>
      <c r="D76" s="44"/>
      <c r="E76" s="45" t="str">
        <f>IF($Z76="","",IF($F76=ApportCouvert,INDEX(Îlots!$I$8:$I$57,$Z76)&amp;"",INDEX(Îlots!$N$8:$N$57,$Z76)&amp;""))</f>
        <v/>
      </c>
      <c r="F76" s="44"/>
      <c r="G76" s="44"/>
      <c r="H76" s="46" t="str">
        <f>IF($AA76="","",INDEX(Fertilisants!$D$8:$D$47,$AA76)&amp;"")</f>
        <v/>
      </c>
      <c r="I76" s="47"/>
      <c r="J76" s="48"/>
      <c r="K76" s="46" t="str">
        <f>IF($AA76="","",INDEX(Fertilisants!$E$8:$E$47,$AA76)&amp;"")</f>
        <v/>
      </c>
      <c r="L76" s="49" t="str">
        <f t="shared" si="14"/>
        <v/>
      </c>
      <c r="M76" s="50" t="str">
        <f>IF(OR($J76="",$AA76=""),"",$J76*N(INDEX(Fertilisants!$G$8:$G$47,$AA76)))</f>
        <v/>
      </c>
      <c r="N76" s="50" t="str">
        <f>IF(OR($J76="",$AA76=""),"",$J76*N(INDEX(Fertilisants!$I$8:$I$47,$AA76)))</f>
        <v/>
      </c>
      <c r="O76" s="50" t="str">
        <f>IF(OR($J76="",$AA76=""),"",$J76*N(INDEX(Fertilisants!$J$8:$J$47,$AA76)))</f>
        <v/>
      </c>
      <c r="P76" s="50" t="str">
        <f>IF(OR($J76="",$AA76=""),"",$J76*N(INDEX(Fertilisants!$K$8:$K$47,$AA76)))</f>
        <v/>
      </c>
      <c r="Q76" s="50" t="str">
        <f t="shared" si="15"/>
        <v/>
      </c>
      <c r="R76" s="44"/>
      <c r="S76" s="44"/>
      <c r="T76" s="51"/>
      <c r="U76" s="44"/>
      <c r="V76" s="43"/>
      <c r="W76" s="52" t="str">
        <f t="shared" si="16"/>
        <v/>
      </c>
      <c r="X76" s="44"/>
      <c r="Z76" s="53" t="str">
        <f>IF($D76="","",IFERROR(MATCH($D76,Îlots!$D$8:$D$57,0),""))</f>
        <v/>
      </c>
      <c r="AA76" s="53" t="str">
        <f>IF($G76="","",IFERROR(MATCH($G76,Fertilisants!$B$8:$B$47,0),""))</f>
        <v/>
      </c>
      <c r="AB76" s="53" t="str">
        <f>IF($Z76="","",INDEX(Îlots!$E$8:$E$57,$Z76))</f>
        <v/>
      </c>
      <c r="AC76" s="53" t="str">
        <f>IF($Z76="","",INDEX(Îlots!$G$8:$G$57,$Z76)&amp;"")</f>
        <v/>
      </c>
      <c r="AD76" s="53" t="str">
        <f>IF($Z76="","",IF($F76=ApportCouvert,OccCouvert,INDEX(Îlots!$O$8:$O$57,$Z76)&amp;""))</f>
        <v/>
      </c>
      <c r="AE76" s="53" t="str">
        <f t="shared" si="17"/>
        <v/>
      </c>
      <c r="AF76" s="53" t="str">
        <f t="shared" si="18"/>
        <v/>
      </c>
      <c r="AG76" s="53" t="str">
        <f t="shared" si="19"/>
        <v/>
      </c>
      <c r="AH76" s="53">
        <f t="shared" si="20"/>
        <v>0</v>
      </c>
      <c r="AI76" s="53">
        <f t="shared" si="21"/>
        <v>0</v>
      </c>
      <c r="AJ76" s="53">
        <f t="shared" si="22"/>
        <v>0</v>
      </c>
      <c r="AK76" s="53">
        <f t="shared" si="23"/>
        <v>0</v>
      </c>
      <c r="AL76" s="53">
        <f t="shared" si="24"/>
        <v>0</v>
      </c>
      <c r="AM76" s="53">
        <f>IF($AA76="",0,IF(INDEX(Fertilisants!$C$8:$C$47,$AA76)="Effluent d'élevage",1,0))</f>
        <v>0</v>
      </c>
      <c r="AN76" s="53" t="str">
        <f>IF($AA76="","",IF(INDEX(Fertilisants!$C$8:$C$47,$AA76)="Engrais minéral","Minéral","Organique"))</f>
        <v/>
      </c>
      <c r="AO76" s="53" t="str">
        <f t="shared" si="25"/>
        <v/>
      </c>
      <c r="AP76" s="53" t="str">
        <f t="shared" si="26"/>
        <v/>
      </c>
      <c r="AQ76" s="53" t="str">
        <f t="shared" si="27"/>
        <v/>
      </c>
      <c r="AR76" s="53" t="str">
        <f>IF(AND($D76&lt;&gt;"",$D76=FicheIlot),COUNTIF($D$8:$D76,FicheIlot),"")</f>
        <v/>
      </c>
    </row>
    <row r="77" spans="2:44" ht="18.95" customHeight="1" x14ac:dyDescent="0.25">
      <c r="B77" s="42" t="str">
        <f>IF(C77="","",COUNT($C$8:C77))</f>
        <v/>
      </c>
      <c r="C77" s="43"/>
      <c r="D77" s="44"/>
      <c r="E77" s="45" t="str">
        <f>IF($Z77="","",IF($F77=ApportCouvert,INDEX(Îlots!$I$8:$I$57,$Z77)&amp;"",INDEX(Îlots!$N$8:$N$57,$Z77)&amp;""))</f>
        <v/>
      </c>
      <c r="F77" s="44"/>
      <c r="G77" s="44"/>
      <c r="H77" s="46" t="str">
        <f>IF($AA77="","",INDEX(Fertilisants!$D$8:$D$47,$AA77)&amp;"")</f>
        <v/>
      </c>
      <c r="I77" s="47"/>
      <c r="J77" s="48"/>
      <c r="K77" s="46" t="str">
        <f>IF($AA77="","",INDEX(Fertilisants!$E$8:$E$47,$AA77)&amp;"")</f>
        <v/>
      </c>
      <c r="L77" s="49" t="str">
        <f t="shared" si="14"/>
        <v/>
      </c>
      <c r="M77" s="50" t="str">
        <f>IF(OR($J77="",$AA77=""),"",$J77*N(INDEX(Fertilisants!$G$8:$G$47,$AA77)))</f>
        <v/>
      </c>
      <c r="N77" s="50" t="str">
        <f>IF(OR($J77="",$AA77=""),"",$J77*N(INDEX(Fertilisants!$I$8:$I$47,$AA77)))</f>
        <v/>
      </c>
      <c r="O77" s="50" t="str">
        <f>IF(OR($J77="",$AA77=""),"",$J77*N(INDEX(Fertilisants!$J$8:$J$47,$AA77)))</f>
        <v/>
      </c>
      <c r="P77" s="50" t="str">
        <f>IF(OR($J77="",$AA77=""),"",$J77*N(INDEX(Fertilisants!$K$8:$K$47,$AA77)))</f>
        <v/>
      </c>
      <c r="Q77" s="50" t="str">
        <f t="shared" si="15"/>
        <v/>
      </c>
      <c r="R77" s="44"/>
      <c r="S77" s="44"/>
      <c r="T77" s="51"/>
      <c r="U77" s="44"/>
      <c r="V77" s="43"/>
      <c r="W77" s="52" t="str">
        <f t="shared" si="16"/>
        <v/>
      </c>
      <c r="X77" s="44"/>
      <c r="Z77" s="53" t="str">
        <f>IF($D77="","",IFERROR(MATCH($D77,Îlots!$D$8:$D$57,0),""))</f>
        <v/>
      </c>
      <c r="AA77" s="53" t="str">
        <f>IF($G77="","",IFERROR(MATCH($G77,Fertilisants!$B$8:$B$47,0),""))</f>
        <v/>
      </c>
      <c r="AB77" s="53" t="str">
        <f>IF($Z77="","",INDEX(Îlots!$E$8:$E$57,$Z77))</f>
        <v/>
      </c>
      <c r="AC77" s="53" t="str">
        <f>IF($Z77="","",INDEX(Îlots!$G$8:$G$57,$Z77)&amp;"")</f>
        <v/>
      </c>
      <c r="AD77" s="53" t="str">
        <f>IF($Z77="","",IF($F77=ApportCouvert,OccCouvert,INDEX(Îlots!$O$8:$O$57,$Z77)&amp;""))</f>
        <v/>
      </c>
      <c r="AE77" s="53" t="str">
        <f t="shared" si="17"/>
        <v/>
      </c>
      <c r="AF77" s="53" t="str">
        <f t="shared" si="18"/>
        <v/>
      </c>
      <c r="AG77" s="53" t="str">
        <f t="shared" si="19"/>
        <v/>
      </c>
      <c r="AH77" s="53">
        <f t="shared" si="20"/>
        <v>0</v>
      </c>
      <c r="AI77" s="53">
        <f t="shared" si="21"/>
        <v>0</v>
      </c>
      <c r="AJ77" s="53">
        <f t="shared" si="22"/>
        <v>0</v>
      </c>
      <c r="AK77" s="53">
        <f t="shared" si="23"/>
        <v>0</v>
      </c>
      <c r="AL77" s="53">
        <f t="shared" si="24"/>
        <v>0</v>
      </c>
      <c r="AM77" s="53">
        <f>IF($AA77="",0,IF(INDEX(Fertilisants!$C$8:$C$47,$AA77)="Effluent d'élevage",1,0))</f>
        <v>0</v>
      </c>
      <c r="AN77" s="53" t="str">
        <f>IF($AA77="","",IF(INDEX(Fertilisants!$C$8:$C$47,$AA77)="Engrais minéral","Minéral","Organique"))</f>
        <v/>
      </c>
      <c r="AO77" s="53" t="str">
        <f t="shared" si="25"/>
        <v/>
      </c>
      <c r="AP77" s="53" t="str">
        <f t="shared" si="26"/>
        <v/>
      </c>
      <c r="AQ77" s="53" t="str">
        <f t="shared" si="27"/>
        <v/>
      </c>
      <c r="AR77" s="53" t="str">
        <f>IF(AND($D77&lt;&gt;"",$D77=FicheIlot),COUNTIF($D$8:$D77,FicheIlot),"")</f>
        <v/>
      </c>
    </row>
    <row r="78" spans="2:44" ht="18.95" customHeight="1" x14ac:dyDescent="0.25">
      <c r="B78" s="42" t="str">
        <f>IF(C78="","",COUNT($C$8:C78))</f>
        <v/>
      </c>
      <c r="C78" s="43"/>
      <c r="D78" s="44"/>
      <c r="E78" s="45" t="str">
        <f>IF($Z78="","",IF($F78=ApportCouvert,INDEX(Îlots!$I$8:$I$57,$Z78)&amp;"",INDEX(Îlots!$N$8:$N$57,$Z78)&amp;""))</f>
        <v/>
      </c>
      <c r="F78" s="44"/>
      <c r="G78" s="44"/>
      <c r="H78" s="46" t="str">
        <f>IF($AA78="","",INDEX(Fertilisants!$D$8:$D$47,$AA78)&amp;"")</f>
        <v/>
      </c>
      <c r="I78" s="47"/>
      <c r="J78" s="48"/>
      <c r="K78" s="46" t="str">
        <f>IF($AA78="","",INDEX(Fertilisants!$E$8:$E$47,$AA78)&amp;"")</f>
        <v/>
      </c>
      <c r="L78" s="49" t="str">
        <f t="shared" si="14"/>
        <v/>
      </c>
      <c r="M78" s="50" t="str">
        <f>IF(OR($J78="",$AA78=""),"",$J78*N(INDEX(Fertilisants!$G$8:$G$47,$AA78)))</f>
        <v/>
      </c>
      <c r="N78" s="50" t="str">
        <f>IF(OR($J78="",$AA78=""),"",$J78*N(INDEX(Fertilisants!$I$8:$I$47,$AA78)))</f>
        <v/>
      </c>
      <c r="O78" s="50" t="str">
        <f>IF(OR($J78="",$AA78=""),"",$J78*N(INDEX(Fertilisants!$J$8:$J$47,$AA78)))</f>
        <v/>
      </c>
      <c r="P78" s="50" t="str">
        <f>IF(OR($J78="",$AA78=""),"",$J78*N(INDEX(Fertilisants!$K$8:$K$47,$AA78)))</f>
        <v/>
      </c>
      <c r="Q78" s="50" t="str">
        <f t="shared" si="15"/>
        <v/>
      </c>
      <c r="R78" s="44"/>
      <c r="S78" s="44"/>
      <c r="T78" s="51"/>
      <c r="U78" s="44"/>
      <c r="V78" s="43"/>
      <c r="W78" s="52" t="str">
        <f t="shared" si="16"/>
        <v/>
      </c>
      <c r="X78" s="44"/>
      <c r="Z78" s="53" t="str">
        <f>IF($D78="","",IFERROR(MATCH($D78,Îlots!$D$8:$D$57,0),""))</f>
        <v/>
      </c>
      <c r="AA78" s="53" t="str">
        <f>IF($G78="","",IFERROR(MATCH($G78,Fertilisants!$B$8:$B$47,0),""))</f>
        <v/>
      </c>
      <c r="AB78" s="53" t="str">
        <f>IF($Z78="","",INDEX(Îlots!$E$8:$E$57,$Z78))</f>
        <v/>
      </c>
      <c r="AC78" s="53" t="str">
        <f>IF($Z78="","",INDEX(Îlots!$G$8:$G$57,$Z78)&amp;"")</f>
        <v/>
      </c>
      <c r="AD78" s="53" t="str">
        <f>IF($Z78="","",IF($F78=ApportCouvert,OccCouvert,INDEX(Îlots!$O$8:$O$57,$Z78)&amp;""))</f>
        <v/>
      </c>
      <c r="AE78" s="53" t="str">
        <f t="shared" si="17"/>
        <v/>
      </c>
      <c r="AF78" s="53" t="str">
        <f t="shared" si="18"/>
        <v/>
      </c>
      <c r="AG78" s="53" t="str">
        <f t="shared" si="19"/>
        <v/>
      </c>
      <c r="AH78" s="53">
        <f t="shared" si="20"/>
        <v>0</v>
      </c>
      <c r="AI78" s="53">
        <f t="shared" si="21"/>
        <v>0</v>
      </c>
      <c r="AJ78" s="53">
        <f t="shared" si="22"/>
        <v>0</v>
      </c>
      <c r="AK78" s="53">
        <f t="shared" si="23"/>
        <v>0</v>
      </c>
      <c r="AL78" s="53">
        <f t="shared" si="24"/>
        <v>0</v>
      </c>
      <c r="AM78" s="53">
        <f>IF($AA78="",0,IF(INDEX(Fertilisants!$C$8:$C$47,$AA78)="Effluent d'élevage",1,0))</f>
        <v>0</v>
      </c>
      <c r="AN78" s="53" t="str">
        <f>IF($AA78="","",IF(INDEX(Fertilisants!$C$8:$C$47,$AA78)="Engrais minéral","Minéral","Organique"))</f>
        <v/>
      </c>
      <c r="AO78" s="53" t="str">
        <f t="shared" si="25"/>
        <v/>
      </c>
      <c r="AP78" s="53" t="str">
        <f t="shared" si="26"/>
        <v/>
      </c>
      <c r="AQ78" s="53" t="str">
        <f t="shared" si="27"/>
        <v/>
      </c>
      <c r="AR78" s="53" t="str">
        <f>IF(AND($D78&lt;&gt;"",$D78=FicheIlot),COUNTIF($D$8:$D78,FicheIlot),"")</f>
        <v/>
      </c>
    </row>
    <row r="79" spans="2:44" ht="18.95" customHeight="1" x14ac:dyDescent="0.25">
      <c r="B79" s="42" t="str">
        <f>IF(C79="","",COUNT($C$8:C79))</f>
        <v/>
      </c>
      <c r="C79" s="43"/>
      <c r="D79" s="44"/>
      <c r="E79" s="45" t="str">
        <f>IF($Z79="","",IF($F79=ApportCouvert,INDEX(Îlots!$I$8:$I$57,$Z79)&amp;"",INDEX(Îlots!$N$8:$N$57,$Z79)&amp;""))</f>
        <v/>
      </c>
      <c r="F79" s="44"/>
      <c r="G79" s="44"/>
      <c r="H79" s="46" t="str">
        <f>IF($AA79="","",INDEX(Fertilisants!$D$8:$D$47,$AA79)&amp;"")</f>
        <v/>
      </c>
      <c r="I79" s="47"/>
      <c r="J79" s="48"/>
      <c r="K79" s="46" t="str">
        <f>IF($AA79="","",INDEX(Fertilisants!$E$8:$E$47,$AA79)&amp;"")</f>
        <v/>
      </c>
      <c r="L79" s="49" t="str">
        <f t="shared" si="14"/>
        <v/>
      </c>
      <c r="M79" s="50" t="str">
        <f>IF(OR($J79="",$AA79=""),"",$J79*N(INDEX(Fertilisants!$G$8:$G$47,$AA79)))</f>
        <v/>
      </c>
      <c r="N79" s="50" t="str">
        <f>IF(OR($J79="",$AA79=""),"",$J79*N(INDEX(Fertilisants!$I$8:$I$47,$AA79)))</f>
        <v/>
      </c>
      <c r="O79" s="50" t="str">
        <f>IF(OR($J79="",$AA79=""),"",$J79*N(INDEX(Fertilisants!$J$8:$J$47,$AA79)))</f>
        <v/>
      </c>
      <c r="P79" s="50" t="str">
        <f>IF(OR($J79="",$AA79=""),"",$J79*N(INDEX(Fertilisants!$K$8:$K$47,$AA79)))</f>
        <v/>
      </c>
      <c r="Q79" s="50" t="str">
        <f t="shared" si="15"/>
        <v/>
      </c>
      <c r="R79" s="44"/>
      <c r="S79" s="44"/>
      <c r="T79" s="51"/>
      <c r="U79" s="44"/>
      <c r="V79" s="43"/>
      <c r="W79" s="52" t="str">
        <f t="shared" si="16"/>
        <v/>
      </c>
      <c r="X79" s="44"/>
      <c r="Z79" s="53" t="str">
        <f>IF($D79="","",IFERROR(MATCH($D79,Îlots!$D$8:$D$57,0),""))</f>
        <v/>
      </c>
      <c r="AA79" s="53" t="str">
        <f>IF($G79="","",IFERROR(MATCH($G79,Fertilisants!$B$8:$B$47,0),""))</f>
        <v/>
      </c>
      <c r="AB79" s="53" t="str">
        <f>IF($Z79="","",INDEX(Îlots!$E$8:$E$57,$Z79))</f>
        <v/>
      </c>
      <c r="AC79" s="53" t="str">
        <f>IF($Z79="","",INDEX(Îlots!$G$8:$G$57,$Z79)&amp;"")</f>
        <v/>
      </c>
      <c r="AD79" s="53" t="str">
        <f>IF($Z79="","",IF($F79=ApportCouvert,OccCouvert,INDEX(Îlots!$O$8:$O$57,$Z79)&amp;""))</f>
        <v/>
      </c>
      <c r="AE79" s="53" t="str">
        <f t="shared" si="17"/>
        <v/>
      </c>
      <c r="AF79" s="53" t="str">
        <f t="shared" si="18"/>
        <v/>
      </c>
      <c r="AG79" s="53" t="str">
        <f t="shared" si="19"/>
        <v/>
      </c>
      <c r="AH79" s="53">
        <f t="shared" si="20"/>
        <v>0</v>
      </c>
      <c r="AI79" s="53">
        <f t="shared" si="21"/>
        <v>0</v>
      </c>
      <c r="AJ79" s="53">
        <f t="shared" si="22"/>
        <v>0</v>
      </c>
      <c r="AK79" s="53">
        <f t="shared" si="23"/>
        <v>0</v>
      </c>
      <c r="AL79" s="53">
        <f t="shared" si="24"/>
        <v>0</v>
      </c>
      <c r="AM79" s="53">
        <f>IF($AA79="",0,IF(INDEX(Fertilisants!$C$8:$C$47,$AA79)="Effluent d'élevage",1,0))</f>
        <v>0</v>
      </c>
      <c r="AN79" s="53" t="str">
        <f>IF($AA79="","",IF(INDEX(Fertilisants!$C$8:$C$47,$AA79)="Engrais minéral","Minéral","Organique"))</f>
        <v/>
      </c>
      <c r="AO79" s="53" t="str">
        <f t="shared" si="25"/>
        <v/>
      </c>
      <c r="AP79" s="53" t="str">
        <f t="shared" si="26"/>
        <v/>
      </c>
      <c r="AQ79" s="53" t="str">
        <f t="shared" si="27"/>
        <v/>
      </c>
      <c r="AR79" s="53" t="str">
        <f>IF(AND($D79&lt;&gt;"",$D79=FicheIlot),COUNTIF($D$8:$D79,FicheIlot),"")</f>
        <v/>
      </c>
    </row>
    <row r="80" spans="2:44" ht="18.95" customHeight="1" x14ac:dyDescent="0.25">
      <c r="B80" s="42" t="str">
        <f>IF(C80="","",COUNT($C$8:C80))</f>
        <v/>
      </c>
      <c r="C80" s="43"/>
      <c r="D80" s="44"/>
      <c r="E80" s="45" t="str">
        <f>IF($Z80="","",IF($F80=ApportCouvert,INDEX(Îlots!$I$8:$I$57,$Z80)&amp;"",INDEX(Îlots!$N$8:$N$57,$Z80)&amp;""))</f>
        <v/>
      </c>
      <c r="F80" s="44"/>
      <c r="G80" s="44"/>
      <c r="H80" s="46" t="str">
        <f>IF($AA80="","",INDEX(Fertilisants!$D$8:$D$47,$AA80)&amp;"")</f>
        <v/>
      </c>
      <c r="I80" s="47"/>
      <c r="J80" s="48"/>
      <c r="K80" s="46" t="str">
        <f>IF($AA80="","",INDEX(Fertilisants!$E$8:$E$47,$AA80)&amp;"")</f>
        <v/>
      </c>
      <c r="L80" s="49" t="str">
        <f t="shared" si="14"/>
        <v/>
      </c>
      <c r="M80" s="50" t="str">
        <f>IF(OR($J80="",$AA80=""),"",$J80*N(INDEX(Fertilisants!$G$8:$G$47,$AA80)))</f>
        <v/>
      </c>
      <c r="N80" s="50" t="str">
        <f>IF(OR($J80="",$AA80=""),"",$J80*N(INDEX(Fertilisants!$I$8:$I$47,$AA80)))</f>
        <v/>
      </c>
      <c r="O80" s="50" t="str">
        <f>IF(OR($J80="",$AA80=""),"",$J80*N(INDEX(Fertilisants!$J$8:$J$47,$AA80)))</f>
        <v/>
      </c>
      <c r="P80" s="50" t="str">
        <f>IF(OR($J80="",$AA80=""),"",$J80*N(INDEX(Fertilisants!$K$8:$K$47,$AA80)))</f>
        <v/>
      </c>
      <c r="Q80" s="50" t="str">
        <f t="shared" si="15"/>
        <v/>
      </c>
      <c r="R80" s="44"/>
      <c r="S80" s="44"/>
      <c r="T80" s="51"/>
      <c r="U80" s="44"/>
      <c r="V80" s="43"/>
      <c r="W80" s="52" t="str">
        <f t="shared" si="16"/>
        <v/>
      </c>
      <c r="X80" s="44"/>
      <c r="Z80" s="53" t="str">
        <f>IF($D80="","",IFERROR(MATCH($D80,Îlots!$D$8:$D$57,0),""))</f>
        <v/>
      </c>
      <c r="AA80" s="53" t="str">
        <f>IF($G80="","",IFERROR(MATCH($G80,Fertilisants!$B$8:$B$47,0),""))</f>
        <v/>
      </c>
      <c r="AB80" s="53" t="str">
        <f>IF($Z80="","",INDEX(Îlots!$E$8:$E$57,$Z80))</f>
        <v/>
      </c>
      <c r="AC80" s="53" t="str">
        <f>IF($Z80="","",INDEX(Îlots!$G$8:$G$57,$Z80)&amp;"")</f>
        <v/>
      </c>
      <c r="AD80" s="53" t="str">
        <f>IF($Z80="","",IF($F80=ApportCouvert,OccCouvert,INDEX(Îlots!$O$8:$O$57,$Z80)&amp;""))</f>
        <v/>
      </c>
      <c r="AE80" s="53" t="str">
        <f t="shared" si="17"/>
        <v/>
      </c>
      <c r="AF80" s="53" t="str">
        <f t="shared" si="18"/>
        <v/>
      </c>
      <c r="AG80" s="53" t="str">
        <f t="shared" si="19"/>
        <v/>
      </c>
      <c r="AH80" s="53">
        <f t="shared" si="20"/>
        <v>0</v>
      </c>
      <c r="AI80" s="53">
        <f t="shared" si="21"/>
        <v>0</v>
      </c>
      <c r="AJ80" s="53">
        <f t="shared" si="22"/>
        <v>0</v>
      </c>
      <c r="AK80" s="53">
        <f t="shared" si="23"/>
        <v>0</v>
      </c>
      <c r="AL80" s="53">
        <f t="shared" si="24"/>
        <v>0</v>
      </c>
      <c r="AM80" s="53">
        <f>IF($AA80="",0,IF(INDEX(Fertilisants!$C$8:$C$47,$AA80)="Effluent d'élevage",1,0))</f>
        <v>0</v>
      </c>
      <c r="AN80" s="53" t="str">
        <f>IF($AA80="","",IF(INDEX(Fertilisants!$C$8:$C$47,$AA80)="Engrais minéral","Minéral","Organique"))</f>
        <v/>
      </c>
      <c r="AO80" s="53" t="str">
        <f t="shared" si="25"/>
        <v/>
      </c>
      <c r="AP80" s="53" t="str">
        <f t="shared" si="26"/>
        <v/>
      </c>
      <c r="AQ80" s="53" t="str">
        <f t="shared" si="27"/>
        <v/>
      </c>
      <c r="AR80" s="53" t="str">
        <f>IF(AND($D80&lt;&gt;"",$D80=FicheIlot),COUNTIF($D$8:$D80,FicheIlot),"")</f>
        <v/>
      </c>
    </row>
    <row r="81" spans="2:44" ht="18.95" customHeight="1" x14ac:dyDescent="0.25">
      <c r="B81" s="42" t="str">
        <f>IF(C81="","",COUNT($C$8:C81))</f>
        <v/>
      </c>
      <c r="C81" s="43"/>
      <c r="D81" s="44"/>
      <c r="E81" s="45" t="str">
        <f>IF($Z81="","",IF($F81=ApportCouvert,INDEX(Îlots!$I$8:$I$57,$Z81)&amp;"",INDEX(Îlots!$N$8:$N$57,$Z81)&amp;""))</f>
        <v/>
      </c>
      <c r="F81" s="44"/>
      <c r="G81" s="44"/>
      <c r="H81" s="46" t="str">
        <f>IF($AA81="","",INDEX(Fertilisants!$D$8:$D$47,$AA81)&amp;"")</f>
        <v/>
      </c>
      <c r="I81" s="47"/>
      <c r="J81" s="48"/>
      <c r="K81" s="46" t="str">
        <f>IF($AA81="","",INDEX(Fertilisants!$E$8:$E$47,$AA81)&amp;"")</f>
        <v/>
      </c>
      <c r="L81" s="49" t="str">
        <f t="shared" si="14"/>
        <v/>
      </c>
      <c r="M81" s="50" t="str">
        <f>IF(OR($J81="",$AA81=""),"",$J81*N(INDEX(Fertilisants!$G$8:$G$47,$AA81)))</f>
        <v/>
      </c>
      <c r="N81" s="50" t="str">
        <f>IF(OR($J81="",$AA81=""),"",$J81*N(INDEX(Fertilisants!$I$8:$I$47,$AA81)))</f>
        <v/>
      </c>
      <c r="O81" s="50" t="str">
        <f>IF(OR($J81="",$AA81=""),"",$J81*N(INDEX(Fertilisants!$J$8:$J$47,$AA81)))</f>
        <v/>
      </c>
      <c r="P81" s="50" t="str">
        <f>IF(OR($J81="",$AA81=""),"",$J81*N(INDEX(Fertilisants!$K$8:$K$47,$AA81)))</f>
        <v/>
      </c>
      <c r="Q81" s="50" t="str">
        <f t="shared" si="15"/>
        <v/>
      </c>
      <c r="R81" s="44"/>
      <c r="S81" s="44"/>
      <c r="T81" s="51"/>
      <c r="U81" s="44"/>
      <c r="V81" s="43"/>
      <c r="W81" s="52" t="str">
        <f t="shared" si="16"/>
        <v/>
      </c>
      <c r="X81" s="44"/>
      <c r="Z81" s="53" t="str">
        <f>IF($D81="","",IFERROR(MATCH($D81,Îlots!$D$8:$D$57,0),""))</f>
        <v/>
      </c>
      <c r="AA81" s="53" t="str">
        <f>IF($G81="","",IFERROR(MATCH($G81,Fertilisants!$B$8:$B$47,0),""))</f>
        <v/>
      </c>
      <c r="AB81" s="53" t="str">
        <f>IF($Z81="","",INDEX(Îlots!$E$8:$E$57,$Z81))</f>
        <v/>
      </c>
      <c r="AC81" s="53" t="str">
        <f>IF($Z81="","",INDEX(Îlots!$G$8:$G$57,$Z81)&amp;"")</f>
        <v/>
      </c>
      <c r="AD81" s="53" t="str">
        <f>IF($Z81="","",IF($F81=ApportCouvert,OccCouvert,INDEX(Îlots!$O$8:$O$57,$Z81)&amp;""))</f>
        <v/>
      </c>
      <c r="AE81" s="53" t="str">
        <f t="shared" si="17"/>
        <v/>
      </c>
      <c r="AF81" s="53" t="str">
        <f t="shared" si="18"/>
        <v/>
      </c>
      <c r="AG81" s="53" t="str">
        <f t="shared" si="19"/>
        <v/>
      </c>
      <c r="AH81" s="53">
        <f t="shared" si="20"/>
        <v>0</v>
      </c>
      <c r="AI81" s="53">
        <f t="shared" si="21"/>
        <v>0</v>
      </c>
      <c r="AJ81" s="53">
        <f t="shared" si="22"/>
        <v>0</v>
      </c>
      <c r="AK81" s="53">
        <f t="shared" si="23"/>
        <v>0</v>
      </c>
      <c r="AL81" s="53">
        <f t="shared" si="24"/>
        <v>0</v>
      </c>
      <c r="AM81" s="53">
        <f>IF($AA81="",0,IF(INDEX(Fertilisants!$C$8:$C$47,$AA81)="Effluent d'élevage",1,0))</f>
        <v>0</v>
      </c>
      <c r="AN81" s="53" t="str">
        <f>IF($AA81="","",IF(INDEX(Fertilisants!$C$8:$C$47,$AA81)="Engrais minéral","Minéral","Organique"))</f>
        <v/>
      </c>
      <c r="AO81" s="53" t="str">
        <f t="shared" si="25"/>
        <v/>
      </c>
      <c r="AP81" s="53" t="str">
        <f t="shared" si="26"/>
        <v/>
      </c>
      <c r="AQ81" s="53" t="str">
        <f t="shared" si="27"/>
        <v/>
      </c>
      <c r="AR81" s="53" t="str">
        <f>IF(AND($D81&lt;&gt;"",$D81=FicheIlot),COUNTIF($D$8:$D81,FicheIlot),"")</f>
        <v/>
      </c>
    </row>
    <row r="82" spans="2:44" ht="18.95" customHeight="1" x14ac:dyDescent="0.25">
      <c r="B82" s="42" t="str">
        <f>IF(C82="","",COUNT($C$8:C82))</f>
        <v/>
      </c>
      <c r="C82" s="43"/>
      <c r="D82" s="44"/>
      <c r="E82" s="45" t="str">
        <f>IF($Z82="","",IF($F82=ApportCouvert,INDEX(Îlots!$I$8:$I$57,$Z82)&amp;"",INDEX(Îlots!$N$8:$N$57,$Z82)&amp;""))</f>
        <v/>
      </c>
      <c r="F82" s="44"/>
      <c r="G82" s="44"/>
      <c r="H82" s="46" t="str">
        <f>IF($AA82="","",INDEX(Fertilisants!$D$8:$D$47,$AA82)&amp;"")</f>
        <v/>
      </c>
      <c r="I82" s="47"/>
      <c r="J82" s="48"/>
      <c r="K82" s="46" t="str">
        <f>IF($AA82="","",INDEX(Fertilisants!$E$8:$E$47,$AA82)&amp;"")</f>
        <v/>
      </c>
      <c r="L82" s="49" t="str">
        <f t="shared" si="14"/>
        <v/>
      </c>
      <c r="M82" s="50" t="str">
        <f>IF(OR($J82="",$AA82=""),"",$J82*N(INDEX(Fertilisants!$G$8:$G$47,$AA82)))</f>
        <v/>
      </c>
      <c r="N82" s="50" t="str">
        <f>IF(OR($J82="",$AA82=""),"",$J82*N(INDEX(Fertilisants!$I$8:$I$47,$AA82)))</f>
        <v/>
      </c>
      <c r="O82" s="50" t="str">
        <f>IF(OR($J82="",$AA82=""),"",$J82*N(INDEX(Fertilisants!$J$8:$J$47,$AA82)))</f>
        <v/>
      </c>
      <c r="P82" s="50" t="str">
        <f>IF(OR($J82="",$AA82=""),"",$J82*N(INDEX(Fertilisants!$K$8:$K$47,$AA82)))</f>
        <v/>
      </c>
      <c r="Q82" s="50" t="str">
        <f t="shared" si="15"/>
        <v/>
      </c>
      <c r="R82" s="44"/>
      <c r="S82" s="44"/>
      <c r="T82" s="51"/>
      <c r="U82" s="44"/>
      <c r="V82" s="43"/>
      <c r="W82" s="52" t="str">
        <f t="shared" si="16"/>
        <v/>
      </c>
      <c r="X82" s="44"/>
      <c r="Z82" s="53" t="str">
        <f>IF($D82="","",IFERROR(MATCH($D82,Îlots!$D$8:$D$57,0),""))</f>
        <v/>
      </c>
      <c r="AA82" s="53" t="str">
        <f>IF($G82="","",IFERROR(MATCH($G82,Fertilisants!$B$8:$B$47,0),""))</f>
        <v/>
      </c>
      <c r="AB82" s="53" t="str">
        <f>IF($Z82="","",INDEX(Îlots!$E$8:$E$57,$Z82))</f>
        <v/>
      </c>
      <c r="AC82" s="53" t="str">
        <f>IF($Z82="","",INDEX(Îlots!$G$8:$G$57,$Z82)&amp;"")</f>
        <v/>
      </c>
      <c r="AD82" s="53" t="str">
        <f>IF($Z82="","",IF($F82=ApportCouvert,OccCouvert,INDEX(Îlots!$O$8:$O$57,$Z82)&amp;""))</f>
        <v/>
      </c>
      <c r="AE82" s="53" t="str">
        <f t="shared" si="17"/>
        <v/>
      </c>
      <c r="AF82" s="53" t="str">
        <f t="shared" si="18"/>
        <v/>
      </c>
      <c r="AG82" s="53" t="str">
        <f t="shared" si="19"/>
        <v/>
      </c>
      <c r="AH82" s="53">
        <f t="shared" si="20"/>
        <v>0</v>
      </c>
      <c r="AI82" s="53">
        <f t="shared" si="21"/>
        <v>0</v>
      </c>
      <c r="AJ82" s="53">
        <f t="shared" si="22"/>
        <v>0</v>
      </c>
      <c r="AK82" s="53">
        <f t="shared" si="23"/>
        <v>0</v>
      </c>
      <c r="AL82" s="53">
        <f t="shared" si="24"/>
        <v>0</v>
      </c>
      <c r="AM82" s="53">
        <f>IF($AA82="",0,IF(INDEX(Fertilisants!$C$8:$C$47,$AA82)="Effluent d'élevage",1,0))</f>
        <v>0</v>
      </c>
      <c r="AN82" s="53" t="str">
        <f>IF($AA82="","",IF(INDEX(Fertilisants!$C$8:$C$47,$AA82)="Engrais minéral","Minéral","Organique"))</f>
        <v/>
      </c>
      <c r="AO82" s="53" t="str">
        <f t="shared" si="25"/>
        <v/>
      </c>
      <c r="AP82" s="53" t="str">
        <f t="shared" si="26"/>
        <v/>
      </c>
      <c r="AQ82" s="53" t="str">
        <f t="shared" si="27"/>
        <v/>
      </c>
      <c r="AR82" s="53" t="str">
        <f>IF(AND($D82&lt;&gt;"",$D82=FicheIlot),COUNTIF($D$8:$D82,FicheIlot),"")</f>
        <v/>
      </c>
    </row>
    <row r="83" spans="2:44" ht="18.95" customHeight="1" x14ac:dyDescent="0.25">
      <c r="B83" s="42" t="str">
        <f>IF(C83="","",COUNT($C$8:C83))</f>
        <v/>
      </c>
      <c r="C83" s="43"/>
      <c r="D83" s="44"/>
      <c r="E83" s="45" t="str">
        <f>IF($Z83="","",IF($F83=ApportCouvert,INDEX(Îlots!$I$8:$I$57,$Z83)&amp;"",INDEX(Îlots!$N$8:$N$57,$Z83)&amp;""))</f>
        <v/>
      </c>
      <c r="F83" s="44"/>
      <c r="G83" s="44"/>
      <c r="H83" s="46" t="str">
        <f>IF($AA83="","",INDEX(Fertilisants!$D$8:$D$47,$AA83)&amp;"")</f>
        <v/>
      </c>
      <c r="I83" s="47"/>
      <c r="J83" s="48"/>
      <c r="K83" s="46" t="str">
        <f>IF($AA83="","",INDEX(Fertilisants!$E$8:$E$47,$AA83)&amp;"")</f>
        <v/>
      </c>
      <c r="L83" s="49" t="str">
        <f t="shared" si="14"/>
        <v/>
      </c>
      <c r="M83" s="50" t="str">
        <f>IF(OR($J83="",$AA83=""),"",$J83*N(INDEX(Fertilisants!$G$8:$G$47,$AA83)))</f>
        <v/>
      </c>
      <c r="N83" s="50" t="str">
        <f>IF(OR($J83="",$AA83=""),"",$J83*N(INDEX(Fertilisants!$I$8:$I$47,$AA83)))</f>
        <v/>
      </c>
      <c r="O83" s="50" t="str">
        <f>IF(OR($J83="",$AA83=""),"",$J83*N(INDEX(Fertilisants!$J$8:$J$47,$AA83)))</f>
        <v/>
      </c>
      <c r="P83" s="50" t="str">
        <f>IF(OR($J83="",$AA83=""),"",$J83*N(INDEX(Fertilisants!$K$8:$K$47,$AA83)))</f>
        <v/>
      </c>
      <c r="Q83" s="50" t="str">
        <f t="shared" si="15"/>
        <v/>
      </c>
      <c r="R83" s="44"/>
      <c r="S83" s="44"/>
      <c r="T83" s="51"/>
      <c r="U83" s="44"/>
      <c r="V83" s="43"/>
      <c r="W83" s="52" t="str">
        <f t="shared" si="16"/>
        <v/>
      </c>
      <c r="X83" s="44"/>
      <c r="Z83" s="53" t="str">
        <f>IF($D83="","",IFERROR(MATCH($D83,Îlots!$D$8:$D$57,0),""))</f>
        <v/>
      </c>
      <c r="AA83" s="53" t="str">
        <f>IF($G83="","",IFERROR(MATCH($G83,Fertilisants!$B$8:$B$47,0),""))</f>
        <v/>
      </c>
      <c r="AB83" s="53" t="str">
        <f>IF($Z83="","",INDEX(Îlots!$E$8:$E$57,$Z83))</f>
        <v/>
      </c>
      <c r="AC83" s="53" t="str">
        <f>IF($Z83="","",INDEX(Îlots!$G$8:$G$57,$Z83)&amp;"")</f>
        <v/>
      </c>
      <c r="AD83" s="53" t="str">
        <f>IF($Z83="","",IF($F83=ApportCouvert,OccCouvert,INDEX(Îlots!$O$8:$O$57,$Z83)&amp;""))</f>
        <v/>
      </c>
      <c r="AE83" s="53" t="str">
        <f t="shared" si="17"/>
        <v/>
      </c>
      <c r="AF83" s="53" t="str">
        <f t="shared" si="18"/>
        <v/>
      </c>
      <c r="AG83" s="53" t="str">
        <f t="shared" si="19"/>
        <v/>
      </c>
      <c r="AH83" s="53">
        <f t="shared" si="20"/>
        <v>0</v>
      </c>
      <c r="AI83" s="53">
        <f t="shared" si="21"/>
        <v>0</v>
      </c>
      <c r="AJ83" s="53">
        <f t="shared" si="22"/>
        <v>0</v>
      </c>
      <c r="AK83" s="53">
        <f t="shared" si="23"/>
        <v>0</v>
      </c>
      <c r="AL83" s="53">
        <f t="shared" si="24"/>
        <v>0</v>
      </c>
      <c r="AM83" s="53">
        <f>IF($AA83="",0,IF(INDEX(Fertilisants!$C$8:$C$47,$AA83)="Effluent d'élevage",1,0))</f>
        <v>0</v>
      </c>
      <c r="AN83" s="53" t="str">
        <f>IF($AA83="","",IF(INDEX(Fertilisants!$C$8:$C$47,$AA83)="Engrais minéral","Minéral","Organique"))</f>
        <v/>
      </c>
      <c r="AO83" s="53" t="str">
        <f t="shared" si="25"/>
        <v/>
      </c>
      <c r="AP83" s="53" t="str">
        <f t="shared" si="26"/>
        <v/>
      </c>
      <c r="AQ83" s="53" t="str">
        <f t="shared" si="27"/>
        <v/>
      </c>
      <c r="AR83" s="53" t="str">
        <f>IF(AND($D83&lt;&gt;"",$D83=FicheIlot),COUNTIF($D$8:$D83,FicheIlot),"")</f>
        <v/>
      </c>
    </row>
    <row r="84" spans="2:44" ht="18.95" customHeight="1" x14ac:dyDescent="0.25">
      <c r="B84" s="42" t="str">
        <f>IF(C84="","",COUNT($C$8:C84))</f>
        <v/>
      </c>
      <c r="C84" s="43"/>
      <c r="D84" s="44"/>
      <c r="E84" s="45" t="str">
        <f>IF($Z84="","",IF($F84=ApportCouvert,INDEX(Îlots!$I$8:$I$57,$Z84)&amp;"",INDEX(Îlots!$N$8:$N$57,$Z84)&amp;""))</f>
        <v/>
      </c>
      <c r="F84" s="44"/>
      <c r="G84" s="44"/>
      <c r="H84" s="46" t="str">
        <f>IF($AA84="","",INDEX(Fertilisants!$D$8:$D$47,$AA84)&amp;"")</f>
        <v/>
      </c>
      <c r="I84" s="47"/>
      <c r="J84" s="48"/>
      <c r="K84" s="46" t="str">
        <f>IF($AA84="","",INDEX(Fertilisants!$E$8:$E$47,$AA84)&amp;"")</f>
        <v/>
      </c>
      <c r="L84" s="49" t="str">
        <f t="shared" si="14"/>
        <v/>
      </c>
      <c r="M84" s="50" t="str">
        <f>IF(OR($J84="",$AA84=""),"",$J84*N(INDEX(Fertilisants!$G$8:$G$47,$AA84)))</f>
        <v/>
      </c>
      <c r="N84" s="50" t="str">
        <f>IF(OR($J84="",$AA84=""),"",$J84*N(INDEX(Fertilisants!$I$8:$I$47,$AA84)))</f>
        <v/>
      </c>
      <c r="O84" s="50" t="str">
        <f>IF(OR($J84="",$AA84=""),"",$J84*N(INDEX(Fertilisants!$J$8:$J$47,$AA84)))</f>
        <v/>
      </c>
      <c r="P84" s="50" t="str">
        <f>IF(OR($J84="",$AA84=""),"",$J84*N(INDEX(Fertilisants!$K$8:$K$47,$AA84)))</f>
        <v/>
      </c>
      <c r="Q84" s="50" t="str">
        <f t="shared" si="15"/>
        <v/>
      </c>
      <c r="R84" s="44"/>
      <c r="S84" s="44"/>
      <c r="T84" s="51"/>
      <c r="U84" s="44"/>
      <c r="V84" s="43"/>
      <c r="W84" s="52" t="str">
        <f t="shared" si="16"/>
        <v/>
      </c>
      <c r="X84" s="44"/>
      <c r="Z84" s="53" t="str">
        <f>IF($D84="","",IFERROR(MATCH($D84,Îlots!$D$8:$D$57,0),""))</f>
        <v/>
      </c>
      <c r="AA84" s="53" t="str">
        <f>IF($G84="","",IFERROR(MATCH($G84,Fertilisants!$B$8:$B$47,0),""))</f>
        <v/>
      </c>
      <c r="AB84" s="53" t="str">
        <f>IF($Z84="","",INDEX(Îlots!$E$8:$E$57,$Z84))</f>
        <v/>
      </c>
      <c r="AC84" s="53" t="str">
        <f>IF($Z84="","",INDEX(Îlots!$G$8:$G$57,$Z84)&amp;"")</f>
        <v/>
      </c>
      <c r="AD84" s="53" t="str">
        <f>IF($Z84="","",IF($F84=ApportCouvert,OccCouvert,INDEX(Îlots!$O$8:$O$57,$Z84)&amp;""))</f>
        <v/>
      </c>
      <c r="AE84" s="53" t="str">
        <f t="shared" si="17"/>
        <v/>
      </c>
      <c r="AF84" s="53" t="str">
        <f t="shared" si="18"/>
        <v/>
      </c>
      <c r="AG84" s="53" t="str">
        <f t="shared" si="19"/>
        <v/>
      </c>
      <c r="AH84" s="53">
        <f t="shared" si="20"/>
        <v>0</v>
      </c>
      <c r="AI84" s="53">
        <f t="shared" si="21"/>
        <v>0</v>
      </c>
      <c r="AJ84" s="53">
        <f t="shared" si="22"/>
        <v>0</v>
      </c>
      <c r="AK84" s="53">
        <f t="shared" si="23"/>
        <v>0</v>
      </c>
      <c r="AL84" s="53">
        <f t="shared" si="24"/>
        <v>0</v>
      </c>
      <c r="AM84" s="53">
        <f>IF($AA84="",0,IF(INDEX(Fertilisants!$C$8:$C$47,$AA84)="Effluent d'élevage",1,0))</f>
        <v>0</v>
      </c>
      <c r="AN84" s="53" t="str">
        <f>IF($AA84="","",IF(INDEX(Fertilisants!$C$8:$C$47,$AA84)="Engrais minéral","Minéral","Organique"))</f>
        <v/>
      </c>
      <c r="AO84" s="53" t="str">
        <f t="shared" si="25"/>
        <v/>
      </c>
      <c r="AP84" s="53" t="str">
        <f t="shared" si="26"/>
        <v/>
      </c>
      <c r="AQ84" s="53" t="str">
        <f t="shared" si="27"/>
        <v/>
      </c>
      <c r="AR84" s="53" t="str">
        <f>IF(AND($D84&lt;&gt;"",$D84=FicheIlot),COUNTIF($D$8:$D84,FicheIlot),"")</f>
        <v/>
      </c>
    </row>
    <row r="85" spans="2:44" ht="18.95" customHeight="1" x14ac:dyDescent="0.25">
      <c r="B85" s="42" t="str">
        <f>IF(C85="","",COUNT($C$8:C85))</f>
        <v/>
      </c>
      <c r="C85" s="43"/>
      <c r="D85" s="44"/>
      <c r="E85" s="45" t="str">
        <f>IF($Z85="","",IF($F85=ApportCouvert,INDEX(Îlots!$I$8:$I$57,$Z85)&amp;"",INDEX(Îlots!$N$8:$N$57,$Z85)&amp;""))</f>
        <v/>
      </c>
      <c r="F85" s="44"/>
      <c r="G85" s="44"/>
      <c r="H85" s="46" t="str">
        <f>IF($AA85="","",INDEX(Fertilisants!$D$8:$D$47,$AA85)&amp;"")</f>
        <v/>
      </c>
      <c r="I85" s="47"/>
      <c r="J85" s="48"/>
      <c r="K85" s="46" t="str">
        <f>IF($AA85="","",INDEX(Fertilisants!$E$8:$E$47,$AA85)&amp;"")</f>
        <v/>
      </c>
      <c r="L85" s="49" t="str">
        <f t="shared" si="14"/>
        <v/>
      </c>
      <c r="M85" s="50" t="str">
        <f>IF(OR($J85="",$AA85=""),"",$J85*N(INDEX(Fertilisants!$G$8:$G$47,$AA85)))</f>
        <v/>
      </c>
      <c r="N85" s="50" t="str">
        <f>IF(OR($J85="",$AA85=""),"",$J85*N(INDEX(Fertilisants!$I$8:$I$47,$AA85)))</f>
        <v/>
      </c>
      <c r="O85" s="50" t="str">
        <f>IF(OR($J85="",$AA85=""),"",$J85*N(INDEX(Fertilisants!$J$8:$J$47,$AA85)))</f>
        <v/>
      </c>
      <c r="P85" s="50" t="str">
        <f>IF(OR($J85="",$AA85=""),"",$J85*N(INDEX(Fertilisants!$K$8:$K$47,$AA85)))</f>
        <v/>
      </c>
      <c r="Q85" s="50" t="str">
        <f t="shared" si="15"/>
        <v/>
      </c>
      <c r="R85" s="44"/>
      <c r="S85" s="44"/>
      <c r="T85" s="51"/>
      <c r="U85" s="44"/>
      <c r="V85" s="43"/>
      <c r="W85" s="52" t="str">
        <f t="shared" si="16"/>
        <v/>
      </c>
      <c r="X85" s="44"/>
      <c r="Z85" s="53" t="str">
        <f>IF($D85="","",IFERROR(MATCH($D85,Îlots!$D$8:$D$57,0),""))</f>
        <v/>
      </c>
      <c r="AA85" s="53" t="str">
        <f>IF($G85="","",IFERROR(MATCH($G85,Fertilisants!$B$8:$B$47,0),""))</f>
        <v/>
      </c>
      <c r="AB85" s="53" t="str">
        <f>IF($Z85="","",INDEX(Îlots!$E$8:$E$57,$Z85))</f>
        <v/>
      </c>
      <c r="AC85" s="53" t="str">
        <f>IF($Z85="","",INDEX(Îlots!$G$8:$G$57,$Z85)&amp;"")</f>
        <v/>
      </c>
      <c r="AD85" s="53" t="str">
        <f>IF($Z85="","",IF($F85=ApportCouvert,OccCouvert,INDEX(Îlots!$O$8:$O$57,$Z85)&amp;""))</f>
        <v/>
      </c>
      <c r="AE85" s="53" t="str">
        <f t="shared" si="17"/>
        <v/>
      </c>
      <c r="AF85" s="53" t="str">
        <f t="shared" si="18"/>
        <v/>
      </c>
      <c r="AG85" s="53" t="str">
        <f t="shared" si="19"/>
        <v/>
      </c>
      <c r="AH85" s="53">
        <f t="shared" si="20"/>
        <v>0</v>
      </c>
      <c r="AI85" s="53">
        <f t="shared" si="21"/>
        <v>0</v>
      </c>
      <c r="AJ85" s="53">
        <f t="shared" si="22"/>
        <v>0</v>
      </c>
      <c r="AK85" s="53">
        <f t="shared" si="23"/>
        <v>0</v>
      </c>
      <c r="AL85" s="53">
        <f t="shared" si="24"/>
        <v>0</v>
      </c>
      <c r="AM85" s="53">
        <f>IF($AA85="",0,IF(INDEX(Fertilisants!$C$8:$C$47,$AA85)="Effluent d'élevage",1,0))</f>
        <v>0</v>
      </c>
      <c r="AN85" s="53" t="str">
        <f>IF($AA85="","",IF(INDEX(Fertilisants!$C$8:$C$47,$AA85)="Engrais minéral","Minéral","Organique"))</f>
        <v/>
      </c>
      <c r="AO85" s="53" t="str">
        <f t="shared" si="25"/>
        <v/>
      </c>
      <c r="AP85" s="53" t="str">
        <f t="shared" si="26"/>
        <v/>
      </c>
      <c r="AQ85" s="53" t="str">
        <f t="shared" si="27"/>
        <v/>
      </c>
      <c r="AR85" s="53" t="str">
        <f>IF(AND($D85&lt;&gt;"",$D85=FicheIlot),COUNTIF($D$8:$D85,FicheIlot),"")</f>
        <v/>
      </c>
    </row>
    <row r="86" spans="2:44" ht="18.95" customHeight="1" x14ac:dyDescent="0.25">
      <c r="B86" s="42" t="str">
        <f>IF(C86="","",COUNT($C$8:C86))</f>
        <v/>
      </c>
      <c r="C86" s="43"/>
      <c r="D86" s="44"/>
      <c r="E86" s="45" t="str">
        <f>IF($Z86="","",IF($F86=ApportCouvert,INDEX(Îlots!$I$8:$I$57,$Z86)&amp;"",INDEX(Îlots!$N$8:$N$57,$Z86)&amp;""))</f>
        <v/>
      </c>
      <c r="F86" s="44"/>
      <c r="G86" s="44"/>
      <c r="H86" s="46" t="str">
        <f>IF($AA86="","",INDEX(Fertilisants!$D$8:$D$47,$AA86)&amp;"")</f>
        <v/>
      </c>
      <c r="I86" s="47"/>
      <c r="J86" s="48"/>
      <c r="K86" s="46" t="str">
        <f>IF($AA86="","",INDEX(Fertilisants!$E$8:$E$47,$AA86)&amp;"")</f>
        <v/>
      </c>
      <c r="L86" s="49" t="str">
        <f t="shared" si="14"/>
        <v/>
      </c>
      <c r="M86" s="50" t="str">
        <f>IF(OR($J86="",$AA86=""),"",$J86*N(INDEX(Fertilisants!$G$8:$G$47,$AA86)))</f>
        <v/>
      </c>
      <c r="N86" s="50" t="str">
        <f>IF(OR($J86="",$AA86=""),"",$J86*N(INDEX(Fertilisants!$I$8:$I$47,$AA86)))</f>
        <v/>
      </c>
      <c r="O86" s="50" t="str">
        <f>IF(OR($J86="",$AA86=""),"",$J86*N(INDEX(Fertilisants!$J$8:$J$47,$AA86)))</f>
        <v/>
      </c>
      <c r="P86" s="50" t="str">
        <f>IF(OR($J86="",$AA86=""),"",$J86*N(INDEX(Fertilisants!$K$8:$K$47,$AA86)))</f>
        <v/>
      </c>
      <c r="Q86" s="50" t="str">
        <f t="shared" si="15"/>
        <v/>
      </c>
      <c r="R86" s="44"/>
      <c r="S86" s="44"/>
      <c r="T86" s="51"/>
      <c r="U86" s="44"/>
      <c r="V86" s="43"/>
      <c r="W86" s="52" t="str">
        <f t="shared" si="16"/>
        <v/>
      </c>
      <c r="X86" s="44"/>
      <c r="Z86" s="53" t="str">
        <f>IF($D86="","",IFERROR(MATCH($D86,Îlots!$D$8:$D$57,0),""))</f>
        <v/>
      </c>
      <c r="AA86" s="53" t="str">
        <f>IF($G86="","",IFERROR(MATCH($G86,Fertilisants!$B$8:$B$47,0),""))</f>
        <v/>
      </c>
      <c r="AB86" s="53" t="str">
        <f>IF($Z86="","",INDEX(Îlots!$E$8:$E$57,$Z86))</f>
        <v/>
      </c>
      <c r="AC86" s="53" t="str">
        <f>IF($Z86="","",INDEX(Îlots!$G$8:$G$57,$Z86)&amp;"")</f>
        <v/>
      </c>
      <c r="AD86" s="53" t="str">
        <f>IF($Z86="","",IF($F86=ApportCouvert,OccCouvert,INDEX(Îlots!$O$8:$O$57,$Z86)&amp;""))</f>
        <v/>
      </c>
      <c r="AE86" s="53" t="str">
        <f t="shared" si="17"/>
        <v/>
      </c>
      <c r="AF86" s="53" t="str">
        <f t="shared" si="18"/>
        <v/>
      </c>
      <c r="AG86" s="53" t="str">
        <f t="shared" si="19"/>
        <v/>
      </c>
      <c r="AH86" s="53">
        <f t="shared" si="20"/>
        <v>0</v>
      </c>
      <c r="AI86" s="53">
        <f t="shared" si="21"/>
        <v>0</v>
      </c>
      <c r="AJ86" s="53">
        <f t="shared" si="22"/>
        <v>0</v>
      </c>
      <c r="AK86" s="53">
        <f t="shared" si="23"/>
        <v>0</v>
      </c>
      <c r="AL86" s="53">
        <f t="shared" si="24"/>
        <v>0</v>
      </c>
      <c r="AM86" s="53">
        <f>IF($AA86="",0,IF(INDEX(Fertilisants!$C$8:$C$47,$AA86)="Effluent d'élevage",1,0))</f>
        <v>0</v>
      </c>
      <c r="AN86" s="53" t="str">
        <f>IF($AA86="","",IF(INDEX(Fertilisants!$C$8:$C$47,$AA86)="Engrais minéral","Minéral","Organique"))</f>
        <v/>
      </c>
      <c r="AO86" s="53" t="str">
        <f t="shared" si="25"/>
        <v/>
      </c>
      <c r="AP86" s="53" t="str">
        <f t="shared" si="26"/>
        <v/>
      </c>
      <c r="AQ86" s="53" t="str">
        <f t="shared" si="27"/>
        <v/>
      </c>
      <c r="AR86" s="53" t="str">
        <f>IF(AND($D86&lt;&gt;"",$D86=FicheIlot),COUNTIF($D$8:$D86,FicheIlot),"")</f>
        <v/>
      </c>
    </row>
    <row r="87" spans="2:44" ht="18.95" customHeight="1" x14ac:dyDescent="0.25">
      <c r="B87" s="42" t="str">
        <f>IF(C87="","",COUNT($C$8:C87))</f>
        <v/>
      </c>
      <c r="C87" s="43"/>
      <c r="D87" s="44"/>
      <c r="E87" s="45" t="str">
        <f>IF($Z87="","",IF($F87=ApportCouvert,INDEX(Îlots!$I$8:$I$57,$Z87)&amp;"",INDEX(Îlots!$N$8:$N$57,$Z87)&amp;""))</f>
        <v/>
      </c>
      <c r="F87" s="44"/>
      <c r="G87" s="44"/>
      <c r="H87" s="46" t="str">
        <f>IF($AA87="","",INDEX(Fertilisants!$D$8:$D$47,$AA87)&amp;"")</f>
        <v/>
      </c>
      <c r="I87" s="47"/>
      <c r="J87" s="48"/>
      <c r="K87" s="46" t="str">
        <f>IF($AA87="","",INDEX(Fertilisants!$E$8:$E$47,$AA87)&amp;"")</f>
        <v/>
      </c>
      <c r="L87" s="49" t="str">
        <f t="shared" si="14"/>
        <v/>
      </c>
      <c r="M87" s="50" t="str">
        <f>IF(OR($J87="",$AA87=""),"",$J87*N(INDEX(Fertilisants!$G$8:$G$47,$AA87)))</f>
        <v/>
      </c>
      <c r="N87" s="50" t="str">
        <f>IF(OR($J87="",$AA87=""),"",$J87*N(INDEX(Fertilisants!$I$8:$I$47,$AA87)))</f>
        <v/>
      </c>
      <c r="O87" s="50" t="str">
        <f>IF(OR($J87="",$AA87=""),"",$J87*N(INDEX(Fertilisants!$J$8:$J$47,$AA87)))</f>
        <v/>
      </c>
      <c r="P87" s="50" t="str">
        <f>IF(OR($J87="",$AA87=""),"",$J87*N(INDEX(Fertilisants!$K$8:$K$47,$AA87)))</f>
        <v/>
      </c>
      <c r="Q87" s="50" t="str">
        <f t="shared" si="15"/>
        <v/>
      </c>
      <c r="R87" s="44"/>
      <c r="S87" s="44"/>
      <c r="T87" s="51"/>
      <c r="U87" s="44"/>
      <c r="V87" s="43"/>
      <c r="W87" s="52" t="str">
        <f t="shared" si="16"/>
        <v/>
      </c>
      <c r="X87" s="44"/>
      <c r="Z87" s="53" t="str">
        <f>IF($D87="","",IFERROR(MATCH($D87,Îlots!$D$8:$D$57,0),""))</f>
        <v/>
      </c>
      <c r="AA87" s="53" t="str">
        <f>IF($G87="","",IFERROR(MATCH($G87,Fertilisants!$B$8:$B$47,0),""))</f>
        <v/>
      </c>
      <c r="AB87" s="53" t="str">
        <f>IF($Z87="","",INDEX(Îlots!$E$8:$E$57,$Z87))</f>
        <v/>
      </c>
      <c r="AC87" s="53" t="str">
        <f>IF($Z87="","",INDEX(Îlots!$G$8:$G$57,$Z87)&amp;"")</f>
        <v/>
      </c>
      <c r="AD87" s="53" t="str">
        <f>IF($Z87="","",IF($F87=ApportCouvert,OccCouvert,INDEX(Îlots!$O$8:$O$57,$Z87)&amp;""))</f>
        <v/>
      </c>
      <c r="AE87" s="53" t="str">
        <f t="shared" si="17"/>
        <v/>
      </c>
      <c r="AF87" s="53" t="str">
        <f t="shared" si="18"/>
        <v/>
      </c>
      <c r="AG87" s="53" t="str">
        <f t="shared" si="19"/>
        <v/>
      </c>
      <c r="AH87" s="53">
        <f t="shared" si="20"/>
        <v>0</v>
      </c>
      <c r="AI87" s="53">
        <f t="shared" si="21"/>
        <v>0</v>
      </c>
      <c r="AJ87" s="53">
        <f t="shared" si="22"/>
        <v>0</v>
      </c>
      <c r="AK87" s="53">
        <f t="shared" si="23"/>
        <v>0</v>
      </c>
      <c r="AL87" s="53">
        <f t="shared" si="24"/>
        <v>0</v>
      </c>
      <c r="AM87" s="53">
        <f>IF($AA87="",0,IF(INDEX(Fertilisants!$C$8:$C$47,$AA87)="Effluent d'élevage",1,0))</f>
        <v>0</v>
      </c>
      <c r="AN87" s="53" t="str">
        <f>IF($AA87="","",IF(INDEX(Fertilisants!$C$8:$C$47,$AA87)="Engrais minéral","Minéral","Organique"))</f>
        <v/>
      </c>
      <c r="AO87" s="53" t="str">
        <f t="shared" si="25"/>
        <v/>
      </c>
      <c r="AP87" s="53" t="str">
        <f t="shared" si="26"/>
        <v/>
      </c>
      <c r="AQ87" s="53" t="str">
        <f t="shared" si="27"/>
        <v/>
      </c>
      <c r="AR87" s="53" t="str">
        <f>IF(AND($D87&lt;&gt;"",$D87=FicheIlot),COUNTIF($D$8:$D87,FicheIlot),"")</f>
        <v/>
      </c>
    </row>
    <row r="88" spans="2:44" ht="18.95" customHeight="1" x14ac:dyDescent="0.25">
      <c r="B88" s="42" t="str">
        <f>IF(C88="","",COUNT($C$8:C88))</f>
        <v/>
      </c>
      <c r="C88" s="43"/>
      <c r="D88" s="44"/>
      <c r="E88" s="45" t="str">
        <f>IF($Z88="","",IF($F88=ApportCouvert,INDEX(Îlots!$I$8:$I$57,$Z88)&amp;"",INDEX(Îlots!$N$8:$N$57,$Z88)&amp;""))</f>
        <v/>
      </c>
      <c r="F88" s="44"/>
      <c r="G88" s="44"/>
      <c r="H88" s="46" t="str">
        <f>IF($AA88="","",INDEX(Fertilisants!$D$8:$D$47,$AA88)&amp;"")</f>
        <v/>
      </c>
      <c r="I88" s="47"/>
      <c r="J88" s="48"/>
      <c r="K88" s="46" t="str">
        <f>IF($AA88="","",INDEX(Fertilisants!$E$8:$E$47,$AA88)&amp;"")</f>
        <v/>
      </c>
      <c r="L88" s="49" t="str">
        <f t="shared" si="14"/>
        <v/>
      </c>
      <c r="M88" s="50" t="str">
        <f>IF(OR($J88="",$AA88=""),"",$J88*N(INDEX(Fertilisants!$G$8:$G$47,$AA88)))</f>
        <v/>
      </c>
      <c r="N88" s="50" t="str">
        <f>IF(OR($J88="",$AA88=""),"",$J88*N(INDEX(Fertilisants!$I$8:$I$47,$AA88)))</f>
        <v/>
      </c>
      <c r="O88" s="50" t="str">
        <f>IF(OR($J88="",$AA88=""),"",$J88*N(INDEX(Fertilisants!$J$8:$J$47,$AA88)))</f>
        <v/>
      </c>
      <c r="P88" s="50" t="str">
        <f>IF(OR($J88="",$AA88=""),"",$J88*N(INDEX(Fertilisants!$K$8:$K$47,$AA88)))</f>
        <v/>
      </c>
      <c r="Q88" s="50" t="str">
        <f t="shared" si="15"/>
        <v/>
      </c>
      <c r="R88" s="44"/>
      <c r="S88" s="44"/>
      <c r="T88" s="51"/>
      <c r="U88" s="44"/>
      <c r="V88" s="43"/>
      <c r="W88" s="52" t="str">
        <f t="shared" si="16"/>
        <v/>
      </c>
      <c r="X88" s="44"/>
      <c r="Z88" s="53" t="str">
        <f>IF($D88="","",IFERROR(MATCH($D88,Îlots!$D$8:$D$57,0),""))</f>
        <v/>
      </c>
      <c r="AA88" s="53" t="str">
        <f>IF($G88="","",IFERROR(MATCH($G88,Fertilisants!$B$8:$B$47,0),""))</f>
        <v/>
      </c>
      <c r="AB88" s="53" t="str">
        <f>IF($Z88="","",INDEX(Îlots!$E$8:$E$57,$Z88))</f>
        <v/>
      </c>
      <c r="AC88" s="53" t="str">
        <f>IF($Z88="","",INDEX(Îlots!$G$8:$G$57,$Z88)&amp;"")</f>
        <v/>
      </c>
      <c r="AD88" s="53" t="str">
        <f>IF($Z88="","",IF($F88=ApportCouvert,OccCouvert,INDEX(Îlots!$O$8:$O$57,$Z88)&amp;""))</f>
        <v/>
      </c>
      <c r="AE88" s="53" t="str">
        <f t="shared" si="17"/>
        <v/>
      </c>
      <c r="AF88" s="53" t="str">
        <f t="shared" si="18"/>
        <v/>
      </c>
      <c r="AG88" s="53" t="str">
        <f t="shared" si="19"/>
        <v/>
      </c>
      <c r="AH88" s="53">
        <f t="shared" si="20"/>
        <v>0</v>
      </c>
      <c r="AI88" s="53">
        <f t="shared" si="21"/>
        <v>0</v>
      </c>
      <c r="AJ88" s="53">
        <f t="shared" si="22"/>
        <v>0</v>
      </c>
      <c r="AK88" s="53">
        <f t="shared" si="23"/>
        <v>0</v>
      </c>
      <c r="AL88" s="53">
        <f t="shared" si="24"/>
        <v>0</v>
      </c>
      <c r="AM88" s="53">
        <f>IF($AA88="",0,IF(INDEX(Fertilisants!$C$8:$C$47,$AA88)="Effluent d'élevage",1,0))</f>
        <v>0</v>
      </c>
      <c r="AN88" s="53" t="str">
        <f>IF($AA88="","",IF(INDEX(Fertilisants!$C$8:$C$47,$AA88)="Engrais minéral","Minéral","Organique"))</f>
        <v/>
      </c>
      <c r="AO88" s="53" t="str">
        <f t="shared" si="25"/>
        <v/>
      </c>
      <c r="AP88" s="53" t="str">
        <f t="shared" si="26"/>
        <v/>
      </c>
      <c r="AQ88" s="53" t="str">
        <f t="shared" si="27"/>
        <v/>
      </c>
      <c r="AR88" s="53" t="str">
        <f>IF(AND($D88&lt;&gt;"",$D88=FicheIlot),COUNTIF($D$8:$D88,FicheIlot),"")</f>
        <v/>
      </c>
    </row>
    <row r="89" spans="2:44" ht="18.95" customHeight="1" x14ac:dyDescent="0.25">
      <c r="B89" s="42" t="str">
        <f>IF(C89="","",COUNT($C$8:C89))</f>
        <v/>
      </c>
      <c r="C89" s="43"/>
      <c r="D89" s="44"/>
      <c r="E89" s="45" t="str">
        <f>IF($Z89="","",IF($F89=ApportCouvert,INDEX(Îlots!$I$8:$I$57,$Z89)&amp;"",INDEX(Îlots!$N$8:$N$57,$Z89)&amp;""))</f>
        <v/>
      </c>
      <c r="F89" s="44"/>
      <c r="G89" s="44"/>
      <c r="H89" s="46" t="str">
        <f>IF($AA89="","",INDEX(Fertilisants!$D$8:$D$47,$AA89)&amp;"")</f>
        <v/>
      </c>
      <c r="I89" s="47"/>
      <c r="J89" s="48"/>
      <c r="K89" s="46" t="str">
        <f>IF($AA89="","",INDEX(Fertilisants!$E$8:$E$47,$AA89)&amp;"")</f>
        <v/>
      </c>
      <c r="L89" s="49" t="str">
        <f t="shared" si="14"/>
        <v/>
      </c>
      <c r="M89" s="50" t="str">
        <f>IF(OR($J89="",$AA89=""),"",$J89*N(INDEX(Fertilisants!$G$8:$G$47,$AA89)))</f>
        <v/>
      </c>
      <c r="N89" s="50" t="str">
        <f>IF(OR($J89="",$AA89=""),"",$J89*N(INDEX(Fertilisants!$I$8:$I$47,$AA89)))</f>
        <v/>
      </c>
      <c r="O89" s="50" t="str">
        <f>IF(OR($J89="",$AA89=""),"",$J89*N(INDEX(Fertilisants!$J$8:$J$47,$AA89)))</f>
        <v/>
      </c>
      <c r="P89" s="50" t="str">
        <f>IF(OR($J89="",$AA89=""),"",$J89*N(INDEX(Fertilisants!$K$8:$K$47,$AA89)))</f>
        <v/>
      </c>
      <c r="Q89" s="50" t="str">
        <f t="shared" si="15"/>
        <v/>
      </c>
      <c r="R89" s="44"/>
      <c r="S89" s="44"/>
      <c r="T89" s="51"/>
      <c r="U89" s="44"/>
      <c r="V89" s="43"/>
      <c r="W89" s="52" t="str">
        <f t="shared" si="16"/>
        <v/>
      </c>
      <c r="X89" s="44"/>
      <c r="Z89" s="53" t="str">
        <f>IF($D89="","",IFERROR(MATCH($D89,Îlots!$D$8:$D$57,0),""))</f>
        <v/>
      </c>
      <c r="AA89" s="53" t="str">
        <f>IF($G89="","",IFERROR(MATCH($G89,Fertilisants!$B$8:$B$47,0),""))</f>
        <v/>
      </c>
      <c r="AB89" s="53" t="str">
        <f>IF($Z89="","",INDEX(Îlots!$E$8:$E$57,$Z89))</f>
        <v/>
      </c>
      <c r="AC89" s="53" t="str">
        <f>IF($Z89="","",INDEX(Îlots!$G$8:$G$57,$Z89)&amp;"")</f>
        <v/>
      </c>
      <c r="AD89" s="53" t="str">
        <f>IF($Z89="","",IF($F89=ApportCouvert,OccCouvert,INDEX(Îlots!$O$8:$O$57,$Z89)&amp;""))</f>
        <v/>
      </c>
      <c r="AE89" s="53" t="str">
        <f t="shared" si="17"/>
        <v/>
      </c>
      <c r="AF89" s="53" t="str">
        <f t="shared" si="18"/>
        <v/>
      </c>
      <c r="AG89" s="53" t="str">
        <f t="shared" si="19"/>
        <v/>
      </c>
      <c r="AH89" s="53">
        <f t="shared" si="20"/>
        <v>0</v>
      </c>
      <c r="AI89" s="53">
        <f t="shared" si="21"/>
        <v>0</v>
      </c>
      <c r="AJ89" s="53">
        <f t="shared" si="22"/>
        <v>0</v>
      </c>
      <c r="AK89" s="53">
        <f t="shared" si="23"/>
        <v>0</v>
      </c>
      <c r="AL89" s="53">
        <f t="shared" si="24"/>
        <v>0</v>
      </c>
      <c r="AM89" s="53">
        <f>IF($AA89="",0,IF(INDEX(Fertilisants!$C$8:$C$47,$AA89)="Effluent d'élevage",1,0))</f>
        <v>0</v>
      </c>
      <c r="AN89" s="53" t="str">
        <f>IF($AA89="","",IF(INDEX(Fertilisants!$C$8:$C$47,$AA89)="Engrais minéral","Minéral","Organique"))</f>
        <v/>
      </c>
      <c r="AO89" s="53" t="str">
        <f t="shared" si="25"/>
        <v/>
      </c>
      <c r="AP89" s="53" t="str">
        <f t="shared" si="26"/>
        <v/>
      </c>
      <c r="AQ89" s="53" t="str">
        <f t="shared" si="27"/>
        <v/>
      </c>
      <c r="AR89" s="53" t="str">
        <f>IF(AND($D89&lt;&gt;"",$D89=FicheIlot),COUNTIF($D$8:$D89,FicheIlot),"")</f>
        <v/>
      </c>
    </row>
    <row r="90" spans="2:44" ht="18.95" customHeight="1" x14ac:dyDescent="0.25">
      <c r="B90" s="42" t="str">
        <f>IF(C90="","",COUNT($C$8:C90))</f>
        <v/>
      </c>
      <c r="C90" s="43"/>
      <c r="D90" s="44"/>
      <c r="E90" s="45" t="str">
        <f>IF($Z90="","",IF($F90=ApportCouvert,INDEX(Îlots!$I$8:$I$57,$Z90)&amp;"",INDEX(Îlots!$N$8:$N$57,$Z90)&amp;""))</f>
        <v/>
      </c>
      <c r="F90" s="44"/>
      <c r="G90" s="44"/>
      <c r="H90" s="46" t="str">
        <f>IF($AA90="","",INDEX(Fertilisants!$D$8:$D$47,$AA90)&amp;"")</f>
        <v/>
      </c>
      <c r="I90" s="47"/>
      <c r="J90" s="48"/>
      <c r="K90" s="46" t="str">
        <f>IF($AA90="","",INDEX(Fertilisants!$E$8:$E$47,$AA90)&amp;"")</f>
        <v/>
      </c>
      <c r="L90" s="49" t="str">
        <f t="shared" si="14"/>
        <v/>
      </c>
      <c r="M90" s="50" t="str">
        <f>IF(OR($J90="",$AA90=""),"",$J90*N(INDEX(Fertilisants!$G$8:$G$47,$AA90)))</f>
        <v/>
      </c>
      <c r="N90" s="50" t="str">
        <f>IF(OR($J90="",$AA90=""),"",$J90*N(INDEX(Fertilisants!$I$8:$I$47,$AA90)))</f>
        <v/>
      </c>
      <c r="O90" s="50" t="str">
        <f>IF(OR($J90="",$AA90=""),"",$J90*N(INDEX(Fertilisants!$J$8:$J$47,$AA90)))</f>
        <v/>
      </c>
      <c r="P90" s="50" t="str">
        <f>IF(OR($J90="",$AA90=""),"",$J90*N(INDEX(Fertilisants!$K$8:$K$47,$AA90)))</f>
        <v/>
      </c>
      <c r="Q90" s="50" t="str">
        <f t="shared" si="15"/>
        <v/>
      </c>
      <c r="R90" s="44"/>
      <c r="S90" s="44"/>
      <c r="T90" s="51"/>
      <c r="U90" s="44"/>
      <c r="V90" s="43"/>
      <c r="W90" s="52" t="str">
        <f t="shared" si="16"/>
        <v/>
      </c>
      <c r="X90" s="44"/>
      <c r="Z90" s="53" t="str">
        <f>IF($D90="","",IFERROR(MATCH($D90,Îlots!$D$8:$D$57,0),""))</f>
        <v/>
      </c>
      <c r="AA90" s="53" t="str">
        <f>IF($G90="","",IFERROR(MATCH($G90,Fertilisants!$B$8:$B$47,0),""))</f>
        <v/>
      </c>
      <c r="AB90" s="53" t="str">
        <f>IF($Z90="","",INDEX(Îlots!$E$8:$E$57,$Z90))</f>
        <v/>
      </c>
      <c r="AC90" s="53" t="str">
        <f>IF($Z90="","",INDEX(Îlots!$G$8:$G$57,$Z90)&amp;"")</f>
        <v/>
      </c>
      <c r="AD90" s="53" t="str">
        <f>IF($Z90="","",IF($F90=ApportCouvert,OccCouvert,INDEX(Îlots!$O$8:$O$57,$Z90)&amp;""))</f>
        <v/>
      </c>
      <c r="AE90" s="53" t="str">
        <f t="shared" si="17"/>
        <v/>
      </c>
      <c r="AF90" s="53" t="str">
        <f t="shared" si="18"/>
        <v/>
      </c>
      <c r="AG90" s="53" t="str">
        <f t="shared" si="19"/>
        <v/>
      </c>
      <c r="AH90" s="53">
        <f t="shared" si="20"/>
        <v>0</v>
      </c>
      <c r="AI90" s="53">
        <f t="shared" si="21"/>
        <v>0</v>
      </c>
      <c r="AJ90" s="53">
        <f t="shared" si="22"/>
        <v>0</v>
      </c>
      <c r="AK90" s="53">
        <f t="shared" si="23"/>
        <v>0</v>
      </c>
      <c r="AL90" s="53">
        <f t="shared" si="24"/>
        <v>0</v>
      </c>
      <c r="AM90" s="53">
        <f>IF($AA90="",0,IF(INDEX(Fertilisants!$C$8:$C$47,$AA90)="Effluent d'élevage",1,0))</f>
        <v>0</v>
      </c>
      <c r="AN90" s="53" t="str">
        <f>IF($AA90="","",IF(INDEX(Fertilisants!$C$8:$C$47,$AA90)="Engrais minéral","Minéral","Organique"))</f>
        <v/>
      </c>
      <c r="AO90" s="53" t="str">
        <f t="shared" si="25"/>
        <v/>
      </c>
      <c r="AP90" s="53" t="str">
        <f t="shared" si="26"/>
        <v/>
      </c>
      <c r="AQ90" s="53" t="str">
        <f t="shared" si="27"/>
        <v/>
      </c>
      <c r="AR90" s="53" t="str">
        <f>IF(AND($D90&lt;&gt;"",$D90=FicheIlot),COUNTIF($D$8:$D90,FicheIlot),"")</f>
        <v/>
      </c>
    </row>
    <row r="91" spans="2:44" ht="18.95" customHeight="1" x14ac:dyDescent="0.25">
      <c r="B91" s="42" t="str">
        <f>IF(C91="","",COUNT($C$8:C91))</f>
        <v/>
      </c>
      <c r="C91" s="43"/>
      <c r="D91" s="44"/>
      <c r="E91" s="45" t="str">
        <f>IF($Z91="","",IF($F91=ApportCouvert,INDEX(Îlots!$I$8:$I$57,$Z91)&amp;"",INDEX(Îlots!$N$8:$N$57,$Z91)&amp;""))</f>
        <v/>
      </c>
      <c r="F91" s="44"/>
      <c r="G91" s="44"/>
      <c r="H91" s="46" t="str">
        <f>IF($AA91="","",INDEX(Fertilisants!$D$8:$D$47,$AA91)&amp;"")</f>
        <v/>
      </c>
      <c r="I91" s="47"/>
      <c r="J91" s="48"/>
      <c r="K91" s="46" t="str">
        <f>IF($AA91="","",INDEX(Fertilisants!$E$8:$E$47,$AA91)&amp;"")</f>
        <v/>
      </c>
      <c r="L91" s="49" t="str">
        <f t="shared" si="14"/>
        <v/>
      </c>
      <c r="M91" s="50" t="str">
        <f>IF(OR($J91="",$AA91=""),"",$J91*N(INDEX(Fertilisants!$G$8:$G$47,$AA91)))</f>
        <v/>
      </c>
      <c r="N91" s="50" t="str">
        <f>IF(OR($J91="",$AA91=""),"",$J91*N(INDEX(Fertilisants!$I$8:$I$47,$AA91)))</f>
        <v/>
      </c>
      <c r="O91" s="50" t="str">
        <f>IF(OR($J91="",$AA91=""),"",$J91*N(INDEX(Fertilisants!$J$8:$J$47,$AA91)))</f>
        <v/>
      </c>
      <c r="P91" s="50" t="str">
        <f>IF(OR($J91="",$AA91=""),"",$J91*N(INDEX(Fertilisants!$K$8:$K$47,$AA91)))</f>
        <v/>
      </c>
      <c r="Q91" s="50" t="str">
        <f t="shared" si="15"/>
        <v/>
      </c>
      <c r="R91" s="44"/>
      <c r="S91" s="44"/>
      <c r="T91" s="51"/>
      <c r="U91" s="44"/>
      <c r="V91" s="43"/>
      <c r="W91" s="52" t="str">
        <f t="shared" si="16"/>
        <v/>
      </c>
      <c r="X91" s="44"/>
      <c r="Z91" s="53" t="str">
        <f>IF($D91="","",IFERROR(MATCH($D91,Îlots!$D$8:$D$57,0),""))</f>
        <v/>
      </c>
      <c r="AA91" s="53" t="str">
        <f>IF($G91="","",IFERROR(MATCH($G91,Fertilisants!$B$8:$B$47,0),""))</f>
        <v/>
      </c>
      <c r="AB91" s="53" t="str">
        <f>IF($Z91="","",INDEX(Îlots!$E$8:$E$57,$Z91))</f>
        <v/>
      </c>
      <c r="AC91" s="53" t="str">
        <f>IF($Z91="","",INDEX(Îlots!$G$8:$G$57,$Z91)&amp;"")</f>
        <v/>
      </c>
      <c r="AD91" s="53" t="str">
        <f>IF($Z91="","",IF($F91=ApportCouvert,OccCouvert,INDEX(Îlots!$O$8:$O$57,$Z91)&amp;""))</f>
        <v/>
      </c>
      <c r="AE91" s="53" t="str">
        <f t="shared" si="17"/>
        <v/>
      </c>
      <c r="AF91" s="53" t="str">
        <f t="shared" si="18"/>
        <v/>
      </c>
      <c r="AG91" s="53" t="str">
        <f t="shared" si="19"/>
        <v/>
      </c>
      <c r="AH91" s="53">
        <f t="shared" si="20"/>
        <v>0</v>
      </c>
      <c r="AI91" s="53">
        <f t="shared" si="21"/>
        <v>0</v>
      </c>
      <c r="AJ91" s="53">
        <f t="shared" si="22"/>
        <v>0</v>
      </c>
      <c r="AK91" s="53">
        <f t="shared" si="23"/>
        <v>0</v>
      </c>
      <c r="AL91" s="53">
        <f t="shared" si="24"/>
        <v>0</v>
      </c>
      <c r="AM91" s="53">
        <f>IF($AA91="",0,IF(INDEX(Fertilisants!$C$8:$C$47,$AA91)="Effluent d'élevage",1,0))</f>
        <v>0</v>
      </c>
      <c r="AN91" s="53" t="str">
        <f>IF($AA91="","",IF(INDEX(Fertilisants!$C$8:$C$47,$AA91)="Engrais minéral","Minéral","Organique"))</f>
        <v/>
      </c>
      <c r="AO91" s="53" t="str">
        <f t="shared" si="25"/>
        <v/>
      </c>
      <c r="AP91" s="53" t="str">
        <f t="shared" si="26"/>
        <v/>
      </c>
      <c r="AQ91" s="53" t="str">
        <f t="shared" si="27"/>
        <v/>
      </c>
      <c r="AR91" s="53" t="str">
        <f>IF(AND($D91&lt;&gt;"",$D91=FicheIlot),COUNTIF($D$8:$D91,FicheIlot),"")</f>
        <v/>
      </c>
    </row>
    <row r="92" spans="2:44" ht="18.95" customHeight="1" x14ac:dyDescent="0.25">
      <c r="B92" s="42" t="str">
        <f>IF(C92="","",COUNT($C$8:C92))</f>
        <v/>
      </c>
      <c r="C92" s="43"/>
      <c r="D92" s="44"/>
      <c r="E92" s="45" t="str">
        <f>IF($Z92="","",IF($F92=ApportCouvert,INDEX(Îlots!$I$8:$I$57,$Z92)&amp;"",INDEX(Îlots!$N$8:$N$57,$Z92)&amp;""))</f>
        <v/>
      </c>
      <c r="F92" s="44"/>
      <c r="G92" s="44"/>
      <c r="H92" s="46" t="str">
        <f>IF($AA92="","",INDEX(Fertilisants!$D$8:$D$47,$AA92)&amp;"")</f>
        <v/>
      </c>
      <c r="I92" s="47"/>
      <c r="J92" s="48"/>
      <c r="K92" s="46" t="str">
        <f>IF($AA92="","",INDEX(Fertilisants!$E$8:$E$47,$AA92)&amp;"")</f>
        <v/>
      </c>
      <c r="L92" s="49" t="str">
        <f t="shared" si="14"/>
        <v/>
      </c>
      <c r="M92" s="50" t="str">
        <f>IF(OR($J92="",$AA92=""),"",$J92*N(INDEX(Fertilisants!$G$8:$G$47,$AA92)))</f>
        <v/>
      </c>
      <c r="N92" s="50" t="str">
        <f>IF(OR($J92="",$AA92=""),"",$J92*N(INDEX(Fertilisants!$I$8:$I$47,$AA92)))</f>
        <v/>
      </c>
      <c r="O92" s="50" t="str">
        <f>IF(OR($J92="",$AA92=""),"",$J92*N(INDEX(Fertilisants!$J$8:$J$47,$AA92)))</f>
        <v/>
      </c>
      <c r="P92" s="50" t="str">
        <f>IF(OR($J92="",$AA92=""),"",$J92*N(INDEX(Fertilisants!$K$8:$K$47,$AA92)))</f>
        <v/>
      </c>
      <c r="Q92" s="50" t="str">
        <f t="shared" si="15"/>
        <v/>
      </c>
      <c r="R92" s="44"/>
      <c r="S92" s="44"/>
      <c r="T92" s="51"/>
      <c r="U92" s="44"/>
      <c r="V92" s="43"/>
      <c r="W92" s="52" t="str">
        <f t="shared" si="16"/>
        <v/>
      </c>
      <c r="X92" s="44"/>
      <c r="Z92" s="53" t="str">
        <f>IF($D92="","",IFERROR(MATCH($D92,Îlots!$D$8:$D$57,0),""))</f>
        <v/>
      </c>
      <c r="AA92" s="53" t="str">
        <f>IF($G92="","",IFERROR(MATCH($G92,Fertilisants!$B$8:$B$47,0),""))</f>
        <v/>
      </c>
      <c r="AB92" s="53" t="str">
        <f>IF($Z92="","",INDEX(Îlots!$E$8:$E$57,$Z92))</f>
        <v/>
      </c>
      <c r="AC92" s="53" t="str">
        <f>IF($Z92="","",INDEX(Îlots!$G$8:$G$57,$Z92)&amp;"")</f>
        <v/>
      </c>
      <c r="AD92" s="53" t="str">
        <f>IF($Z92="","",IF($F92=ApportCouvert,OccCouvert,INDEX(Îlots!$O$8:$O$57,$Z92)&amp;""))</f>
        <v/>
      </c>
      <c r="AE92" s="53" t="str">
        <f t="shared" si="17"/>
        <v/>
      </c>
      <c r="AF92" s="53" t="str">
        <f t="shared" si="18"/>
        <v/>
      </c>
      <c r="AG92" s="53" t="str">
        <f t="shared" si="19"/>
        <v/>
      </c>
      <c r="AH92" s="53">
        <f t="shared" si="20"/>
        <v>0</v>
      </c>
      <c r="AI92" s="53">
        <f t="shared" si="21"/>
        <v>0</v>
      </c>
      <c r="AJ92" s="53">
        <f t="shared" si="22"/>
        <v>0</v>
      </c>
      <c r="AK92" s="53">
        <f t="shared" si="23"/>
        <v>0</v>
      </c>
      <c r="AL92" s="53">
        <f t="shared" si="24"/>
        <v>0</v>
      </c>
      <c r="AM92" s="53">
        <f>IF($AA92="",0,IF(INDEX(Fertilisants!$C$8:$C$47,$AA92)="Effluent d'élevage",1,0))</f>
        <v>0</v>
      </c>
      <c r="AN92" s="53" t="str">
        <f>IF($AA92="","",IF(INDEX(Fertilisants!$C$8:$C$47,$AA92)="Engrais minéral","Minéral","Organique"))</f>
        <v/>
      </c>
      <c r="AO92" s="53" t="str">
        <f t="shared" si="25"/>
        <v/>
      </c>
      <c r="AP92" s="53" t="str">
        <f t="shared" si="26"/>
        <v/>
      </c>
      <c r="AQ92" s="53" t="str">
        <f t="shared" si="27"/>
        <v/>
      </c>
      <c r="AR92" s="53" t="str">
        <f>IF(AND($D92&lt;&gt;"",$D92=FicheIlot),COUNTIF($D$8:$D92,FicheIlot),"")</f>
        <v/>
      </c>
    </row>
    <row r="93" spans="2:44" ht="18.95" customHeight="1" x14ac:dyDescent="0.25">
      <c r="B93" s="42" t="str">
        <f>IF(C93="","",COUNT($C$8:C93))</f>
        <v/>
      </c>
      <c r="C93" s="43"/>
      <c r="D93" s="44"/>
      <c r="E93" s="45" t="str">
        <f>IF($Z93="","",IF($F93=ApportCouvert,INDEX(Îlots!$I$8:$I$57,$Z93)&amp;"",INDEX(Îlots!$N$8:$N$57,$Z93)&amp;""))</f>
        <v/>
      </c>
      <c r="F93" s="44"/>
      <c r="G93" s="44"/>
      <c r="H93" s="46" t="str">
        <f>IF($AA93="","",INDEX(Fertilisants!$D$8:$D$47,$AA93)&amp;"")</f>
        <v/>
      </c>
      <c r="I93" s="47"/>
      <c r="J93" s="48"/>
      <c r="K93" s="46" t="str">
        <f>IF($AA93="","",INDEX(Fertilisants!$E$8:$E$47,$AA93)&amp;"")</f>
        <v/>
      </c>
      <c r="L93" s="49" t="str">
        <f t="shared" si="14"/>
        <v/>
      </c>
      <c r="M93" s="50" t="str">
        <f>IF(OR($J93="",$AA93=""),"",$J93*N(INDEX(Fertilisants!$G$8:$G$47,$AA93)))</f>
        <v/>
      </c>
      <c r="N93" s="50" t="str">
        <f>IF(OR($J93="",$AA93=""),"",$J93*N(INDEX(Fertilisants!$I$8:$I$47,$AA93)))</f>
        <v/>
      </c>
      <c r="O93" s="50" t="str">
        <f>IF(OR($J93="",$AA93=""),"",$J93*N(INDEX(Fertilisants!$J$8:$J$47,$AA93)))</f>
        <v/>
      </c>
      <c r="P93" s="50" t="str">
        <f>IF(OR($J93="",$AA93=""),"",$J93*N(INDEX(Fertilisants!$K$8:$K$47,$AA93)))</f>
        <v/>
      </c>
      <c r="Q93" s="50" t="str">
        <f t="shared" si="15"/>
        <v/>
      </c>
      <c r="R93" s="44"/>
      <c r="S93" s="44"/>
      <c r="T93" s="51"/>
      <c r="U93" s="44"/>
      <c r="V93" s="43"/>
      <c r="W93" s="52" t="str">
        <f t="shared" si="16"/>
        <v/>
      </c>
      <c r="X93" s="44"/>
      <c r="Z93" s="53" t="str">
        <f>IF($D93="","",IFERROR(MATCH($D93,Îlots!$D$8:$D$57,0),""))</f>
        <v/>
      </c>
      <c r="AA93" s="53" t="str">
        <f>IF($G93="","",IFERROR(MATCH($G93,Fertilisants!$B$8:$B$47,0),""))</f>
        <v/>
      </c>
      <c r="AB93" s="53" t="str">
        <f>IF($Z93="","",INDEX(Îlots!$E$8:$E$57,$Z93))</f>
        <v/>
      </c>
      <c r="AC93" s="53" t="str">
        <f>IF($Z93="","",INDEX(Îlots!$G$8:$G$57,$Z93)&amp;"")</f>
        <v/>
      </c>
      <c r="AD93" s="53" t="str">
        <f>IF($Z93="","",IF($F93=ApportCouvert,OccCouvert,INDEX(Îlots!$O$8:$O$57,$Z93)&amp;""))</f>
        <v/>
      </c>
      <c r="AE93" s="53" t="str">
        <f t="shared" si="17"/>
        <v/>
      </c>
      <c r="AF93" s="53" t="str">
        <f t="shared" si="18"/>
        <v/>
      </c>
      <c r="AG93" s="53" t="str">
        <f t="shared" si="19"/>
        <v/>
      </c>
      <c r="AH93" s="53">
        <f t="shared" si="20"/>
        <v>0</v>
      </c>
      <c r="AI93" s="53">
        <f t="shared" si="21"/>
        <v>0</v>
      </c>
      <c r="AJ93" s="53">
        <f t="shared" si="22"/>
        <v>0</v>
      </c>
      <c r="AK93" s="53">
        <f t="shared" si="23"/>
        <v>0</v>
      </c>
      <c r="AL93" s="53">
        <f t="shared" si="24"/>
        <v>0</v>
      </c>
      <c r="AM93" s="53">
        <f>IF($AA93="",0,IF(INDEX(Fertilisants!$C$8:$C$47,$AA93)="Effluent d'élevage",1,0))</f>
        <v>0</v>
      </c>
      <c r="AN93" s="53" t="str">
        <f>IF($AA93="","",IF(INDEX(Fertilisants!$C$8:$C$47,$AA93)="Engrais minéral","Minéral","Organique"))</f>
        <v/>
      </c>
      <c r="AO93" s="53" t="str">
        <f t="shared" si="25"/>
        <v/>
      </c>
      <c r="AP93" s="53" t="str">
        <f t="shared" si="26"/>
        <v/>
      </c>
      <c r="AQ93" s="53" t="str">
        <f t="shared" si="27"/>
        <v/>
      </c>
      <c r="AR93" s="53" t="str">
        <f>IF(AND($D93&lt;&gt;"",$D93=FicheIlot),COUNTIF($D$8:$D93,FicheIlot),"")</f>
        <v/>
      </c>
    </row>
    <row r="94" spans="2:44" ht="18.95" customHeight="1" x14ac:dyDescent="0.25">
      <c r="B94" s="42" t="str">
        <f>IF(C94="","",COUNT($C$8:C94))</f>
        <v/>
      </c>
      <c r="C94" s="43"/>
      <c r="D94" s="44"/>
      <c r="E94" s="45" t="str">
        <f>IF($Z94="","",IF($F94=ApportCouvert,INDEX(Îlots!$I$8:$I$57,$Z94)&amp;"",INDEX(Îlots!$N$8:$N$57,$Z94)&amp;""))</f>
        <v/>
      </c>
      <c r="F94" s="44"/>
      <c r="G94" s="44"/>
      <c r="H94" s="46" t="str">
        <f>IF($AA94="","",INDEX(Fertilisants!$D$8:$D$47,$AA94)&amp;"")</f>
        <v/>
      </c>
      <c r="I94" s="47"/>
      <c r="J94" s="48"/>
      <c r="K94" s="46" t="str">
        <f>IF($AA94="","",INDEX(Fertilisants!$E$8:$E$47,$AA94)&amp;"")</f>
        <v/>
      </c>
      <c r="L94" s="49" t="str">
        <f t="shared" si="14"/>
        <v/>
      </c>
      <c r="M94" s="50" t="str">
        <f>IF(OR($J94="",$AA94=""),"",$J94*N(INDEX(Fertilisants!$G$8:$G$47,$AA94)))</f>
        <v/>
      </c>
      <c r="N94" s="50" t="str">
        <f>IF(OR($J94="",$AA94=""),"",$J94*N(INDEX(Fertilisants!$I$8:$I$47,$AA94)))</f>
        <v/>
      </c>
      <c r="O94" s="50" t="str">
        <f>IF(OR($J94="",$AA94=""),"",$J94*N(INDEX(Fertilisants!$J$8:$J$47,$AA94)))</f>
        <v/>
      </c>
      <c r="P94" s="50" t="str">
        <f>IF(OR($J94="",$AA94=""),"",$J94*N(INDEX(Fertilisants!$K$8:$K$47,$AA94)))</f>
        <v/>
      </c>
      <c r="Q94" s="50" t="str">
        <f t="shared" si="15"/>
        <v/>
      </c>
      <c r="R94" s="44"/>
      <c r="S94" s="44"/>
      <c r="T94" s="51"/>
      <c r="U94" s="44"/>
      <c r="V94" s="43"/>
      <c r="W94" s="52" t="str">
        <f t="shared" si="16"/>
        <v/>
      </c>
      <c r="X94" s="44"/>
      <c r="Z94" s="53" t="str">
        <f>IF($D94="","",IFERROR(MATCH($D94,Îlots!$D$8:$D$57,0),""))</f>
        <v/>
      </c>
      <c r="AA94" s="53" t="str">
        <f>IF($G94="","",IFERROR(MATCH($G94,Fertilisants!$B$8:$B$47,0),""))</f>
        <v/>
      </c>
      <c r="AB94" s="53" t="str">
        <f>IF($Z94="","",INDEX(Îlots!$E$8:$E$57,$Z94))</f>
        <v/>
      </c>
      <c r="AC94" s="53" t="str">
        <f>IF($Z94="","",INDEX(Îlots!$G$8:$G$57,$Z94)&amp;"")</f>
        <v/>
      </c>
      <c r="AD94" s="53" t="str">
        <f>IF($Z94="","",IF($F94=ApportCouvert,OccCouvert,INDEX(Îlots!$O$8:$O$57,$Z94)&amp;""))</f>
        <v/>
      </c>
      <c r="AE94" s="53" t="str">
        <f t="shared" si="17"/>
        <v/>
      </c>
      <c r="AF94" s="53" t="str">
        <f t="shared" si="18"/>
        <v/>
      </c>
      <c r="AG94" s="53" t="str">
        <f t="shared" si="19"/>
        <v/>
      </c>
      <c r="AH94" s="53">
        <f t="shared" si="20"/>
        <v>0</v>
      </c>
      <c r="AI94" s="53">
        <f t="shared" si="21"/>
        <v>0</v>
      </c>
      <c r="AJ94" s="53">
        <f t="shared" si="22"/>
        <v>0</v>
      </c>
      <c r="AK94" s="53">
        <f t="shared" si="23"/>
        <v>0</v>
      </c>
      <c r="AL94" s="53">
        <f t="shared" si="24"/>
        <v>0</v>
      </c>
      <c r="AM94" s="53">
        <f>IF($AA94="",0,IF(INDEX(Fertilisants!$C$8:$C$47,$AA94)="Effluent d'élevage",1,0))</f>
        <v>0</v>
      </c>
      <c r="AN94" s="53" t="str">
        <f>IF($AA94="","",IF(INDEX(Fertilisants!$C$8:$C$47,$AA94)="Engrais minéral","Minéral","Organique"))</f>
        <v/>
      </c>
      <c r="AO94" s="53" t="str">
        <f t="shared" si="25"/>
        <v/>
      </c>
      <c r="AP94" s="53" t="str">
        <f t="shared" si="26"/>
        <v/>
      </c>
      <c r="AQ94" s="53" t="str">
        <f t="shared" si="27"/>
        <v/>
      </c>
      <c r="AR94" s="53" t="str">
        <f>IF(AND($D94&lt;&gt;"",$D94=FicheIlot),COUNTIF($D$8:$D94,FicheIlot),"")</f>
        <v/>
      </c>
    </row>
    <row r="95" spans="2:44" ht="18.95" customHeight="1" x14ac:dyDescent="0.25">
      <c r="B95" s="42" t="str">
        <f>IF(C95="","",COUNT($C$8:C95))</f>
        <v/>
      </c>
      <c r="C95" s="43"/>
      <c r="D95" s="44"/>
      <c r="E95" s="45" t="str">
        <f>IF($Z95="","",IF($F95=ApportCouvert,INDEX(Îlots!$I$8:$I$57,$Z95)&amp;"",INDEX(Îlots!$N$8:$N$57,$Z95)&amp;""))</f>
        <v/>
      </c>
      <c r="F95" s="44"/>
      <c r="G95" s="44"/>
      <c r="H95" s="46" t="str">
        <f>IF($AA95="","",INDEX(Fertilisants!$D$8:$D$47,$AA95)&amp;"")</f>
        <v/>
      </c>
      <c r="I95" s="47"/>
      <c r="J95" s="48"/>
      <c r="K95" s="46" t="str">
        <f>IF($AA95="","",INDEX(Fertilisants!$E$8:$E$47,$AA95)&amp;"")</f>
        <v/>
      </c>
      <c r="L95" s="49" t="str">
        <f t="shared" si="14"/>
        <v/>
      </c>
      <c r="M95" s="50" t="str">
        <f>IF(OR($J95="",$AA95=""),"",$J95*N(INDEX(Fertilisants!$G$8:$G$47,$AA95)))</f>
        <v/>
      </c>
      <c r="N95" s="50" t="str">
        <f>IF(OR($J95="",$AA95=""),"",$J95*N(INDEX(Fertilisants!$I$8:$I$47,$AA95)))</f>
        <v/>
      </c>
      <c r="O95" s="50" t="str">
        <f>IF(OR($J95="",$AA95=""),"",$J95*N(INDEX(Fertilisants!$J$8:$J$47,$AA95)))</f>
        <v/>
      </c>
      <c r="P95" s="50" t="str">
        <f>IF(OR($J95="",$AA95=""),"",$J95*N(INDEX(Fertilisants!$K$8:$K$47,$AA95)))</f>
        <v/>
      </c>
      <c r="Q95" s="50" t="str">
        <f t="shared" si="15"/>
        <v/>
      </c>
      <c r="R95" s="44"/>
      <c r="S95" s="44"/>
      <c r="T95" s="51"/>
      <c r="U95" s="44"/>
      <c r="V95" s="43"/>
      <c r="W95" s="52" t="str">
        <f t="shared" si="16"/>
        <v/>
      </c>
      <c r="X95" s="44"/>
      <c r="Z95" s="53" t="str">
        <f>IF($D95="","",IFERROR(MATCH($D95,Îlots!$D$8:$D$57,0),""))</f>
        <v/>
      </c>
      <c r="AA95" s="53" t="str">
        <f>IF($G95="","",IFERROR(MATCH($G95,Fertilisants!$B$8:$B$47,0),""))</f>
        <v/>
      </c>
      <c r="AB95" s="53" t="str">
        <f>IF($Z95="","",INDEX(Îlots!$E$8:$E$57,$Z95))</f>
        <v/>
      </c>
      <c r="AC95" s="53" t="str">
        <f>IF($Z95="","",INDEX(Îlots!$G$8:$G$57,$Z95)&amp;"")</f>
        <v/>
      </c>
      <c r="AD95" s="53" t="str">
        <f>IF($Z95="","",IF($F95=ApportCouvert,OccCouvert,INDEX(Îlots!$O$8:$O$57,$Z95)&amp;""))</f>
        <v/>
      </c>
      <c r="AE95" s="53" t="str">
        <f t="shared" si="17"/>
        <v/>
      </c>
      <c r="AF95" s="53" t="str">
        <f t="shared" si="18"/>
        <v/>
      </c>
      <c r="AG95" s="53" t="str">
        <f t="shared" si="19"/>
        <v/>
      </c>
      <c r="AH95" s="53">
        <f t="shared" si="20"/>
        <v>0</v>
      </c>
      <c r="AI95" s="53">
        <f t="shared" si="21"/>
        <v>0</v>
      </c>
      <c r="AJ95" s="53">
        <f t="shared" si="22"/>
        <v>0</v>
      </c>
      <c r="AK95" s="53">
        <f t="shared" si="23"/>
        <v>0</v>
      </c>
      <c r="AL95" s="53">
        <f t="shared" si="24"/>
        <v>0</v>
      </c>
      <c r="AM95" s="53">
        <f>IF($AA95="",0,IF(INDEX(Fertilisants!$C$8:$C$47,$AA95)="Effluent d'élevage",1,0))</f>
        <v>0</v>
      </c>
      <c r="AN95" s="53" t="str">
        <f>IF($AA95="","",IF(INDEX(Fertilisants!$C$8:$C$47,$AA95)="Engrais minéral","Minéral","Organique"))</f>
        <v/>
      </c>
      <c r="AO95" s="53" t="str">
        <f t="shared" si="25"/>
        <v/>
      </c>
      <c r="AP95" s="53" t="str">
        <f t="shared" si="26"/>
        <v/>
      </c>
      <c r="AQ95" s="53" t="str">
        <f t="shared" si="27"/>
        <v/>
      </c>
      <c r="AR95" s="53" t="str">
        <f>IF(AND($D95&lt;&gt;"",$D95=FicheIlot),COUNTIF($D$8:$D95,FicheIlot),"")</f>
        <v/>
      </c>
    </row>
    <row r="96" spans="2:44" ht="18.95" customHeight="1" x14ac:dyDescent="0.25">
      <c r="B96" s="42" t="str">
        <f>IF(C96="","",COUNT($C$8:C96))</f>
        <v/>
      </c>
      <c r="C96" s="43"/>
      <c r="D96" s="44"/>
      <c r="E96" s="45" t="str">
        <f>IF($Z96="","",IF($F96=ApportCouvert,INDEX(Îlots!$I$8:$I$57,$Z96)&amp;"",INDEX(Îlots!$N$8:$N$57,$Z96)&amp;""))</f>
        <v/>
      </c>
      <c r="F96" s="44"/>
      <c r="G96" s="44"/>
      <c r="H96" s="46" t="str">
        <f>IF($AA96="","",INDEX(Fertilisants!$D$8:$D$47,$AA96)&amp;"")</f>
        <v/>
      </c>
      <c r="I96" s="47"/>
      <c r="J96" s="48"/>
      <c r="K96" s="46" t="str">
        <f>IF($AA96="","",INDEX(Fertilisants!$E$8:$E$47,$AA96)&amp;"")</f>
        <v/>
      </c>
      <c r="L96" s="49" t="str">
        <f t="shared" si="14"/>
        <v/>
      </c>
      <c r="M96" s="50" t="str">
        <f>IF(OR($J96="",$AA96=""),"",$J96*N(INDEX(Fertilisants!$G$8:$G$47,$AA96)))</f>
        <v/>
      </c>
      <c r="N96" s="50" t="str">
        <f>IF(OR($J96="",$AA96=""),"",$J96*N(INDEX(Fertilisants!$I$8:$I$47,$AA96)))</f>
        <v/>
      </c>
      <c r="O96" s="50" t="str">
        <f>IF(OR($J96="",$AA96=""),"",$J96*N(INDEX(Fertilisants!$J$8:$J$47,$AA96)))</f>
        <v/>
      </c>
      <c r="P96" s="50" t="str">
        <f>IF(OR($J96="",$AA96=""),"",$J96*N(INDEX(Fertilisants!$K$8:$K$47,$AA96)))</f>
        <v/>
      </c>
      <c r="Q96" s="50" t="str">
        <f t="shared" si="15"/>
        <v/>
      </c>
      <c r="R96" s="44"/>
      <c r="S96" s="44"/>
      <c r="T96" s="51"/>
      <c r="U96" s="44"/>
      <c r="V96" s="43"/>
      <c r="W96" s="52" t="str">
        <f t="shared" si="16"/>
        <v/>
      </c>
      <c r="X96" s="44"/>
      <c r="Z96" s="53" t="str">
        <f>IF($D96="","",IFERROR(MATCH($D96,Îlots!$D$8:$D$57,0),""))</f>
        <v/>
      </c>
      <c r="AA96" s="53" t="str">
        <f>IF($G96="","",IFERROR(MATCH($G96,Fertilisants!$B$8:$B$47,0),""))</f>
        <v/>
      </c>
      <c r="AB96" s="53" t="str">
        <f>IF($Z96="","",INDEX(Îlots!$E$8:$E$57,$Z96))</f>
        <v/>
      </c>
      <c r="AC96" s="53" t="str">
        <f>IF($Z96="","",INDEX(Îlots!$G$8:$G$57,$Z96)&amp;"")</f>
        <v/>
      </c>
      <c r="AD96" s="53" t="str">
        <f>IF($Z96="","",IF($F96=ApportCouvert,OccCouvert,INDEX(Îlots!$O$8:$O$57,$Z96)&amp;""))</f>
        <v/>
      </c>
      <c r="AE96" s="53" t="str">
        <f t="shared" si="17"/>
        <v/>
      </c>
      <c r="AF96" s="53" t="str">
        <f t="shared" si="18"/>
        <v/>
      </c>
      <c r="AG96" s="53" t="str">
        <f t="shared" si="19"/>
        <v/>
      </c>
      <c r="AH96" s="53">
        <f t="shared" si="20"/>
        <v>0</v>
      </c>
      <c r="AI96" s="53">
        <f t="shared" si="21"/>
        <v>0</v>
      </c>
      <c r="AJ96" s="53">
        <f t="shared" si="22"/>
        <v>0</v>
      </c>
      <c r="AK96" s="53">
        <f t="shared" si="23"/>
        <v>0</v>
      </c>
      <c r="AL96" s="53">
        <f t="shared" si="24"/>
        <v>0</v>
      </c>
      <c r="AM96" s="53">
        <f>IF($AA96="",0,IF(INDEX(Fertilisants!$C$8:$C$47,$AA96)="Effluent d'élevage",1,0))</f>
        <v>0</v>
      </c>
      <c r="AN96" s="53" t="str">
        <f>IF($AA96="","",IF(INDEX(Fertilisants!$C$8:$C$47,$AA96)="Engrais minéral","Minéral","Organique"))</f>
        <v/>
      </c>
      <c r="AO96" s="53" t="str">
        <f t="shared" si="25"/>
        <v/>
      </c>
      <c r="AP96" s="53" t="str">
        <f t="shared" si="26"/>
        <v/>
      </c>
      <c r="AQ96" s="53" t="str">
        <f t="shared" si="27"/>
        <v/>
      </c>
      <c r="AR96" s="53" t="str">
        <f>IF(AND($D96&lt;&gt;"",$D96=FicheIlot),COUNTIF($D$8:$D96,FicheIlot),"")</f>
        <v/>
      </c>
    </row>
    <row r="97" spans="2:44" ht="18.95" customHeight="1" x14ac:dyDescent="0.25">
      <c r="B97" s="42" t="str">
        <f>IF(C97="","",COUNT($C$8:C97))</f>
        <v/>
      </c>
      <c r="C97" s="43"/>
      <c r="D97" s="44"/>
      <c r="E97" s="45" t="str">
        <f>IF($Z97="","",IF($F97=ApportCouvert,INDEX(Îlots!$I$8:$I$57,$Z97)&amp;"",INDEX(Îlots!$N$8:$N$57,$Z97)&amp;""))</f>
        <v/>
      </c>
      <c r="F97" s="44"/>
      <c r="G97" s="44"/>
      <c r="H97" s="46" t="str">
        <f>IF($AA97="","",INDEX(Fertilisants!$D$8:$D$47,$AA97)&amp;"")</f>
        <v/>
      </c>
      <c r="I97" s="47"/>
      <c r="J97" s="48"/>
      <c r="K97" s="46" t="str">
        <f>IF($AA97="","",INDEX(Fertilisants!$E$8:$E$47,$AA97)&amp;"")</f>
        <v/>
      </c>
      <c r="L97" s="49" t="str">
        <f t="shared" si="14"/>
        <v/>
      </c>
      <c r="M97" s="50" t="str">
        <f>IF(OR($J97="",$AA97=""),"",$J97*N(INDEX(Fertilisants!$G$8:$G$47,$AA97)))</f>
        <v/>
      </c>
      <c r="N97" s="50" t="str">
        <f>IF(OR($J97="",$AA97=""),"",$J97*N(INDEX(Fertilisants!$I$8:$I$47,$AA97)))</f>
        <v/>
      </c>
      <c r="O97" s="50" t="str">
        <f>IF(OR($J97="",$AA97=""),"",$J97*N(INDEX(Fertilisants!$J$8:$J$47,$AA97)))</f>
        <v/>
      </c>
      <c r="P97" s="50" t="str">
        <f>IF(OR($J97="",$AA97=""),"",$J97*N(INDEX(Fertilisants!$K$8:$K$47,$AA97)))</f>
        <v/>
      </c>
      <c r="Q97" s="50" t="str">
        <f t="shared" si="15"/>
        <v/>
      </c>
      <c r="R97" s="44"/>
      <c r="S97" s="44"/>
      <c r="T97" s="51"/>
      <c r="U97" s="44"/>
      <c r="V97" s="43"/>
      <c r="W97" s="52" t="str">
        <f t="shared" si="16"/>
        <v/>
      </c>
      <c r="X97" s="44"/>
      <c r="Z97" s="53" t="str">
        <f>IF($D97="","",IFERROR(MATCH($D97,Îlots!$D$8:$D$57,0),""))</f>
        <v/>
      </c>
      <c r="AA97" s="53" t="str">
        <f>IF($G97="","",IFERROR(MATCH($G97,Fertilisants!$B$8:$B$47,0),""))</f>
        <v/>
      </c>
      <c r="AB97" s="53" t="str">
        <f>IF($Z97="","",INDEX(Îlots!$E$8:$E$57,$Z97))</f>
        <v/>
      </c>
      <c r="AC97" s="53" t="str">
        <f>IF($Z97="","",INDEX(Îlots!$G$8:$G$57,$Z97)&amp;"")</f>
        <v/>
      </c>
      <c r="AD97" s="53" t="str">
        <f>IF($Z97="","",IF($F97=ApportCouvert,OccCouvert,INDEX(Îlots!$O$8:$O$57,$Z97)&amp;""))</f>
        <v/>
      </c>
      <c r="AE97" s="53" t="str">
        <f t="shared" si="17"/>
        <v/>
      </c>
      <c r="AF97" s="53" t="str">
        <f t="shared" si="18"/>
        <v/>
      </c>
      <c r="AG97" s="53" t="str">
        <f t="shared" si="19"/>
        <v/>
      </c>
      <c r="AH97" s="53">
        <f t="shared" si="20"/>
        <v>0</v>
      </c>
      <c r="AI97" s="53">
        <f t="shared" si="21"/>
        <v>0</v>
      </c>
      <c r="AJ97" s="53">
        <f t="shared" si="22"/>
        <v>0</v>
      </c>
      <c r="AK97" s="53">
        <f t="shared" si="23"/>
        <v>0</v>
      </c>
      <c r="AL97" s="53">
        <f t="shared" si="24"/>
        <v>0</v>
      </c>
      <c r="AM97" s="53">
        <f>IF($AA97="",0,IF(INDEX(Fertilisants!$C$8:$C$47,$AA97)="Effluent d'élevage",1,0))</f>
        <v>0</v>
      </c>
      <c r="AN97" s="53" t="str">
        <f>IF($AA97="","",IF(INDEX(Fertilisants!$C$8:$C$47,$AA97)="Engrais minéral","Minéral","Organique"))</f>
        <v/>
      </c>
      <c r="AO97" s="53" t="str">
        <f t="shared" si="25"/>
        <v/>
      </c>
      <c r="AP97" s="53" t="str">
        <f t="shared" si="26"/>
        <v/>
      </c>
      <c r="AQ97" s="53" t="str">
        <f t="shared" si="27"/>
        <v/>
      </c>
      <c r="AR97" s="53" t="str">
        <f>IF(AND($D97&lt;&gt;"",$D97=FicheIlot),COUNTIF($D$8:$D97,FicheIlot),"")</f>
        <v/>
      </c>
    </row>
    <row r="98" spans="2:44" ht="18.95" customHeight="1" x14ac:dyDescent="0.25">
      <c r="B98" s="42" t="str">
        <f>IF(C98="","",COUNT($C$8:C98))</f>
        <v/>
      </c>
      <c r="C98" s="43"/>
      <c r="D98" s="44"/>
      <c r="E98" s="45" t="str">
        <f>IF($Z98="","",IF($F98=ApportCouvert,INDEX(Îlots!$I$8:$I$57,$Z98)&amp;"",INDEX(Îlots!$N$8:$N$57,$Z98)&amp;""))</f>
        <v/>
      </c>
      <c r="F98" s="44"/>
      <c r="G98" s="44"/>
      <c r="H98" s="46" t="str">
        <f>IF($AA98="","",INDEX(Fertilisants!$D$8:$D$47,$AA98)&amp;"")</f>
        <v/>
      </c>
      <c r="I98" s="47"/>
      <c r="J98" s="48"/>
      <c r="K98" s="46" t="str">
        <f>IF($AA98="","",INDEX(Fertilisants!$E$8:$E$47,$AA98)&amp;"")</f>
        <v/>
      </c>
      <c r="L98" s="49" t="str">
        <f t="shared" si="14"/>
        <v/>
      </c>
      <c r="M98" s="50" t="str">
        <f>IF(OR($J98="",$AA98=""),"",$J98*N(INDEX(Fertilisants!$G$8:$G$47,$AA98)))</f>
        <v/>
      </c>
      <c r="N98" s="50" t="str">
        <f>IF(OR($J98="",$AA98=""),"",$J98*N(INDEX(Fertilisants!$I$8:$I$47,$AA98)))</f>
        <v/>
      </c>
      <c r="O98" s="50" t="str">
        <f>IF(OR($J98="",$AA98=""),"",$J98*N(INDEX(Fertilisants!$J$8:$J$47,$AA98)))</f>
        <v/>
      </c>
      <c r="P98" s="50" t="str">
        <f>IF(OR($J98="",$AA98=""),"",$J98*N(INDEX(Fertilisants!$K$8:$K$47,$AA98)))</f>
        <v/>
      </c>
      <c r="Q98" s="50" t="str">
        <f t="shared" si="15"/>
        <v/>
      </c>
      <c r="R98" s="44"/>
      <c r="S98" s="44"/>
      <c r="T98" s="51"/>
      <c r="U98" s="44"/>
      <c r="V98" s="43"/>
      <c r="W98" s="52" t="str">
        <f t="shared" si="16"/>
        <v/>
      </c>
      <c r="X98" s="44"/>
      <c r="Z98" s="53" t="str">
        <f>IF($D98="","",IFERROR(MATCH($D98,Îlots!$D$8:$D$57,0),""))</f>
        <v/>
      </c>
      <c r="AA98" s="53" t="str">
        <f>IF($G98="","",IFERROR(MATCH($G98,Fertilisants!$B$8:$B$47,0),""))</f>
        <v/>
      </c>
      <c r="AB98" s="53" t="str">
        <f>IF($Z98="","",INDEX(Îlots!$E$8:$E$57,$Z98))</f>
        <v/>
      </c>
      <c r="AC98" s="53" t="str">
        <f>IF($Z98="","",INDEX(Îlots!$G$8:$G$57,$Z98)&amp;"")</f>
        <v/>
      </c>
      <c r="AD98" s="53" t="str">
        <f>IF($Z98="","",IF($F98=ApportCouvert,OccCouvert,INDEX(Îlots!$O$8:$O$57,$Z98)&amp;""))</f>
        <v/>
      </c>
      <c r="AE98" s="53" t="str">
        <f t="shared" si="17"/>
        <v/>
      </c>
      <c r="AF98" s="53" t="str">
        <f t="shared" si="18"/>
        <v/>
      </c>
      <c r="AG98" s="53" t="str">
        <f t="shared" si="19"/>
        <v/>
      </c>
      <c r="AH98" s="53">
        <f t="shared" si="20"/>
        <v>0</v>
      </c>
      <c r="AI98" s="53">
        <f t="shared" si="21"/>
        <v>0</v>
      </c>
      <c r="AJ98" s="53">
        <f t="shared" si="22"/>
        <v>0</v>
      </c>
      <c r="AK98" s="53">
        <f t="shared" si="23"/>
        <v>0</v>
      </c>
      <c r="AL98" s="53">
        <f t="shared" si="24"/>
        <v>0</v>
      </c>
      <c r="AM98" s="53">
        <f>IF($AA98="",0,IF(INDEX(Fertilisants!$C$8:$C$47,$AA98)="Effluent d'élevage",1,0))</f>
        <v>0</v>
      </c>
      <c r="AN98" s="53" t="str">
        <f>IF($AA98="","",IF(INDEX(Fertilisants!$C$8:$C$47,$AA98)="Engrais minéral","Minéral","Organique"))</f>
        <v/>
      </c>
      <c r="AO98" s="53" t="str">
        <f t="shared" si="25"/>
        <v/>
      </c>
      <c r="AP98" s="53" t="str">
        <f t="shared" si="26"/>
        <v/>
      </c>
      <c r="AQ98" s="53" t="str">
        <f t="shared" si="27"/>
        <v/>
      </c>
      <c r="AR98" s="53" t="str">
        <f>IF(AND($D98&lt;&gt;"",$D98=FicheIlot),COUNTIF($D$8:$D98,FicheIlot),"")</f>
        <v/>
      </c>
    </row>
    <row r="99" spans="2:44" ht="18.95" customHeight="1" x14ac:dyDescent="0.25">
      <c r="B99" s="42" t="str">
        <f>IF(C99="","",COUNT($C$8:C99))</f>
        <v/>
      </c>
      <c r="C99" s="43"/>
      <c r="D99" s="44"/>
      <c r="E99" s="45" t="str">
        <f>IF($Z99="","",IF($F99=ApportCouvert,INDEX(Îlots!$I$8:$I$57,$Z99)&amp;"",INDEX(Îlots!$N$8:$N$57,$Z99)&amp;""))</f>
        <v/>
      </c>
      <c r="F99" s="44"/>
      <c r="G99" s="44"/>
      <c r="H99" s="46" t="str">
        <f>IF($AA99="","",INDEX(Fertilisants!$D$8:$D$47,$AA99)&amp;"")</f>
        <v/>
      </c>
      <c r="I99" s="47"/>
      <c r="J99" s="48"/>
      <c r="K99" s="46" t="str">
        <f>IF($AA99="","",INDEX(Fertilisants!$E$8:$E$47,$AA99)&amp;"")</f>
        <v/>
      </c>
      <c r="L99" s="49" t="str">
        <f t="shared" si="14"/>
        <v/>
      </c>
      <c r="M99" s="50" t="str">
        <f>IF(OR($J99="",$AA99=""),"",$J99*N(INDEX(Fertilisants!$G$8:$G$47,$AA99)))</f>
        <v/>
      </c>
      <c r="N99" s="50" t="str">
        <f>IF(OR($J99="",$AA99=""),"",$J99*N(INDEX(Fertilisants!$I$8:$I$47,$AA99)))</f>
        <v/>
      </c>
      <c r="O99" s="50" t="str">
        <f>IF(OR($J99="",$AA99=""),"",$J99*N(INDEX(Fertilisants!$J$8:$J$47,$AA99)))</f>
        <v/>
      </c>
      <c r="P99" s="50" t="str">
        <f>IF(OR($J99="",$AA99=""),"",$J99*N(INDEX(Fertilisants!$K$8:$K$47,$AA99)))</f>
        <v/>
      </c>
      <c r="Q99" s="50" t="str">
        <f t="shared" si="15"/>
        <v/>
      </c>
      <c r="R99" s="44"/>
      <c r="S99" s="44"/>
      <c r="T99" s="51"/>
      <c r="U99" s="44"/>
      <c r="V99" s="43"/>
      <c r="W99" s="52" t="str">
        <f t="shared" si="16"/>
        <v/>
      </c>
      <c r="X99" s="44"/>
      <c r="Z99" s="53" t="str">
        <f>IF($D99="","",IFERROR(MATCH($D99,Îlots!$D$8:$D$57,0),""))</f>
        <v/>
      </c>
      <c r="AA99" s="53" t="str">
        <f>IF($G99="","",IFERROR(MATCH($G99,Fertilisants!$B$8:$B$47,0),""))</f>
        <v/>
      </c>
      <c r="AB99" s="53" t="str">
        <f>IF($Z99="","",INDEX(Îlots!$E$8:$E$57,$Z99))</f>
        <v/>
      </c>
      <c r="AC99" s="53" t="str">
        <f>IF($Z99="","",INDEX(Îlots!$G$8:$G$57,$Z99)&amp;"")</f>
        <v/>
      </c>
      <c r="AD99" s="53" t="str">
        <f>IF($Z99="","",IF($F99=ApportCouvert,OccCouvert,INDEX(Îlots!$O$8:$O$57,$Z99)&amp;""))</f>
        <v/>
      </c>
      <c r="AE99" s="53" t="str">
        <f t="shared" si="17"/>
        <v/>
      </c>
      <c r="AF99" s="53" t="str">
        <f t="shared" si="18"/>
        <v/>
      </c>
      <c r="AG99" s="53" t="str">
        <f t="shared" si="19"/>
        <v/>
      </c>
      <c r="AH99" s="53">
        <f t="shared" si="20"/>
        <v>0</v>
      </c>
      <c r="AI99" s="53">
        <f t="shared" si="21"/>
        <v>0</v>
      </c>
      <c r="AJ99" s="53">
        <f t="shared" si="22"/>
        <v>0</v>
      </c>
      <c r="AK99" s="53">
        <f t="shared" si="23"/>
        <v>0</v>
      </c>
      <c r="AL99" s="53">
        <f t="shared" si="24"/>
        <v>0</v>
      </c>
      <c r="AM99" s="53">
        <f>IF($AA99="",0,IF(INDEX(Fertilisants!$C$8:$C$47,$AA99)="Effluent d'élevage",1,0))</f>
        <v>0</v>
      </c>
      <c r="AN99" s="53" t="str">
        <f>IF($AA99="","",IF(INDEX(Fertilisants!$C$8:$C$47,$AA99)="Engrais minéral","Minéral","Organique"))</f>
        <v/>
      </c>
      <c r="AO99" s="53" t="str">
        <f t="shared" si="25"/>
        <v/>
      </c>
      <c r="AP99" s="53" t="str">
        <f t="shared" si="26"/>
        <v/>
      </c>
      <c r="AQ99" s="53" t="str">
        <f t="shared" si="27"/>
        <v/>
      </c>
      <c r="AR99" s="53" t="str">
        <f>IF(AND($D99&lt;&gt;"",$D99=FicheIlot),COUNTIF($D$8:$D99,FicheIlot),"")</f>
        <v/>
      </c>
    </row>
    <row r="100" spans="2:44" ht="18.95" customHeight="1" x14ac:dyDescent="0.25">
      <c r="B100" s="42" t="str">
        <f>IF(C100="","",COUNT($C$8:C100))</f>
        <v/>
      </c>
      <c r="C100" s="43"/>
      <c r="D100" s="44"/>
      <c r="E100" s="45" t="str">
        <f>IF($Z100="","",IF($F100=ApportCouvert,INDEX(Îlots!$I$8:$I$57,$Z100)&amp;"",INDEX(Îlots!$N$8:$N$57,$Z100)&amp;""))</f>
        <v/>
      </c>
      <c r="F100" s="44"/>
      <c r="G100" s="44"/>
      <c r="H100" s="46" t="str">
        <f>IF($AA100="","",INDEX(Fertilisants!$D$8:$D$47,$AA100)&amp;"")</f>
        <v/>
      </c>
      <c r="I100" s="47"/>
      <c r="J100" s="48"/>
      <c r="K100" s="46" t="str">
        <f>IF($AA100="","",INDEX(Fertilisants!$E$8:$E$47,$AA100)&amp;"")</f>
        <v/>
      </c>
      <c r="L100" s="49" t="str">
        <f t="shared" si="14"/>
        <v/>
      </c>
      <c r="M100" s="50" t="str">
        <f>IF(OR($J100="",$AA100=""),"",$J100*N(INDEX(Fertilisants!$G$8:$G$47,$AA100)))</f>
        <v/>
      </c>
      <c r="N100" s="50" t="str">
        <f>IF(OR($J100="",$AA100=""),"",$J100*N(INDEX(Fertilisants!$I$8:$I$47,$AA100)))</f>
        <v/>
      </c>
      <c r="O100" s="50" t="str">
        <f>IF(OR($J100="",$AA100=""),"",$J100*N(INDEX(Fertilisants!$J$8:$J$47,$AA100)))</f>
        <v/>
      </c>
      <c r="P100" s="50" t="str">
        <f>IF(OR($J100="",$AA100=""),"",$J100*N(INDEX(Fertilisants!$K$8:$K$47,$AA100)))</f>
        <v/>
      </c>
      <c r="Q100" s="50" t="str">
        <f t="shared" si="15"/>
        <v/>
      </c>
      <c r="R100" s="44"/>
      <c r="S100" s="44"/>
      <c r="T100" s="51"/>
      <c r="U100" s="44"/>
      <c r="V100" s="43"/>
      <c r="W100" s="52" t="str">
        <f t="shared" si="16"/>
        <v/>
      </c>
      <c r="X100" s="44"/>
      <c r="Z100" s="53" t="str">
        <f>IF($D100="","",IFERROR(MATCH($D100,Îlots!$D$8:$D$57,0),""))</f>
        <v/>
      </c>
      <c r="AA100" s="53" t="str">
        <f>IF($G100="","",IFERROR(MATCH($G100,Fertilisants!$B$8:$B$47,0),""))</f>
        <v/>
      </c>
      <c r="AB100" s="53" t="str">
        <f>IF($Z100="","",INDEX(Îlots!$E$8:$E$57,$Z100))</f>
        <v/>
      </c>
      <c r="AC100" s="53" t="str">
        <f>IF($Z100="","",INDEX(Îlots!$G$8:$G$57,$Z100)&amp;"")</f>
        <v/>
      </c>
      <c r="AD100" s="53" t="str">
        <f>IF($Z100="","",IF($F100=ApportCouvert,OccCouvert,INDEX(Îlots!$O$8:$O$57,$Z100)&amp;""))</f>
        <v/>
      </c>
      <c r="AE100" s="53" t="str">
        <f t="shared" si="17"/>
        <v/>
      </c>
      <c r="AF100" s="53" t="str">
        <f t="shared" si="18"/>
        <v/>
      </c>
      <c r="AG100" s="53" t="str">
        <f t="shared" si="19"/>
        <v/>
      </c>
      <c r="AH100" s="53">
        <f t="shared" si="20"/>
        <v>0</v>
      </c>
      <c r="AI100" s="53">
        <f t="shared" si="21"/>
        <v>0</v>
      </c>
      <c r="AJ100" s="53">
        <f t="shared" si="22"/>
        <v>0</v>
      </c>
      <c r="AK100" s="53">
        <f t="shared" si="23"/>
        <v>0</v>
      </c>
      <c r="AL100" s="53">
        <f t="shared" si="24"/>
        <v>0</v>
      </c>
      <c r="AM100" s="53">
        <f>IF($AA100="",0,IF(INDEX(Fertilisants!$C$8:$C$47,$AA100)="Effluent d'élevage",1,0))</f>
        <v>0</v>
      </c>
      <c r="AN100" s="53" t="str">
        <f>IF($AA100="","",IF(INDEX(Fertilisants!$C$8:$C$47,$AA100)="Engrais minéral","Minéral","Organique"))</f>
        <v/>
      </c>
      <c r="AO100" s="53" t="str">
        <f t="shared" si="25"/>
        <v/>
      </c>
      <c r="AP100" s="53" t="str">
        <f t="shared" si="26"/>
        <v/>
      </c>
      <c r="AQ100" s="53" t="str">
        <f t="shared" si="27"/>
        <v/>
      </c>
      <c r="AR100" s="53" t="str">
        <f>IF(AND($D100&lt;&gt;"",$D100=FicheIlot),COUNTIF($D$8:$D100,FicheIlot),"")</f>
        <v/>
      </c>
    </row>
    <row r="101" spans="2:44" ht="18.95" customHeight="1" x14ac:dyDescent="0.25">
      <c r="B101" s="42" t="str">
        <f>IF(C101="","",COUNT($C$8:C101))</f>
        <v/>
      </c>
      <c r="C101" s="43"/>
      <c r="D101" s="44"/>
      <c r="E101" s="45" t="str">
        <f>IF($Z101="","",IF($F101=ApportCouvert,INDEX(Îlots!$I$8:$I$57,$Z101)&amp;"",INDEX(Îlots!$N$8:$N$57,$Z101)&amp;""))</f>
        <v/>
      </c>
      <c r="F101" s="44"/>
      <c r="G101" s="44"/>
      <c r="H101" s="46" t="str">
        <f>IF($AA101="","",INDEX(Fertilisants!$D$8:$D$47,$AA101)&amp;"")</f>
        <v/>
      </c>
      <c r="I101" s="47"/>
      <c r="J101" s="48"/>
      <c r="K101" s="46" t="str">
        <f>IF($AA101="","",INDEX(Fertilisants!$E$8:$E$47,$AA101)&amp;"")</f>
        <v/>
      </c>
      <c r="L101" s="49" t="str">
        <f t="shared" si="14"/>
        <v/>
      </c>
      <c r="M101" s="50" t="str">
        <f>IF(OR($J101="",$AA101=""),"",$J101*N(INDEX(Fertilisants!$G$8:$G$47,$AA101)))</f>
        <v/>
      </c>
      <c r="N101" s="50" t="str">
        <f>IF(OR($J101="",$AA101=""),"",$J101*N(INDEX(Fertilisants!$I$8:$I$47,$AA101)))</f>
        <v/>
      </c>
      <c r="O101" s="50" t="str">
        <f>IF(OR($J101="",$AA101=""),"",$J101*N(INDEX(Fertilisants!$J$8:$J$47,$AA101)))</f>
        <v/>
      </c>
      <c r="P101" s="50" t="str">
        <f>IF(OR($J101="",$AA101=""),"",$J101*N(INDEX(Fertilisants!$K$8:$K$47,$AA101)))</f>
        <v/>
      </c>
      <c r="Q101" s="50" t="str">
        <f t="shared" si="15"/>
        <v/>
      </c>
      <c r="R101" s="44"/>
      <c r="S101" s="44"/>
      <c r="T101" s="51"/>
      <c r="U101" s="44"/>
      <c r="V101" s="43"/>
      <c r="W101" s="52" t="str">
        <f t="shared" si="16"/>
        <v/>
      </c>
      <c r="X101" s="44"/>
      <c r="Z101" s="53" t="str">
        <f>IF($D101="","",IFERROR(MATCH($D101,Îlots!$D$8:$D$57,0),""))</f>
        <v/>
      </c>
      <c r="AA101" s="53" t="str">
        <f>IF($G101="","",IFERROR(MATCH($G101,Fertilisants!$B$8:$B$47,0),""))</f>
        <v/>
      </c>
      <c r="AB101" s="53" t="str">
        <f>IF($Z101="","",INDEX(Îlots!$E$8:$E$57,$Z101))</f>
        <v/>
      </c>
      <c r="AC101" s="53" t="str">
        <f>IF($Z101="","",INDEX(Îlots!$G$8:$G$57,$Z101)&amp;"")</f>
        <v/>
      </c>
      <c r="AD101" s="53" t="str">
        <f>IF($Z101="","",IF($F101=ApportCouvert,OccCouvert,INDEX(Îlots!$O$8:$O$57,$Z101)&amp;""))</f>
        <v/>
      </c>
      <c r="AE101" s="53" t="str">
        <f t="shared" si="17"/>
        <v/>
      </c>
      <c r="AF101" s="53" t="str">
        <f t="shared" si="18"/>
        <v/>
      </c>
      <c r="AG101" s="53" t="str">
        <f t="shared" si="19"/>
        <v/>
      </c>
      <c r="AH101" s="53">
        <f t="shared" si="20"/>
        <v>0</v>
      </c>
      <c r="AI101" s="53">
        <f t="shared" si="21"/>
        <v>0</v>
      </c>
      <c r="AJ101" s="53">
        <f t="shared" si="22"/>
        <v>0</v>
      </c>
      <c r="AK101" s="53">
        <f t="shared" si="23"/>
        <v>0</v>
      </c>
      <c r="AL101" s="53">
        <f t="shared" si="24"/>
        <v>0</v>
      </c>
      <c r="AM101" s="53">
        <f>IF($AA101="",0,IF(INDEX(Fertilisants!$C$8:$C$47,$AA101)="Effluent d'élevage",1,0))</f>
        <v>0</v>
      </c>
      <c r="AN101" s="53" t="str">
        <f>IF($AA101="","",IF(INDEX(Fertilisants!$C$8:$C$47,$AA101)="Engrais minéral","Minéral","Organique"))</f>
        <v/>
      </c>
      <c r="AO101" s="53" t="str">
        <f t="shared" si="25"/>
        <v/>
      </c>
      <c r="AP101" s="53" t="str">
        <f t="shared" si="26"/>
        <v/>
      </c>
      <c r="AQ101" s="53" t="str">
        <f t="shared" si="27"/>
        <v/>
      </c>
      <c r="AR101" s="53" t="str">
        <f>IF(AND($D101&lt;&gt;"",$D101=FicheIlot),COUNTIF($D$8:$D101,FicheIlot),"")</f>
        <v/>
      </c>
    </row>
    <row r="102" spans="2:44" ht="18.95" customHeight="1" x14ac:dyDescent="0.25">
      <c r="B102" s="42" t="str">
        <f>IF(C102="","",COUNT($C$8:C102))</f>
        <v/>
      </c>
      <c r="C102" s="43"/>
      <c r="D102" s="44"/>
      <c r="E102" s="45" t="str">
        <f>IF($Z102="","",IF($F102=ApportCouvert,INDEX(Îlots!$I$8:$I$57,$Z102)&amp;"",INDEX(Îlots!$N$8:$N$57,$Z102)&amp;""))</f>
        <v/>
      </c>
      <c r="F102" s="44"/>
      <c r="G102" s="44"/>
      <c r="H102" s="46" t="str">
        <f>IF($AA102="","",INDEX(Fertilisants!$D$8:$D$47,$AA102)&amp;"")</f>
        <v/>
      </c>
      <c r="I102" s="47"/>
      <c r="J102" s="48"/>
      <c r="K102" s="46" t="str">
        <f>IF($AA102="","",INDEX(Fertilisants!$E$8:$E$47,$AA102)&amp;"")</f>
        <v/>
      </c>
      <c r="L102" s="49" t="str">
        <f t="shared" si="14"/>
        <v/>
      </c>
      <c r="M102" s="50" t="str">
        <f>IF(OR($J102="",$AA102=""),"",$J102*N(INDEX(Fertilisants!$G$8:$G$47,$AA102)))</f>
        <v/>
      </c>
      <c r="N102" s="50" t="str">
        <f>IF(OR($J102="",$AA102=""),"",$J102*N(INDEX(Fertilisants!$I$8:$I$47,$AA102)))</f>
        <v/>
      </c>
      <c r="O102" s="50" t="str">
        <f>IF(OR($J102="",$AA102=""),"",$J102*N(INDEX(Fertilisants!$J$8:$J$47,$AA102)))</f>
        <v/>
      </c>
      <c r="P102" s="50" t="str">
        <f>IF(OR($J102="",$AA102=""),"",$J102*N(INDEX(Fertilisants!$K$8:$K$47,$AA102)))</f>
        <v/>
      </c>
      <c r="Q102" s="50" t="str">
        <f t="shared" si="15"/>
        <v/>
      </c>
      <c r="R102" s="44"/>
      <c r="S102" s="44"/>
      <c r="T102" s="51"/>
      <c r="U102" s="44"/>
      <c r="V102" s="43"/>
      <c r="W102" s="52" t="str">
        <f t="shared" si="16"/>
        <v/>
      </c>
      <c r="X102" s="44"/>
      <c r="Z102" s="53" t="str">
        <f>IF($D102="","",IFERROR(MATCH($D102,Îlots!$D$8:$D$57,0),""))</f>
        <v/>
      </c>
      <c r="AA102" s="53" t="str">
        <f>IF($G102="","",IFERROR(MATCH($G102,Fertilisants!$B$8:$B$47,0),""))</f>
        <v/>
      </c>
      <c r="AB102" s="53" t="str">
        <f>IF($Z102="","",INDEX(Îlots!$E$8:$E$57,$Z102))</f>
        <v/>
      </c>
      <c r="AC102" s="53" t="str">
        <f>IF($Z102="","",INDEX(Îlots!$G$8:$G$57,$Z102)&amp;"")</f>
        <v/>
      </c>
      <c r="AD102" s="53" t="str">
        <f>IF($Z102="","",IF($F102=ApportCouvert,OccCouvert,INDEX(Îlots!$O$8:$O$57,$Z102)&amp;""))</f>
        <v/>
      </c>
      <c r="AE102" s="53" t="str">
        <f t="shared" si="17"/>
        <v/>
      </c>
      <c r="AF102" s="53" t="str">
        <f t="shared" si="18"/>
        <v/>
      </c>
      <c r="AG102" s="53" t="str">
        <f t="shared" si="19"/>
        <v/>
      </c>
      <c r="AH102" s="53">
        <f t="shared" si="20"/>
        <v>0</v>
      </c>
      <c r="AI102" s="53">
        <f t="shared" si="21"/>
        <v>0</v>
      </c>
      <c r="AJ102" s="53">
        <f t="shared" si="22"/>
        <v>0</v>
      </c>
      <c r="AK102" s="53">
        <f t="shared" si="23"/>
        <v>0</v>
      </c>
      <c r="AL102" s="53">
        <f t="shared" si="24"/>
        <v>0</v>
      </c>
      <c r="AM102" s="53">
        <f>IF($AA102="",0,IF(INDEX(Fertilisants!$C$8:$C$47,$AA102)="Effluent d'élevage",1,0))</f>
        <v>0</v>
      </c>
      <c r="AN102" s="53" t="str">
        <f>IF($AA102="","",IF(INDEX(Fertilisants!$C$8:$C$47,$AA102)="Engrais minéral","Minéral","Organique"))</f>
        <v/>
      </c>
      <c r="AO102" s="53" t="str">
        <f t="shared" si="25"/>
        <v/>
      </c>
      <c r="AP102" s="53" t="str">
        <f t="shared" si="26"/>
        <v/>
      </c>
      <c r="AQ102" s="53" t="str">
        <f t="shared" si="27"/>
        <v/>
      </c>
      <c r="AR102" s="53" t="str">
        <f>IF(AND($D102&lt;&gt;"",$D102=FicheIlot),COUNTIF($D$8:$D102,FicheIlot),"")</f>
        <v/>
      </c>
    </row>
    <row r="103" spans="2:44" ht="18.95" customHeight="1" x14ac:dyDescent="0.25">
      <c r="B103" s="42" t="str">
        <f>IF(C103="","",COUNT($C$8:C103))</f>
        <v/>
      </c>
      <c r="C103" s="43"/>
      <c r="D103" s="44"/>
      <c r="E103" s="45" t="str">
        <f>IF($Z103="","",IF($F103=ApportCouvert,INDEX(Îlots!$I$8:$I$57,$Z103)&amp;"",INDEX(Îlots!$N$8:$N$57,$Z103)&amp;""))</f>
        <v/>
      </c>
      <c r="F103" s="44"/>
      <c r="G103" s="44"/>
      <c r="H103" s="46" t="str">
        <f>IF($AA103="","",INDEX(Fertilisants!$D$8:$D$47,$AA103)&amp;"")</f>
        <v/>
      </c>
      <c r="I103" s="47"/>
      <c r="J103" s="48"/>
      <c r="K103" s="46" t="str">
        <f>IF($AA103="","",INDEX(Fertilisants!$E$8:$E$47,$AA103)&amp;"")</f>
        <v/>
      </c>
      <c r="L103" s="49" t="str">
        <f t="shared" si="14"/>
        <v/>
      </c>
      <c r="M103" s="50" t="str">
        <f>IF(OR($J103="",$AA103=""),"",$J103*N(INDEX(Fertilisants!$G$8:$G$47,$AA103)))</f>
        <v/>
      </c>
      <c r="N103" s="50" t="str">
        <f>IF(OR($J103="",$AA103=""),"",$J103*N(INDEX(Fertilisants!$I$8:$I$47,$AA103)))</f>
        <v/>
      </c>
      <c r="O103" s="50" t="str">
        <f>IF(OR($J103="",$AA103=""),"",$J103*N(INDEX(Fertilisants!$J$8:$J$47,$AA103)))</f>
        <v/>
      </c>
      <c r="P103" s="50" t="str">
        <f>IF(OR($J103="",$AA103=""),"",$J103*N(INDEX(Fertilisants!$K$8:$K$47,$AA103)))</f>
        <v/>
      </c>
      <c r="Q103" s="50" t="str">
        <f t="shared" si="15"/>
        <v/>
      </c>
      <c r="R103" s="44"/>
      <c r="S103" s="44"/>
      <c r="T103" s="51"/>
      <c r="U103" s="44"/>
      <c r="V103" s="43"/>
      <c r="W103" s="52" t="str">
        <f t="shared" si="16"/>
        <v/>
      </c>
      <c r="X103" s="44"/>
      <c r="Z103" s="53" t="str">
        <f>IF($D103="","",IFERROR(MATCH($D103,Îlots!$D$8:$D$57,0),""))</f>
        <v/>
      </c>
      <c r="AA103" s="53" t="str">
        <f>IF($G103="","",IFERROR(MATCH($G103,Fertilisants!$B$8:$B$47,0),""))</f>
        <v/>
      </c>
      <c r="AB103" s="53" t="str">
        <f>IF($Z103="","",INDEX(Îlots!$E$8:$E$57,$Z103))</f>
        <v/>
      </c>
      <c r="AC103" s="53" t="str">
        <f>IF($Z103="","",INDEX(Îlots!$G$8:$G$57,$Z103)&amp;"")</f>
        <v/>
      </c>
      <c r="AD103" s="53" t="str">
        <f>IF($Z103="","",IF($F103=ApportCouvert,OccCouvert,INDEX(Îlots!$O$8:$O$57,$Z103)&amp;""))</f>
        <v/>
      </c>
      <c r="AE103" s="53" t="str">
        <f t="shared" si="17"/>
        <v/>
      </c>
      <c r="AF103" s="53" t="str">
        <f t="shared" si="18"/>
        <v/>
      </c>
      <c r="AG103" s="53" t="str">
        <f t="shared" si="19"/>
        <v/>
      </c>
      <c r="AH103" s="53">
        <f t="shared" si="20"/>
        <v>0</v>
      </c>
      <c r="AI103" s="53">
        <f t="shared" si="21"/>
        <v>0</v>
      </c>
      <c r="AJ103" s="53">
        <f t="shared" si="22"/>
        <v>0</v>
      </c>
      <c r="AK103" s="53">
        <f t="shared" si="23"/>
        <v>0</v>
      </c>
      <c r="AL103" s="53">
        <f t="shared" si="24"/>
        <v>0</v>
      </c>
      <c r="AM103" s="53">
        <f>IF($AA103="",0,IF(INDEX(Fertilisants!$C$8:$C$47,$AA103)="Effluent d'élevage",1,0))</f>
        <v>0</v>
      </c>
      <c r="AN103" s="53" t="str">
        <f>IF($AA103="","",IF(INDEX(Fertilisants!$C$8:$C$47,$AA103)="Engrais minéral","Minéral","Organique"))</f>
        <v/>
      </c>
      <c r="AO103" s="53" t="str">
        <f t="shared" si="25"/>
        <v/>
      </c>
      <c r="AP103" s="53" t="str">
        <f t="shared" si="26"/>
        <v/>
      </c>
      <c r="AQ103" s="53" t="str">
        <f t="shared" si="27"/>
        <v/>
      </c>
      <c r="AR103" s="53" t="str">
        <f>IF(AND($D103&lt;&gt;"",$D103=FicheIlot),COUNTIF($D$8:$D103,FicheIlot),"")</f>
        <v/>
      </c>
    </row>
    <row r="104" spans="2:44" ht="18.95" customHeight="1" x14ac:dyDescent="0.25">
      <c r="B104" s="42" t="str">
        <f>IF(C104="","",COUNT($C$8:C104))</f>
        <v/>
      </c>
      <c r="C104" s="43"/>
      <c r="D104" s="44"/>
      <c r="E104" s="45" t="str">
        <f>IF($Z104="","",IF($F104=ApportCouvert,INDEX(Îlots!$I$8:$I$57,$Z104)&amp;"",INDEX(Îlots!$N$8:$N$57,$Z104)&amp;""))</f>
        <v/>
      </c>
      <c r="F104" s="44"/>
      <c r="G104" s="44"/>
      <c r="H104" s="46" t="str">
        <f>IF($AA104="","",INDEX(Fertilisants!$D$8:$D$47,$AA104)&amp;"")</f>
        <v/>
      </c>
      <c r="I104" s="47"/>
      <c r="J104" s="48"/>
      <c r="K104" s="46" t="str">
        <f>IF($AA104="","",INDEX(Fertilisants!$E$8:$E$47,$AA104)&amp;"")</f>
        <v/>
      </c>
      <c r="L104" s="49" t="str">
        <f t="shared" si="14"/>
        <v/>
      </c>
      <c r="M104" s="50" t="str">
        <f>IF(OR($J104="",$AA104=""),"",$J104*N(INDEX(Fertilisants!$G$8:$G$47,$AA104)))</f>
        <v/>
      </c>
      <c r="N104" s="50" t="str">
        <f>IF(OR($J104="",$AA104=""),"",$J104*N(INDEX(Fertilisants!$I$8:$I$47,$AA104)))</f>
        <v/>
      </c>
      <c r="O104" s="50" t="str">
        <f>IF(OR($J104="",$AA104=""),"",$J104*N(INDEX(Fertilisants!$J$8:$J$47,$AA104)))</f>
        <v/>
      </c>
      <c r="P104" s="50" t="str">
        <f>IF(OR($J104="",$AA104=""),"",$J104*N(INDEX(Fertilisants!$K$8:$K$47,$AA104)))</f>
        <v/>
      </c>
      <c r="Q104" s="50" t="str">
        <f t="shared" si="15"/>
        <v/>
      </c>
      <c r="R104" s="44"/>
      <c r="S104" s="44"/>
      <c r="T104" s="51"/>
      <c r="U104" s="44"/>
      <c r="V104" s="43"/>
      <c r="W104" s="52" t="str">
        <f t="shared" si="16"/>
        <v/>
      </c>
      <c r="X104" s="44"/>
      <c r="Z104" s="53" t="str">
        <f>IF($D104="","",IFERROR(MATCH($D104,Îlots!$D$8:$D$57,0),""))</f>
        <v/>
      </c>
      <c r="AA104" s="53" t="str">
        <f>IF($G104="","",IFERROR(MATCH($G104,Fertilisants!$B$8:$B$47,0),""))</f>
        <v/>
      </c>
      <c r="AB104" s="53" t="str">
        <f>IF($Z104="","",INDEX(Îlots!$E$8:$E$57,$Z104))</f>
        <v/>
      </c>
      <c r="AC104" s="53" t="str">
        <f>IF($Z104="","",INDEX(Îlots!$G$8:$G$57,$Z104)&amp;"")</f>
        <v/>
      </c>
      <c r="AD104" s="53" t="str">
        <f>IF($Z104="","",IF($F104=ApportCouvert,OccCouvert,INDEX(Îlots!$O$8:$O$57,$Z104)&amp;""))</f>
        <v/>
      </c>
      <c r="AE104" s="53" t="str">
        <f t="shared" si="17"/>
        <v/>
      </c>
      <c r="AF104" s="53" t="str">
        <f t="shared" si="18"/>
        <v/>
      </c>
      <c r="AG104" s="53" t="str">
        <f t="shared" si="19"/>
        <v/>
      </c>
      <c r="AH104" s="53">
        <f t="shared" si="20"/>
        <v>0</v>
      </c>
      <c r="AI104" s="53">
        <f t="shared" si="21"/>
        <v>0</v>
      </c>
      <c r="AJ104" s="53">
        <f t="shared" si="22"/>
        <v>0</v>
      </c>
      <c r="AK104" s="53">
        <f t="shared" si="23"/>
        <v>0</v>
      </c>
      <c r="AL104" s="53">
        <f t="shared" si="24"/>
        <v>0</v>
      </c>
      <c r="AM104" s="53">
        <f>IF($AA104="",0,IF(INDEX(Fertilisants!$C$8:$C$47,$AA104)="Effluent d'élevage",1,0))</f>
        <v>0</v>
      </c>
      <c r="AN104" s="53" t="str">
        <f>IF($AA104="","",IF(INDEX(Fertilisants!$C$8:$C$47,$AA104)="Engrais minéral","Minéral","Organique"))</f>
        <v/>
      </c>
      <c r="AO104" s="53" t="str">
        <f t="shared" si="25"/>
        <v/>
      </c>
      <c r="AP104" s="53" t="str">
        <f t="shared" si="26"/>
        <v/>
      </c>
      <c r="AQ104" s="53" t="str">
        <f t="shared" si="27"/>
        <v/>
      </c>
      <c r="AR104" s="53" t="str">
        <f>IF(AND($D104&lt;&gt;"",$D104=FicheIlot),COUNTIF($D$8:$D104,FicheIlot),"")</f>
        <v/>
      </c>
    </row>
    <row r="105" spans="2:44" ht="18.95" customHeight="1" x14ac:dyDescent="0.25">
      <c r="B105" s="42" t="str">
        <f>IF(C105="","",COUNT($C$8:C105))</f>
        <v/>
      </c>
      <c r="C105" s="43"/>
      <c r="D105" s="44"/>
      <c r="E105" s="45" t="str">
        <f>IF($Z105="","",IF($F105=ApportCouvert,INDEX(Îlots!$I$8:$I$57,$Z105)&amp;"",INDEX(Îlots!$N$8:$N$57,$Z105)&amp;""))</f>
        <v/>
      </c>
      <c r="F105" s="44"/>
      <c r="G105" s="44"/>
      <c r="H105" s="46" t="str">
        <f>IF($AA105="","",INDEX(Fertilisants!$D$8:$D$47,$AA105)&amp;"")</f>
        <v/>
      </c>
      <c r="I105" s="47"/>
      <c r="J105" s="48"/>
      <c r="K105" s="46" t="str">
        <f>IF($AA105="","",INDEX(Fertilisants!$E$8:$E$47,$AA105)&amp;"")</f>
        <v/>
      </c>
      <c r="L105" s="49" t="str">
        <f t="shared" si="14"/>
        <v/>
      </c>
      <c r="M105" s="50" t="str">
        <f>IF(OR($J105="",$AA105=""),"",$J105*N(INDEX(Fertilisants!$G$8:$G$47,$AA105)))</f>
        <v/>
      </c>
      <c r="N105" s="50" t="str">
        <f>IF(OR($J105="",$AA105=""),"",$J105*N(INDEX(Fertilisants!$I$8:$I$47,$AA105)))</f>
        <v/>
      </c>
      <c r="O105" s="50" t="str">
        <f>IF(OR($J105="",$AA105=""),"",$J105*N(INDEX(Fertilisants!$J$8:$J$47,$AA105)))</f>
        <v/>
      </c>
      <c r="P105" s="50" t="str">
        <f>IF(OR($J105="",$AA105=""),"",$J105*N(INDEX(Fertilisants!$K$8:$K$47,$AA105)))</f>
        <v/>
      </c>
      <c r="Q105" s="50" t="str">
        <f t="shared" si="15"/>
        <v/>
      </c>
      <c r="R105" s="44"/>
      <c r="S105" s="44"/>
      <c r="T105" s="51"/>
      <c r="U105" s="44"/>
      <c r="V105" s="43"/>
      <c r="W105" s="52" t="str">
        <f t="shared" si="16"/>
        <v/>
      </c>
      <c r="X105" s="44"/>
      <c r="Z105" s="53" t="str">
        <f>IF($D105="","",IFERROR(MATCH($D105,Îlots!$D$8:$D$57,0),""))</f>
        <v/>
      </c>
      <c r="AA105" s="53" t="str">
        <f>IF($G105="","",IFERROR(MATCH($G105,Fertilisants!$B$8:$B$47,0),""))</f>
        <v/>
      </c>
      <c r="AB105" s="53" t="str">
        <f>IF($Z105="","",INDEX(Îlots!$E$8:$E$57,$Z105))</f>
        <v/>
      </c>
      <c r="AC105" s="53" t="str">
        <f>IF($Z105="","",INDEX(Îlots!$G$8:$G$57,$Z105)&amp;"")</f>
        <v/>
      </c>
      <c r="AD105" s="53" t="str">
        <f>IF($Z105="","",IF($F105=ApportCouvert,OccCouvert,INDEX(Îlots!$O$8:$O$57,$Z105)&amp;""))</f>
        <v/>
      </c>
      <c r="AE105" s="53" t="str">
        <f t="shared" si="17"/>
        <v/>
      </c>
      <c r="AF105" s="53" t="str">
        <f t="shared" si="18"/>
        <v/>
      </c>
      <c r="AG105" s="53" t="str">
        <f t="shared" si="19"/>
        <v/>
      </c>
      <c r="AH105" s="53">
        <f t="shared" si="20"/>
        <v>0</v>
      </c>
      <c r="AI105" s="53">
        <f t="shared" si="21"/>
        <v>0</v>
      </c>
      <c r="AJ105" s="53">
        <f t="shared" si="22"/>
        <v>0</v>
      </c>
      <c r="AK105" s="53">
        <f t="shared" si="23"/>
        <v>0</v>
      </c>
      <c r="AL105" s="53">
        <f t="shared" si="24"/>
        <v>0</v>
      </c>
      <c r="AM105" s="53">
        <f>IF($AA105="",0,IF(INDEX(Fertilisants!$C$8:$C$47,$AA105)="Effluent d'élevage",1,0))</f>
        <v>0</v>
      </c>
      <c r="AN105" s="53" t="str">
        <f>IF($AA105="","",IF(INDEX(Fertilisants!$C$8:$C$47,$AA105)="Engrais minéral","Minéral","Organique"))</f>
        <v/>
      </c>
      <c r="AO105" s="53" t="str">
        <f t="shared" si="25"/>
        <v/>
      </c>
      <c r="AP105" s="53" t="str">
        <f t="shared" si="26"/>
        <v/>
      </c>
      <c r="AQ105" s="53" t="str">
        <f t="shared" si="27"/>
        <v/>
      </c>
      <c r="AR105" s="53" t="str">
        <f>IF(AND($D105&lt;&gt;"",$D105=FicheIlot),COUNTIF($D$8:$D105,FicheIlot),"")</f>
        <v/>
      </c>
    </row>
    <row r="106" spans="2:44" ht="18.95" customHeight="1" x14ac:dyDescent="0.25">
      <c r="B106" s="42" t="str">
        <f>IF(C106="","",COUNT($C$8:C106))</f>
        <v/>
      </c>
      <c r="C106" s="43"/>
      <c r="D106" s="44"/>
      <c r="E106" s="45" t="str">
        <f>IF($Z106="","",IF($F106=ApportCouvert,INDEX(Îlots!$I$8:$I$57,$Z106)&amp;"",INDEX(Îlots!$N$8:$N$57,$Z106)&amp;""))</f>
        <v/>
      </c>
      <c r="F106" s="44"/>
      <c r="G106" s="44"/>
      <c r="H106" s="46" t="str">
        <f>IF($AA106="","",INDEX(Fertilisants!$D$8:$D$47,$AA106)&amp;"")</f>
        <v/>
      </c>
      <c r="I106" s="47"/>
      <c r="J106" s="48"/>
      <c r="K106" s="46" t="str">
        <f>IF($AA106="","",INDEX(Fertilisants!$E$8:$E$47,$AA106)&amp;"")</f>
        <v/>
      </c>
      <c r="L106" s="49" t="str">
        <f t="shared" si="14"/>
        <v/>
      </c>
      <c r="M106" s="50" t="str">
        <f>IF(OR($J106="",$AA106=""),"",$J106*N(INDEX(Fertilisants!$G$8:$G$47,$AA106)))</f>
        <v/>
      </c>
      <c r="N106" s="50" t="str">
        <f>IF(OR($J106="",$AA106=""),"",$J106*N(INDEX(Fertilisants!$I$8:$I$47,$AA106)))</f>
        <v/>
      </c>
      <c r="O106" s="50" t="str">
        <f>IF(OR($J106="",$AA106=""),"",$J106*N(INDEX(Fertilisants!$J$8:$J$47,$AA106)))</f>
        <v/>
      </c>
      <c r="P106" s="50" t="str">
        <f>IF(OR($J106="",$AA106=""),"",$J106*N(INDEX(Fertilisants!$K$8:$K$47,$AA106)))</f>
        <v/>
      </c>
      <c r="Q106" s="50" t="str">
        <f t="shared" si="15"/>
        <v/>
      </c>
      <c r="R106" s="44"/>
      <c r="S106" s="44"/>
      <c r="T106" s="51"/>
      <c r="U106" s="44"/>
      <c r="V106" s="43"/>
      <c r="W106" s="52" t="str">
        <f t="shared" si="16"/>
        <v/>
      </c>
      <c r="X106" s="44"/>
      <c r="Z106" s="53" t="str">
        <f>IF($D106="","",IFERROR(MATCH($D106,Îlots!$D$8:$D$57,0),""))</f>
        <v/>
      </c>
      <c r="AA106" s="53" t="str">
        <f>IF($G106="","",IFERROR(MATCH($G106,Fertilisants!$B$8:$B$47,0),""))</f>
        <v/>
      </c>
      <c r="AB106" s="53" t="str">
        <f>IF($Z106="","",INDEX(Îlots!$E$8:$E$57,$Z106))</f>
        <v/>
      </c>
      <c r="AC106" s="53" t="str">
        <f>IF($Z106="","",INDEX(Îlots!$G$8:$G$57,$Z106)&amp;"")</f>
        <v/>
      </c>
      <c r="AD106" s="53" t="str">
        <f>IF($Z106="","",IF($F106=ApportCouvert,OccCouvert,INDEX(Îlots!$O$8:$O$57,$Z106)&amp;""))</f>
        <v/>
      </c>
      <c r="AE106" s="53" t="str">
        <f t="shared" si="17"/>
        <v/>
      </c>
      <c r="AF106" s="53" t="str">
        <f t="shared" si="18"/>
        <v/>
      </c>
      <c r="AG106" s="53" t="str">
        <f t="shared" si="19"/>
        <v/>
      </c>
      <c r="AH106" s="53">
        <f t="shared" si="20"/>
        <v>0</v>
      </c>
      <c r="AI106" s="53">
        <f t="shared" si="21"/>
        <v>0</v>
      </c>
      <c r="AJ106" s="53">
        <f t="shared" si="22"/>
        <v>0</v>
      </c>
      <c r="AK106" s="53">
        <f t="shared" si="23"/>
        <v>0</v>
      </c>
      <c r="AL106" s="53">
        <f t="shared" si="24"/>
        <v>0</v>
      </c>
      <c r="AM106" s="53">
        <f>IF($AA106="",0,IF(INDEX(Fertilisants!$C$8:$C$47,$AA106)="Effluent d'élevage",1,0))</f>
        <v>0</v>
      </c>
      <c r="AN106" s="53" t="str">
        <f>IF($AA106="","",IF(INDEX(Fertilisants!$C$8:$C$47,$AA106)="Engrais minéral","Minéral","Organique"))</f>
        <v/>
      </c>
      <c r="AO106" s="53" t="str">
        <f t="shared" si="25"/>
        <v/>
      </c>
      <c r="AP106" s="53" t="str">
        <f t="shared" si="26"/>
        <v/>
      </c>
      <c r="AQ106" s="53" t="str">
        <f t="shared" si="27"/>
        <v/>
      </c>
      <c r="AR106" s="53" t="str">
        <f>IF(AND($D106&lt;&gt;"",$D106=FicheIlot),COUNTIF($D$8:$D106,FicheIlot),"")</f>
        <v/>
      </c>
    </row>
    <row r="107" spans="2:44" ht="18.95" customHeight="1" x14ac:dyDescent="0.25">
      <c r="B107" s="42" t="str">
        <f>IF(C107="","",COUNT($C$8:C107))</f>
        <v/>
      </c>
      <c r="C107" s="43"/>
      <c r="D107" s="44"/>
      <c r="E107" s="45" t="str">
        <f>IF($Z107="","",IF($F107=ApportCouvert,INDEX(Îlots!$I$8:$I$57,$Z107)&amp;"",INDEX(Îlots!$N$8:$N$57,$Z107)&amp;""))</f>
        <v/>
      </c>
      <c r="F107" s="44"/>
      <c r="G107" s="44"/>
      <c r="H107" s="46" t="str">
        <f>IF($AA107="","",INDEX(Fertilisants!$D$8:$D$47,$AA107)&amp;"")</f>
        <v/>
      </c>
      <c r="I107" s="47"/>
      <c r="J107" s="48"/>
      <c r="K107" s="46" t="str">
        <f>IF($AA107="","",INDEX(Fertilisants!$E$8:$E$47,$AA107)&amp;"")</f>
        <v/>
      </c>
      <c r="L107" s="49" t="str">
        <f t="shared" si="14"/>
        <v/>
      </c>
      <c r="M107" s="50" t="str">
        <f>IF(OR($J107="",$AA107=""),"",$J107*N(INDEX(Fertilisants!$G$8:$G$47,$AA107)))</f>
        <v/>
      </c>
      <c r="N107" s="50" t="str">
        <f>IF(OR($J107="",$AA107=""),"",$J107*N(INDEX(Fertilisants!$I$8:$I$47,$AA107)))</f>
        <v/>
      </c>
      <c r="O107" s="50" t="str">
        <f>IF(OR($J107="",$AA107=""),"",$J107*N(INDEX(Fertilisants!$J$8:$J$47,$AA107)))</f>
        <v/>
      </c>
      <c r="P107" s="50" t="str">
        <f>IF(OR($J107="",$AA107=""),"",$J107*N(INDEX(Fertilisants!$K$8:$K$47,$AA107)))</f>
        <v/>
      </c>
      <c r="Q107" s="50" t="str">
        <f t="shared" si="15"/>
        <v/>
      </c>
      <c r="R107" s="44"/>
      <c r="S107" s="44"/>
      <c r="T107" s="51"/>
      <c r="U107" s="44"/>
      <c r="V107" s="43"/>
      <c r="W107" s="52" t="str">
        <f t="shared" si="16"/>
        <v/>
      </c>
      <c r="X107" s="44"/>
      <c r="Z107" s="53" t="str">
        <f>IF($D107="","",IFERROR(MATCH($D107,Îlots!$D$8:$D$57,0),""))</f>
        <v/>
      </c>
      <c r="AA107" s="53" t="str">
        <f>IF($G107="","",IFERROR(MATCH($G107,Fertilisants!$B$8:$B$47,0),""))</f>
        <v/>
      </c>
      <c r="AB107" s="53" t="str">
        <f>IF($Z107="","",INDEX(Îlots!$E$8:$E$57,$Z107))</f>
        <v/>
      </c>
      <c r="AC107" s="53" t="str">
        <f>IF($Z107="","",INDEX(Îlots!$G$8:$G$57,$Z107)&amp;"")</f>
        <v/>
      </c>
      <c r="AD107" s="53" t="str">
        <f>IF($Z107="","",IF($F107=ApportCouvert,OccCouvert,INDEX(Îlots!$O$8:$O$57,$Z107)&amp;""))</f>
        <v/>
      </c>
      <c r="AE107" s="53" t="str">
        <f t="shared" si="17"/>
        <v/>
      </c>
      <c r="AF107" s="53" t="str">
        <f t="shared" si="18"/>
        <v/>
      </c>
      <c r="AG107" s="53" t="str">
        <f t="shared" si="19"/>
        <v/>
      </c>
      <c r="AH107" s="53">
        <f t="shared" si="20"/>
        <v>0</v>
      </c>
      <c r="AI107" s="53">
        <f t="shared" si="21"/>
        <v>0</v>
      </c>
      <c r="AJ107" s="53">
        <f t="shared" si="22"/>
        <v>0</v>
      </c>
      <c r="AK107" s="53">
        <f t="shared" si="23"/>
        <v>0</v>
      </c>
      <c r="AL107" s="53">
        <f t="shared" si="24"/>
        <v>0</v>
      </c>
      <c r="AM107" s="53">
        <f>IF($AA107="",0,IF(INDEX(Fertilisants!$C$8:$C$47,$AA107)="Effluent d'élevage",1,0))</f>
        <v>0</v>
      </c>
      <c r="AN107" s="53" t="str">
        <f>IF($AA107="","",IF(INDEX(Fertilisants!$C$8:$C$47,$AA107)="Engrais minéral","Minéral","Organique"))</f>
        <v/>
      </c>
      <c r="AO107" s="53" t="str">
        <f t="shared" si="25"/>
        <v/>
      </c>
      <c r="AP107" s="53" t="str">
        <f t="shared" si="26"/>
        <v/>
      </c>
      <c r="AQ107" s="53" t="str">
        <f t="shared" si="27"/>
        <v/>
      </c>
      <c r="AR107" s="53" t="str">
        <f>IF(AND($D107&lt;&gt;"",$D107=FicheIlot),COUNTIF($D$8:$D107,FicheIlot),"")</f>
        <v/>
      </c>
    </row>
    <row r="108" spans="2:44" ht="18.95" customHeight="1" x14ac:dyDescent="0.25">
      <c r="B108" s="42" t="str">
        <f>IF(C108="","",COUNT($C$8:C108))</f>
        <v/>
      </c>
      <c r="C108" s="43"/>
      <c r="D108" s="44"/>
      <c r="E108" s="45" t="str">
        <f>IF($Z108="","",IF($F108=ApportCouvert,INDEX(Îlots!$I$8:$I$57,$Z108)&amp;"",INDEX(Îlots!$N$8:$N$57,$Z108)&amp;""))</f>
        <v/>
      </c>
      <c r="F108" s="44"/>
      <c r="G108" s="44"/>
      <c r="H108" s="46" t="str">
        <f>IF($AA108="","",INDEX(Fertilisants!$D$8:$D$47,$AA108)&amp;"")</f>
        <v/>
      </c>
      <c r="I108" s="47"/>
      <c r="J108" s="48"/>
      <c r="K108" s="46" t="str">
        <f>IF($AA108="","",INDEX(Fertilisants!$E$8:$E$47,$AA108)&amp;"")</f>
        <v/>
      </c>
      <c r="L108" s="49" t="str">
        <f t="shared" si="14"/>
        <v/>
      </c>
      <c r="M108" s="50" t="str">
        <f>IF(OR($J108="",$AA108=""),"",$J108*N(INDEX(Fertilisants!$G$8:$G$47,$AA108)))</f>
        <v/>
      </c>
      <c r="N108" s="50" t="str">
        <f>IF(OR($J108="",$AA108=""),"",$J108*N(INDEX(Fertilisants!$I$8:$I$47,$AA108)))</f>
        <v/>
      </c>
      <c r="O108" s="50" t="str">
        <f>IF(OR($J108="",$AA108=""),"",$J108*N(INDEX(Fertilisants!$J$8:$J$47,$AA108)))</f>
        <v/>
      </c>
      <c r="P108" s="50" t="str">
        <f>IF(OR($J108="",$AA108=""),"",$J108*N(INDEX(Fertilisants!$K$8:$K$47,$AA108)))</f>
        <v/>
      </c>
      <c r="Q108" s="50" t="str">
        <f t="shared" si="15"/>
        <v/>
      </c>
      <c r="R108" s="44"/>
      <c r="S108" s="44"/>
      <c r="T108" s="51"/>
      <c r="U108" s="44"/>
      <c r="V108" s="43"/>
      <c r="W108" s="52" t="str">
        <f t="shared" si="16"/>
        <v/>
      </c>
      <c r="X108" s="44"/>
      <c r="Z108" s="53" t="str">
        <f>IF($D108="","",IFERROR(MATCH($D108,Îlots!$D$8:$D$57,0),""))</f>
        <v/>
      </c>
      <c r="AA108" s="53" t="str">
        <f>IF($G108="","",IFERROR(MATCH($G108,Fertilisants!$B$8:$B$47,0),""))</f>
        <v/>
      </c>
      <c r="AB108" s="53" t="str">
        <f>IF($Z108="","",INDEX(Îlots!$E$8:$E$57,$Z108))</f>
        <v/>
      </c>
      <c r="AC108" s="53" t="str">
        <f>IF($Z108="","",INDEX(Îlots!$G$8:$G$57,$Z108)&amp;"")</f>
        <v/>
      </c>
      <c r="AD108" s="53" t="str">
        <f>IF($Z108="","",IF($F108=ApportCouvert,OccCouvert,INDEX(Îlots!$O$8:$O$57,$Z108)&amp;""))</f>
        <v/>
      </c>
      <c r="AE108" s="53" t="str">
        <f t="shared" si="17"/>
        <v/>
      </c>
      <c r="AF108" s="53" t="str">
        <f t="shared" si="18"/>
        <v/>
      </c>
      <c r="AG108" s="53" t="str">
        <f t="shared" si="19"/>
        <v/>
      </c>
      <c r="AH108" s="53">
        <f t="shared" si="20"/>
        <v>0</v>
      </c>
      <c r="AI108" s="53">
        <f t="shared" si="21"/>
        <v>0</v>
      </c>
      <c r="AJ108" s="53">
        <f t="shared" si="22"/>
        <v>0</v>
      </c>
      <c r="AK108" s="53">
        <f t="shared" si="23"/>
        <v>0</v>
      </c>
      <c r="AL108" s="53">
        <f t="shared" si="24"/>
        <v>0</v>
      </c>
      <c r="AM108" s="53">
        <f>IF($AA108="",0,IF(INDEX(Fertilisants!$C$8:$C$47,$AA108)="Effluent d'élevage",1,0))</f>
        <v>0</v>
      </c>
      <c r="AN108" s="53" t="str">
        <f>IF($AA108="","",IF(INDEX(Fertilisants!$C$8:$C$47,$AA108)="Engrais minéral","Minéral","Organique"))</f>
        <v/>
      </c>
      <c r="AO108" s="53" t="str">
        <f t="shared" si="25"/>
        <v/>
      </c>
      <c r="AP108" s="53" t="str">
        <f t="shared" si="26"/>
        <v/>
      </c>
      <c r="AQ108" s="53" t="str">
        <f t="shared" si="27"/>
        <v/>
      </c>
      <c r="AR108" s="53" t="str">
        <f>IF(AND($D108&lt;&gt;"",$D108=FicheIlot),COUNTIF($D$8:$D108,FicheIlot),"")</f>
        <v/>
      </c>
    </row>
    <row r="109" spans="2:44" ht="18.95" customHeight="1" x14ac:dyDescent="0.25">
      <c r="B109" s="42" t="str">
        <f>IF(C109="","",COUNT($C$8:C109))</f>
        <v/>
      </c>
      <c r="C109" s="43"/>
      <c r="D109" s="44"/>
      <c r="E109" s="45" t="str">
        <f>IF($Z109="","",IF($F109=ApportCouvert,INDEX(Îlots!$I$8:$I$57,$Z109)&amp;"",INDEX(Îlots!$N$8:$N$57,$Z109)&amp;""))</f>
        <v/>
      </c>
      <c r="F109" s="44"/>
      <c r="G109" s="44"/>
      <c r="H109" s="46" t="str">
        <f>IF($AA109="","",INDEX(Fertilisants!$D$8:$D$47,$AA109)&amp;"")</f>
        <v/>
      </c>
      <c r="I109" s="47"/>
      <c r="J109" s="48"/>
      <c r="K109" s="46" t="str">
        <f>IF($AA109="","",INDEX(Fertilisants!$E$8:$E$47,$AA109)&amp;"")</f>
        <v/>
      </c>
      <c r="L109" s="49" t="str">
        <f t="shared" si="14"/>
        <v/>
      </c>
      <c r="M109" s="50" t="str">
        <f>IF(OR($J109="",$AA109=""),"",$J109*N(INDEX(Fertilisants!$G$8:$G$47,$AA109)))</f>
        <v/>
      </c>
      <c r="N109" s="50" t="str">
        <f>IF(OR($J109="",$AA109=""),"",$J109*N(INDEX(Fertilisants!$I$8:$I$47,$AA109)))</f>
        <v/>
      </c>
      <c r="O109" s="50" t="str">
        <f>IF(OR($J109="",$AA109=""),"",$J109*N(INDEX(Fertilisants!$J$8:$J$47,$AA109)))</f>
        <v/>
      </c>
      <c r="P109" s="50" t="str">
        <f>IF(OR($J109="",$AA109=""),"",$J109*N(INDEX(Fertilisants!$K$8:$K$47,$AA109)))</f>
        <v/>
      </c>
      <c r="Q109" s="50" t="str">
        <f t="shared" si="15"/>
        <v/>
      </c>
      <c r="R109" s="44"/>
      <c r="S109" s="44"/>
      <c r="T109" s="51"/>
      <c r="U109" s="44"/>
      <c r="V109" s="43"/>
      <c r="W109" s="52" t="str">
        <f t="shared" si="16"/>
        <v/>
      </c>
      <c r="X109" s="44"/>
      <c r="Z109" s="53" t="str">
        <f>IF($D109="","",IFERROR(MATCH($D109,Îlots!$D$8:$D$57,0),""))</f>
        <v/>
      </c>
      <c r="AA109" s="53" t="str">
        <f>IF($G109="","",IFERROR(MATCH($G109,Fertilisants!$B$8:$B$47,0),""))</f>
        <v/>
      </c>
      <c r="AB109" s="53" t="str">
        <f>IF($Z109="","",INDEX(Îlots!$E$8:$E$57,$Z109))</f>
        <v/>
      </c>
      <c r="AC109" s="53" t="str">
        <f>IF($Z109="","",INDEX(Îlots!$G$8:$G$57,$Z109)&amp;"")</f>
        <v/>
      </c>
      <c r="AD109" s="53" t="str">
        <f>IF($Z109="","",IF($F109=ApportCouvert,OccCouvert,INDEX(Îlots!$O$8:$O$57,$Z109)&amp;""))</f>
        <v/>
      </c>
      <c r="AE109" s="53" t="str">
        <f t="shared" si="17"/>
        <v/>
      </c>
      <c r="AF109" s="53" t="str">
        <f t="shared" si="18"/>
        <v/>
      </c>
      <c r="AG109" s="53" t="str">
        <f t="shared" si="19"/>
        <v/>
      </c>
      <c r="AH109" s="53">
        <f t="shared" si="20"/>
        <v>0</v>
      </c>
      <c r="AI109" s="53">
        <f t="shared" si="21"/>
        <v>0</v>
      </c>
      <c r="AJ109" s="53">
        <f t="shared" si="22"/>
        <v>0</v>
      </c>
      <c r="AK109" s="53">
        <f t="shared" si="23"/>
        <v>0</v>
      </c>
      <c r="AL109" s="53">
        <f t="shared" si="24"/>
        <v>0</v>
      </c>
      <c r="AM109" s="53">
        <f>IF($AA109="",0,IF(INDEX(Fertilisants!$C$8:$C$47,$AA109)="Effluent d'élevage",1,0))</f>
        <v>0</v>
      </c>
      <c r="AN109" s="53" t="str">
        <f>IF($AA109="","",IF(INDEX(Fertilisants!$C$8:$C$47,$AA109)="Engrais minéral","Minéral","Organique"))</f>
        <v/>
      </c>
      <c r="AO109" s="53" t="str">
        <f t="shared" si="25"/>
        <v/>
      </c>
      <c r="AP109" s="53" t="str">
        <f t="shared" si="26"/>
        <v/>
      </c>
      <c r="AQ109" s="53" t="str">
        <f t="shared" si="27"/>
        <v/>
      </c>
      <c r="AR109" s="53" t="str">
        <f>IF(AND($D109&lt;&gt;"",$D109=FicheIlot),COUNTIF($D$8:$D109,FicheIlot),"")</f>
        <v/>
      </c>
    </row>
    <row r="110" spans="2:44" ht="18.95" customHeight="1" x14ac:dyDescent="0.25">
      <c r="B110" s="42" t="str">
        <f>IF(C110="","",COUNT($C$8:C110))</f>
        <v/>
      </c>
      <c r="C110" s="43"/>
      <c r="D110" s="44"/>
      <c r="E110" s="45" t="str">
        <f>IF($Z110="","",IF($F110=ApportCouvert,INDEX(Îlots!$I$8:$I$57,$Z110)&amp;"",INDEX(Îlots!$N$8:$N$57,$Z110)&amp;""))</f>
        <v/>
      </c>
      <c r="F110" s="44"/>
      <c r="G110" s="44"/>
      <c r="H110" s="46" t="str">
        <f>IF($AA110="","",INDEX(Fertilisants!$D$8:$D$47,$AA110)&amp;"")</f>
        <v/>
      </c>
      <c r="I110" s="47"/>
      <c r="J110" s="48"/>
      <c r="K110" s="46" t="str">
        <f>IF($AA110="","",INDEX(Fertilisants!$E$8:$E$47,$AA110)&amp;"")</f>
        <v/>
      </c>
      <c r="L110" s="49" t="str">
        <f t="shared" si="14"/>
        <v/>
      </c>
      <c r="M110" s="50" t="str">
        <f>IF(OR($J110="",$AA110=""),"",$J110*N(INDEX(Fertilisants!$G$8:$G$47,$AA110)))</f>
        <v/>
      </c>
      <c r="N110" s="50" t="str">
        <f>IF(OR($J110="",$AA110=""),"",$J110*N(INDEX(Fertilisants!$I$8:$I$47,$AA110)))</f>
        <v/>
      </c>
      <c r="O110" s="50" t="str">
        <f>IF(OR($J110="",$AA110=""),"",$J110*N(INDEX(Fertilisants!$J$8:$J$47,$AA110)))</f>
        <v/>
      </c>
      <c r="P110" s="50" t="str">
        <f>IF(OR($J110="",$AA110=""),"",$J110*N(INDEX(Fertilisants!$K$8:$K$47,$AA110)))</f>
        <v/>
      </c>
      <c r="Q110" s="50" t="str">
        <f t="shared" si="15"/>
        <v/>
      </c>
      <c r="R110" s="44"/>
      <c r="S110" s="44"/>
      <c r="T110" s="51"/>
      <c r="U110" s="44"/>
      <c r="V110" s="43"/>
      <c r="W110" s="52" t="str">
        <f t="shared" si="16"/>
        <v/>
      </c>
      <c r="X110" s="44"/>
      <c r="Z110" s="53" t="str">
        <f>IF($D110="","",IFERROR(MATCH($D110,Îlots!$D$8:$D$57,0),""))</f>
        <v/>
      </c>
      <c r="AA110" s="53" t="str">
        <f>IF($G110="","",IFERROR(MATCH($G110,Fertilisants!$B$8:$B$47,0),""))</f>
        <v/>
      </c>
      <c r="AB110" s="53" t="str">
        <f>IF($Z110="","",INDEX(Îlots!$E$8:$E$57,$Z110))</f>
        <v/>
      </c>
      <c r="AC110" s="53" t="str">
        <f>IF($Z110="","",INDEX(Îlots!$G$8:$G$57,$Z110)&amp;"")</f>
        <v/>
      </c>
      <c r="AD110" s="53" t="str">
        <f>IF($Z110="","",IF($F110=ApportCouvert,OccCouvert,INDEX(Îlots!$O$8:$O$57,$Z110)&amp;""))</f>
        <v/>
      </c>
      <c r="AE110" s="53" t="str">
        <f t="shared" si="17"/>
        <v/>
      </c>
      <c r="AF110" s="53" t="str">
        <f t="shared" si="18"/>
        <v/>
      </c>
      <c r="AG110" s="53" t="str">
        <f t="shared" si="19"/>
        <v/>
      </c>
      <c r="AH110" s="53">
        <f t="shared" si="20"/>
        <v>0</v>
      </c>
      <c r="AI110" s="53">
        <f t="shared" si="21"/>
        <v>0</v>
      </c>
      <c r="AJ110" s="53">
        <f t="shared" si="22"/>
        <v>0</v>
      </c>
      <c r="AK110" s="53">
        <f t="shared" si="23"/>
        <v>0</v>
      </c>
      <c r="AL110" s="53">
        <f t="shared" si="24"/>
        <v>0</v>
      </c>
      <c r="AM110" s="53">
        <f>IF($AA110="",0,IF(INDEX(Fertilisants!$C$8:$C$47,$AA110)="Effluent d'élevage",1,0))</f>
        <v>0</v>
      </c>
      <c r="AN110" s="53" t="str">
        <f>IF($AA110="","",IF(INDEX(Fertilisants!$C$8:$C$47,$AA110)="Engrais minéral","Minéral","Organique"))</f>
        <v/>
      </c>
      <c r="AO110" s="53" t="str">
        <f t="shared" si="25"/>
        <v/>
      </c>
      <c r="AP110" s="53" t="str">
        <f t="shared" si="26"/>
        <v/>
      </c>
      <c r="AQ110" s="53" t="str">
        <f t="shared" si="27"/>
        <v/>
      </c>
      <c r="AR110" s="53" t="str">
        <f>IF(AND($D110&lt;&gt;"",$D110=FicheIlot),COUNTIF($D$8:$D110,FicheIlot),"")</f>
        <v/>
      </c>
    </row>
    <row r="111" spans="2:44" ht="18.95" customHeight="1" x14ac:dyDescent="0.25">
      <c r="B111" s="42" t="str">
        <f>IF(C111="","",COUNT($C$8:C111))</f>
        <v/>
      </c>
      <c r="C111" s="43"/>
      <c r="D111" s="44"/>
      <c r="E111" s="45" t="str">
        <f>IF($Z111="","",IF($F111=ApportCouvert,INDEX(Îlots!$I$8:$I$57,$Z111)&amp;"",INDEX(Îlots!$N$8:$N$57,$Z111)&amp;""))</f>
        <v/>
      </c>
      <c r="F111" s="44"/>
      <c r="G111" s="44"/>
      <c r="H111" s="46" t="str">
        <f>IF($AA111="","",INDEX(Fertilisants!$D$8:$D$47,$AA111)&amp;"")</f>
        <v/>
      </c>
      <c r="I111" s="47"/>
      <c r="J111" s="48"/>
      <c r="K111" s="46" t="str">
        <f>IF($AA111="","",INDEX(Fertilisants!$E$8:$E$47,$AA111)&amp;"")</f>
        <v/>
      </c>
      <c r="L111" s="49" t="str">
        <f t="shared" si="14"/>
        <v/>
      </c>
      <c r="M111" s="50" t="str">
        <f>IF(OR($J111="",$AA111=""),"",$J111*N(INDEX(Fertilisants!$G$8:$G$47,$AA111)))</f>
        <v/>
      </c>
      <c r="N111" s="50" t="str">
        <f>IF(OR($J111="",$AA111=""),"",$J111*N(INDEX(Fertilisants!$I$8:$I$47,$AA111)))</f>
        <v/>
      </c>
      <c r="O111" s="50" t="str">
        <f>IF(OR($J111="",$AA111=""),"",$J111*N(INDEX(Fertilisants!$J$8:$J$47,$AA111)))</f>
        <v/>
      </c>
      <c r="P111" s="50" t="str">
        <f>IF(OR($J111="",$AA111=""),"",$J111*N(INDEX(Fertilisants!$K$8:$K$47,$AA111)))</f>
        <v/>
      </c>
      <c r="Q111" s="50" t="str">
        <f t="shared" si="15"/>
        <v/>
      </c>
      <c r="R111" s="44"/>
      <c r="S111" s="44"/>
      <c r="T111" s="51"/>
      <c r="U111" s="44"/>
      <c r="V111" s="43"/>
      <c r="W111" s="52" t="str">
        <f t="shared" si="16"/>
        <v/>
      </c>
      <c r="X111" s="44"/>
      <c r="Z111" s="53" t="str">
        <f>IF($D111="","",IFERROR(MATCH($D111,Îlots!$D$8:$D$57,0),""))</f>
        <v/>
      </c>
      <c r="AA111" s="53" t="str">
        <f>IF($G111="","",IFERROR(MATCH($G111,Fertilisants!$B$8:$B$47,0),""))</f>
        <v/>
      </c>
      <c r="AB111" s="53" t="str">
        <f>IF($Z111="","",INDEX(Îlots!$E$8:$E$57,$Z111))</f>
        <v/>
      </c>
      <c r="AC111" s="53" t="str">
        <f>IF($Z111="","",INDEX(Îlots!$G$8:$G$57,$Z111)&amp;"")</f>
        <v/>
      </c>
      <c r="AD111" s="53" t="str">
        <f>IF($Z111="","",IF($F111=ApportCouvert,OccCouvert,INDEX(Îlots!$O$8:$O$57,$Z111)&amp;""))</f>
        <v/>
      </c>
      <c r="AE111" s="53" t="str">
        <f t="shared" si="17"/>
        <v/>
      </c>
      <c r="AF111" s="53" t="str">
        <f t="shared" si="18"/>
        <v/>
      </c>
      <c r="AG111" s="53" t="str">
        <f t="shared" si="19"/>
        <v/>
      </c>
      <c r="AH111" s="53">
        <f t="shared" si="20"/>
        <v>0</v>
      </c>
      <c r="AI111" s="53">
        <f t="shared" si="21"/>
        <v>0</v>
      </c>
      <c r="AJ111" s="53">
        <f t="shared" si="22"/>
        <v>0</v>
      </c>
      <c r="AK111" s="53">
        <f t="shared" si="23"/>
        <v>0</v>
      </c>
      <c r="AL111" s="53">
        <f t="shared" si="24"/>
        <v>0</v>
      </c>
      <c r="AM111" s="53">
        <f>IF($AA111="",0,IF(INDEX(Fertilisants!$C$8:$C$47,$AA111)="Effluent d'élevage",1,0))</f>
        <v>0</v>
      </c>
      <c r="AN111" s="53" t="str">
        <f>IF($AA111="","",IF(INDEX(Fertilisants!$C$8:$C$47,$AA111)="Engrais minéral","Minéral","Organique"))</f>
        <v/>
      </c>
      <c r="AO111" s="53" t="str">
        <f t="shared" si="25"/>
        <v/>
      </c>
      <c r="AP111" s="53" t="str">
        <f t="shared" si="26"/>
        <v/>
      </c>
      <c r="AQ111" s="53" t="str">
        <f t="shared" si="27"/>
        <v/>
      </c>
      <c r="AR111" s="53" t="str">
        <f>IF(AND($D111&lt;&gt;"",$D111=FicheIlot),COUNTIF($D$8:$D111,FicheIlot),"")</f>
        <v/>
      </c>
    </row>
    <row r="112" spans="2:44" ht="18.95" customHeight="1" x14ac:dyDescent="0.25">
      <c r="B112" s="42" t="str">
        <f>IF(C112="","",COUNT($C$8:C112))</f>
        <v/>
      </c>
      <c r="C112" s="43"/>
      <c r="D112" s="44"/>
      <c r="E112" s="45" t="str">
        <f>IF($Z112="","",IF($F112=ApportCouvert,INDEX(Îlots!$I$8:$I$57,$Z112)&amp;"",INDEX(Îlots!$N$8:$N$57,$Z112)&amp;""))</f>
        <v/>
      </c>
      <c r="F112" s="44"/>
      <c r="G112" s="44"/>
      <c r="H112" s="46" t="str">
        <f>IF($AA112="","",INDEX(Fertilisants!$D$8:$D$47,$AA112)&amp;"")</f>
        <v/>
      </c>
      <c r="I112" s="47"/>
      <c r="J112" s="48"/>
      <c r="K112" s="46" t="str">
        <f>IF($AA112="","",INDEX(Fertilisants!$E$8:$E$47,$AA112)&amp;"")</f>
        <v/>
      </c>
      <c r="L112" s="49" t="str">
        <f t="shared" si="14"/>
        <v/>
      </c>
      <c r="M112" s="50" t="str">
        <f>IF(OR($J112="",$AA112=""),"",$J112*N(INDEX(Fertilisants!$G$8:$G$47,$AA112)))</f>
        <v/>
      </c>
      <c r="N112" s="50" t="str">
        <f>IF(OR($J112="",$AA112=""),"",$J112*N(INDEX(Fertilisants!$I$8:$I$47,$AA112)))</f>
        <v/>
      </c>
      <c r="O112" s="50" t="str">
        <f>IF(OR($J112="",$AA112=""),"",$J112*N(INDEX(Fertilisants!$J$8:$J$47,$AA112)))</f>
        <v/>
      </c>
      <c r="P112" s="50" t="str">
        <f>IF(OR($J112="",$AA112=""),"",$J112*N(INDEX(Fertilisants!$K$8:$K$47,$AA112)))</f>
        <v/>
      </c>
      <c r="Q112" s="50" t="str">
        <f t="shared" si="15"/>
        <v/>
      </c>
      <c r="R112" s="44"/>
      <c r="S112" s="44"/>
      <c r="T112" s="51"/>
      <c r="U112" s="44"/>
      <c r="V112" s="43"/>
      <c r="W112" s="52" t="str">
        <f t="shared" si="16"/>
        <v/>
      </c>
      <c r="X112" s="44"/>
      <c r="Z112" s="53" t="str">
        <f>IF($D112="","",IFERROR(MATCH($D112,Îlots!$D$8:$D$57,0),""))</f>
        <v/>
      </c>
      <c r="AA112" s="53" t="str">
        <f>IF($G112="","",IFERROR(MATCH($G112,Fertilisants!$B$8:$B$47,0),""))</f>
        <v/>
      </c>
      <c r="AB112" s="53" t="str">
        <f>IF($Z112="","",INDEX(Îlots!$E$8:$E$57,$Z112))</f>
        <v/>
      </c>
      <c r="AC112" s="53" t="str">
        <f>IF($Z112="","",INDEX(Îlots!$G$8:$G$57,$Z112)&amp;"")</f>
        <v/>
      </c>
      <c r="AD112" s="53" t="str">
        <f>IF($Z112="","",IF($F112=ApportCouvert,OccCouvert,INDEX(Îlots!$O$8:$O$57,$Z112)&amp;""))</f>
        <v/>
      </c>
      <c r="AE112" s="53" t="str">
        <f t="shared" si="17"/>
        <v/>
      </c>
      <c r="AF112" s="53" t="str">
        <f t="shared" si="18"/>
        <v/>
      </c>
      <c r="AG112" s="53" t="str">
        <f t="shared" si="19"/>
        <v/>
      </c>
      <c r="AH112" s="53">
        <f t="shared" si="20"/>
        <v>0</v>
      </c>
      <c r="AI112" s="53">
        <f t="shared" si="21"/>
        <v>0</v>
      </c>
      <c r="AJ112" s="53">
        <f t="shared" si="22"/>
        <v>0</v>
      </c>
      <c r="AK112" s="53">
        <f t="shared" si="23"/>
        <v>0</v>
      </c>
      <c r="AL112" s="53">
        <f t="shared" si="24"/>
        <v>0</v>
      </c>
      <c r="AM112" s="53">
        <f>IF($AA112="",0,IF(INDEX(Fertilisants!$C$8:$C$47,$AA112)="Effluent d'élevage",1,0))</f>
        <v>0</v>
      </c>
      <c r="AN112" s="53" t="str">
        <f>IF($AA112="","",IF(INDEX(Fertilisants!$C$8:$C$47,$AA112)="Engrais minéral","Minéral","Organique"))</f>
        <v/>
      </c>
      <c r="AO112" s="53" t="str">
        <f t="shared" si="25"/>
        <v/>
      </c>
      <c r="AP112" s="53" t="str">
        <f t="shared" si="26"/>
        <v/>
      </c>
      <c r="AQ112" s="53" t="str">
        <f t="shared" si="27"/>
        <v/>
      </c>
      <c r="AR112" s="53" t="str">
        <f>IF(AND($D112&lt;&gt;"",$D112=FicheIlot),COUNTIF($D$8:$D112,FicheIlot),"")</f>
        <v/>
      </c>
    </row>
    <row r="113" spans="2:44" ht="18.95" customHeight="1" x14ac:dyDescent="0.25">
      <c r="B113" s="42" t="str">
        <f>IF(C113="","",COUNT($C$8:C113))</f>
        <v/>
      </c>
      <c r="C113" s="43"/>
      <c r="D113" s="44"/>
      <c r="E113" s="45" t="str">
        <f>IF($Z113="","",IF($F113=ApportCouvert,INDEX(Îlots!$I$8:$I$57,$Z113)&amp;"",INDEX(Îlots!$N$8:$N$57,$Z113)&amp;""))</f>
        <v/>
      </c>
      <c r="F113" s="44"/>
      <c r="G113" s="44"/>
      <c r="H113" s="46" t="str">
        <f>IF($AA113="","",INDEX(Fertilisants!$D$8:$D$47,$AA113)&amp;"")</f>
        <v/>
      </c>
      <c r="I113" s="47"/>
      <c r="J113" s="48"/>
      <c r="K113" s="46" t="str">
        <f>IF($AA113="","",INDEX(Fertilisants!$E$8:$E$47,$AA113)&amp;"")</f>
        <v/>
      </c>
      <c r="L113" s="49" t="str">
        <f t="shared" si="14"/>
        <v/>
      </c>
      <c r="M113" s="50" t="str">
        <f>IF(OR($J113="",$AA113=""),"",$J113*N(INDEX(Fertilisants!$G$8:$G$47,$AA113)))</f>
        <v/>
      </c>
      <c r="N113" s="50" t="str">
        <f>IF(OR($J113="",$AA113=""),"",$J113*N(INDEX(Fertilisants!$I$8:$I$47,$AA113)))</f>
        <v/>
      </c>
      <c r="O113" s="50" t="str">
        <f>IF(OR($J113="",$AA113=""),"",$J113*N(INDEX(Fertilisants!$J$8:$J$47,$AA113)))</f>
        <v/>
      </c>
      <c r="P113" s="50" t="str">
        <f>IF(OR($J113="",$AA113=""),"",$J113*N(INDEX(Fertilisants!$K$8:$K$47,$AA113)))</f>
        <v/>
      </c>
      <c r="Q113" s="50" t="str">
        <f t="shared" si="15"/>
        <v/>
      </c>
      <c r="R113" s="44"/>
      <c r="S113" s="44"/>
      <c r="T113" s="51"/>
      <c r="U113" s="44"/>
      <c r="V113" s="43"/>
      <c r="W113" s="52" t="str">
        <f t="shared" si="16"/>
        <v/>
      </c>
      <c r="X113" s="44"/>
      <c r="Z113" s="53" t="str">
        <f>IF($D113="","",IFERROR(MATCH($D113,Îlots!$D$8:$D$57,0),""))</f>
        <v/>
      </c>
      <c r="AA113" s="53" t="str">
        <f>IF($G113="","",IFERROR(MATCH($G113,Fertilisants!$B$8:$B$47,0),""))</f>
        <v/>
      </c>
      <c r="AB113" s="53" t="str">
        <f>IF($Z113="","",INDEX(Îlots!$E$8:$E$57,$Z113))</f>
        <v/>
      </c>
      <c r="AC113" s="53" t="str">
        <f>IF($Z113="","",INDEX(Îlots!$G$8:$G$57,$Z113)&amp;"")</f>
        <v/>
      </c>
      <c r="AD113" s="53" t="str">
        <f>IF($Z113="","",IF($F113=ApportCouvert,OccCouvert,INDEX(Îlots!$O$8:$O$57,$Z113)&amp;""))</f>
        <v/>
      </c>
      <c r="AE113" s="53" t="str">
        <f t="shared" si="17"/>
        <v/>
      </c>
      <c r="AF113" s="53" t="str">
        <f t="shared" si="18"/>
        <v/>
      </c>
      <c r="AG113" s="53" t="str">
        <f t="shared" si="19"/>
        <v/>
      </c>
      <c r="AH113" s="53">
        <f t="shared" si="20"/>
        <v>0</v>
      </c>
      <c r="AI113" s="53">
        <f t="shared" si="21"/>
        <v>0</v>
      </c>
      <c r="AJ113" s="53">
        <f t="shared" si="22"/>
        <v>0</v>
      </c>
      <c r="AK113" s="53">
        <f t="shared" si="23"/>
        <v>0</v>
      </c>
      <c r="AL113" s="53">
        <f t="shared" si="24"/>
        <v>0</v>
      </c>
      <c r="AM113" s="53">
        <f>IF($AA113="",0,IF(INDEX(Fertilisants!$C$8:$C$47,$AA113)="Effluent d'élevage",1,0))</f>
        <v>0</v>
      </c>
      <c r="AN113" s="53" t="str">
        <f>IF($AA113="","",IF(INDEX(Fertilisants!$C$8:$C$47,$AA113)="Engrais minéral","Minéral","Organique"))</f>
        <v/>
      </c>
      <c r="AO113" s="53" t="str">
        <f t="shared" si="25"/>
        <v/>
      </c>
      <c r="AP113" s="53" t="str">
        <f t="shared" si="26"/>
        <v/>
      </c>
      <c r="AQ113" s="53" t="str">
        <f t="shared" si="27"/>
        <v/>
      </c>
      <c r="AR113" s="53" t="str">
        <f>IF(AND($D113&lt;&gt;"",$D113=FicheIlot),COUNTIF($D$8:$D113,FicheIlot),"")</f>
        <v/>
      </c>
    </row>
    <row r="114" spans="2:44" ht="18.95" customHeight="1" x14ac:dyDescent="0.25">
      <c r="B114" s="42" t="str">
        <f>IF(C114="","",COUNT($C$8:C114))</f>
        <v/>
      </c>
      <c r="C114" s="43"/>
      <c r="D114" s="44"/>
      <c r="E114" s="45" t="str">
        <f>IF($Z114="","",IF($F114=ApportCouvert,INDEX(Îlots!$I$8:$I$57,$Z114)&amp;"",INDEX(Îlots!$N$8:$N$57,$Z114)&amp;""))</f>
        <v/>
      </c>
      <c r="F114" s="44"/>
      <c r="G114" s="44"/>
      <c r="H114" s="46" t="str">
        <f>IF($AA114="","",INDEX(Fertilisants!$D$8:$D$47,$AA114)&amp;"")</f>
        <v/>
      </c>
      <c r="I114" s="47"/>
      <c r="J114" s="48"/>
      <c r="K114" s="46" t="str">
        <f>IF($AA114="","",INDEX(Fertilisants!$E$8:$E$47,$AA114)&amp;"")</f>
        <v/>
      </c>
      <c r="L114" s="49" t="str">
        <f t="shared" si="14"/>
        <v/>
      </c>
      <c r="M114" s="50" t="str">
        <f>IF(OR($J114="",$AA114=""),"",$J114*N(INDEX(Fertilisants!$G$8:$G$47,$AA114)))</f>
        <v/>
      </c>
      <c r="N114" s="50" t="str">
        <f>IF(OR($J114="",$AA114=""),"",$J114*N(INDEX(Fertilisants!$I$8:$I$47,$AA114)))</f>
        <v/>
      </c>
      <c r="O114" s="50" t="str">
        <f>IF(OR($J114="",$AA114=""),"",$J114*N(INDEX(Fertilisants!$J$8:$J$47,$AA114)))</f>
        <v/>
      </c>
      <c r="P114" s="50" t="str">
        <f>IF(OR($J114="",$AA114=""),"",$J114*N(INDEX(Fertilisants!$K$8:$K$47,$AA114)))</f>
        <v/>
      </c>
      <c r="Q114" s="50" t="str">
        <f t="shared" si="15"/>
        <v/>
      </c>
      <c r="R114" s="44"/>
      <c r="S114" s="44"/>
      <c r="T114" s="51"/>
      <c r="U114" s="44"/>
      <c r="V114" s="43"/>
      <c r="W114" s="52" t="str">
        <f t="shared" si="16"/>
        <v/>
      </c>
      <c r="X114" s="44"/>
      <c r="Z114" s="53" t="str">
        <f>IF($D114="","",IFERROR(MATCH($D114,Îlots!$D$8:$D$57,0),""))</f>
        <v/>
      </c>
      <c r="AA114" s="53" t="str">
        <f>IF($G114="","",IFERROR(MATCH($G114,Fertilisants!$B$8:$B$47,0),""))</f>
        <v/>
      </c>
      <c r="AB114" s="53" t="str">
        <f>IF($Z114="","",INDEX(Îlots!$E$8:$E$57,$Z114))</f>
        <v/>
      </c>
      <c r="AC114" s="53" t="str">
        <f>IF($Z114="","",INDEX(Îlots!$G$8:$G$57,$Z114)&amp;"")</f>
        <v/>
      </c>
      <c r="AD114" s="53" t="str">
        <f>IF($Z114="","",IF($F114=ApportCouvert,OccCouvert,INDEX(Îlots!$O$8:$O$57,$Z114)&amp;""))</f>
        <v/>
      </c>
      <c r="AE114" s="53" t="str">
        <f t="shared" si="17"/>
        <v/>
      </c>
      <c r="AF114" s="53" t="str">
        <f t="shared" si="18"/>
        <v/>
      </c>
      <c r="AG114" s="53" t="str">
        <f t="shared" si="19"/>
        <v/>
      </c>
      <c r="AH114" s="53">
        <f t="shared" si="20"/>
        <v>0</v>
      </c>
      <c r="AI114" s="53">
        <f t="shared" si="21"/>
        <v>0</v>
      </c>
      <c r="AJ114" s="53">
        <f t="shared" si="22"/>
        <v>0</v>
      </c>
      <c r="AK114" s="53">
        <f t="shared" si="23"/>
        <v>0</v>
      </c>
      <c r="AL114" s="53">
        <f t="shared" si="24"/>
        <v>0</v>
      </c>
      <c r="AM114" s="53">
        <f>IF($AA114="",0,IF(INDEX(Fertilisants!$C$8:$C$47,$AA114)="Effluent d'élevage",1,0))</f>
        <v>0</v>
      </c>
      <c r="AN114" s="53" t="str">
        <f>IF($AA114="","",IF(INDEX(Fertilisants!$C$8:$C$47,$AA114)="Engrais minéral","Minéral","Organique"))</f>
        <v/>
      </c>
      <c r="AO114" s="53" t="str">
        <f t="shared" si="25"/>
        <v/>
      </c>
      <c r="AP114" s="53" t="str">
        <f t="shared" si="26"/>
        <v/>
      </c>
      <c r="AQ114" s="53" t="str">
        <f t="shared" si="27"/>
        <v/>
      </c>
      <c r="AR114" s="53" t="str">
        <f>IF(AND($D114&lt;&gt;"",$D114=FicheIlot),COUNTIF($D$8:$D114,FicheIlot),"")</f>
        <v/>
      </c>
    </row>
    <row r="115" spans="2:44" ht="18.95" customHeight="1" x14ac:dyDescent="0.25">
      <c r="B115" s="42" t="str">
        <f>IF(C115="","",COUNT($C$8:C115))</f>
        <v/>
      </c>
      <c r="C115" s="43"/>
      <c r="D115" s="44"/>
      <c r="E115" s="45" t="str">
        <f>IF($Z115="","",IF($F115=ApportCouvert,INDEX(Îlots!$I$8:$I$57,$Z115)&amp;"",INDEX(Îlots!$N$8:$N$57,$Z115)&amp;""))</f>
        <v/>
      </c>
      <c r="F115" s="44"/>
      <c r="G115" s="44"/>
      <c r="H115" s="46" t="str">
        <f>IF($AA115="","",INDEX(Fertilisants!$D$8:$D$47,$AA115)&amp;"")</f>
        <v/>
      </c>
      <c r="I115" s="47"/>
      <c r="J115" s="48"/>
      <c r="K115" s="46" t="str">
        <f>IF($AA115="","",INDEX(Fertilisants!$E$8:$E$47,$AA115)&amp;"")</f>
        <v/>
      </c>
      <c r="L115" s="49" t="str">
        <f t="shared" si="14"/>
        <v/>
      </c>
      <c r="M115" s="50" t="str">
        <f>IF(OR($J115="",$AA115=""),"",$J115*N(INDEX(Fertilisants!$G$8:$G$47,$AA115)))</f>
        <v/>
      </c>
      <c r="N115" s="50" t="str">
        <f>IF(OR($J115="",$AA115=""),"",$J115*N(INDEX(Fertilisants!$I$8:$I$47,$AA115)))</f>
        <v/>
      </c>
      <c r="O115" s="50" t="str">
        <f>IF(OR($J115="",$AA115=""),"",$J115*N(INDEX(Fertilisants!$J$8:$J$47,$AA115)))</f>
        <v/>
      </c>
      <c r="P115" s="50" t="str">
        <f>IF(OR($J115="",$AA115=""),"",$J115*N(INDEX(Fertilisants!$K$8:$K$47,$AA115)))</f>
        <v/>
      </c>
      <c r="Q115" s="50" t="str">
        <f t="shared" si="15"/>
        <v/>
      </c>
      <c r="R115" s="44"/>
      <c r="S115" s="44"/>
      <c r="T115" s="51"/>
      <c r="U115" s="44"/>
      <c r="V115" s="43"/>
      <c r="W115" s="52" t="str">
        <f t="shared" si="16"/>
        <v/>
      </c>
      <c r="X115" s="44"/>
      <c r="Z115" s="53" t="str">
        <f>IF($D115="","",IFERROR(MATCH($D115,Îlots!$D$8:$D$57,0),""))</f>
        <v/>
      </c>
      <c r="AA115" s="53" t="str">
        <f>IF($G115="","",IFERROR(MATCH($G115,Fertilisants!$B$8:$B$47,0),""))</f>
        <v/>
      </c>
      <c r="AB115" s="53" t="str">
        <f>IF($Z115="","",INDEX(Îlots!$E$8:$E$57,$Z115))</f>
        <v/>
      </c>
      <c r="AC115" s="53" t="str">
        <f>IF($Z115="","",INDEX(Îlots!$G$8:$G$57,$Z115)&amp;"")</f>
        <v/>
      </c>
      <c r="AD115" s="53" t="str">
        <f>IF($Z115="","",IF($F115=ApportCouvert,OccCouvert,INDEX(Îlots!$O$8:$O$57,$Z115)&amp;""))</f>
        <v/>
      </c>
      <c r="AE115" s="53" t="str">
        <f t="shared" si="17"/>
        <v/>
      </c>
      <c r="AF115" s="53" t="str">
        <f t="shared" si="18"/>
        <v/>
      </c>
      <c r="AG115" s="53" t="str">
        <f t="shared" si="19"/>
        <v/>
      </c>
      <c r="AH115" s="53">
        <f t="shared" si="20"/>
        <v>0</v>
      </c>
      <c r="AI115" s="53">
        <f t="shared" si="21"/>
        <v>0</v>
      </c>
      <c r="AJ115" s="53">
        <f t="shared" si="22"/>
        <v>0</v>
      </c>
      <c r="AK115" s="53">
        <f t="shared" si="23"/>
        <v>0</v>
      </c>
      <c r="AL115" s="53">
        <f t="shared" si="24"/>
        <v>0</v>
      </c>
      <c r="AM115" s="53">
        <f>IF($AA115="",0,IF(INDEX(Fertilisants!$C$8:$C$47,$AA115)="Effluent d'élevage",1,0))</f>
        <v>0</v>
      </c>
      <c r="AN115" s="53" t="str">
        <f>IF($AA115="","",IF(INDEX(Fertilisants!$C$8:$C$47,$AA115)="Engrais minéral","Minéral","Organique"))</f>
        <v/>
      </c>
      <c r="AO115" s="53" t="str">
        <f t="shared" si="25"/>
        <v/>
      </c>
      <c r="AP115" s="53" t="str">
        <f t="shared" si="26"/>
        <v/>
      </c>
      <c r="AQ115" s="53" t="str">
        <f t="shared" si="27"/>
        <v/>
      </c>
      <c r="AR115" s="53" t="str">
        <f>IF(AND($D115&lt;&gt;"",$D115=FicheIlot),COUNTIF($D$8:$D115,FicheIlot),"")</f>
        <v/>
      </c>
    </row>
    <row r="116" spans="2:44" ht="18.95" customHeight="1" x14ac:dyDescent="0.25">
      <c r="B116" s="42" t="str">
        <f>IF(C116="","",COUNT($C$8:C116))</f>
        <v/>
      </c>
      <c r="C116" s="43"/>
      <c r="D116" s="44"/>
      <c r="E116" s="45" t="str">
        <f>IF($Z116="","",IF($F116=ApportCouvert,INDEX(Îlots!$I$8:$I$57,$Z116)&amp;"",INDEX(Îlots!$N$8:$N$57,$Z116)&amp;""))</f>
        <v/>
      </c>
      <c r="F116" s="44"/>
      <c r="G116" s="44"/>
      <c r="H116" s="46" t="str">
        <f>IF($AA116="","",INDEX(Fertilisants!$D$8:$D$47,$AA116)&amp;"")</f>
        <v/>
      </c>
      <c r="I116" s="47"/>
      <c r="J116" s="48"/>
      <c r="K116" s="46" t="str">
        <f>IF($AA116="","",INDEX(Fertilisants!$E$8:$E$47,$AA116)&amp;"")</f>
        <v/>
      </c>
      <c r="L116" s="49" t="str">
        <f t="shared" si="14"/>
        <v/>
      </c>
      <c r="M116" s="50" t="str">
        <f>IF(OR($J116="",$AA116=""),"",$J116*N(INDEX(Fertilisants!$G$8:$G$47,$AA116)))</f>
        <v/>
      </c>
      <c r="N116" s="50" t="str">
        <f>IF(OR($J116="",$AA116=""),"",$J116*N(INDEX(Fertilisants!$I$8:$I$47,$AA116)))</f>
        <v/>
      </c>
      <c r="O116" s="50" t="str">
        <f>IF(OR($J116="",$AA116=""),"",$J116*N(INDEX(Fertilisants!$J$8:$J$47,$AA116)))</f>
        <v/>
      </c>
      <c r="P116" s="50" t="str">
        <f>IF(OR($J116="",$AA116=""),"",$J116*N(INDEX(Fertilisants!$K$8:$K$47,$AA116)))</f>
        <v/>
      </c>
      <c r="Q116" s="50" t="str">
        <f t="shared" si="15"/>
        <v/>
      </c>
      <c r="R116" s="44"/>
      <c r="S116" s="44"/>
      <c r="T116" s="51"/>
      <c r="U116" s="44"/>
      <c r="V116" s="43"/>
      <c r="W116" s="52" t="str">
        <f t="shared" si="16"/>
        <v/>
      </c>
      <c r="X116" s="44"/>
      <c r="Z116" s="53" t="str">
        <f>IF($D116="","",IFERROR(MATCH($D116,Îlots!$D$8:$D$57,0),""))</f>
        <v/>
      </c>
      <c r="AA116" s="53" t="str">
        <f>IF($G116="","",IFERROR(MATCH($G116,Fertilisants!$B$8:$B$47,0),""))</f>
        <v/>
      </c>
      <c r="AB116" s="53" t="str">
        <f>IF($Z116="","",INDEX(Îlots!$E$8:$E$57,$Z116))</f>
        <v/>
      </c>
      <c r="AC116" s="53" t="str">
        <f>IF($Z116="","",INDEX(Îlots!$G$8:$G$57,$Z116)&amp;"")</f>
        <v/>
      </c>
      <c r="AD116" s="53" t="str">
        <f>IF($Z116="","",IF($F116=ApportCouvert,OccCouvert,INDEX(Îlots!$O$8:$O$57,$Z116)&amp;""))</f>
        <v/>
      </c>
      <c r="AE116" s="53" t="str">
        <f t="shared" si="17"/>
        <v/>
      </c>
      <c r="AF116" s="53" t="str">
        <f t="shared" si="18"/>
        <v/>
      </c>
      <c r="AG116" s="53" t="str">
        <f t="shared" si="19"/>
        <v/>
      </c>
      <c r="AH116" s="53">
        <f t="shared" si="20"/>
        <v>0</v>
      </c>
      <c r="AI116" s="53">
        <f t="shared" si="21"/>
        <v>0</v>
      </c>
      <c r="AJ116" s="53">
        <f t="shared" si="22"/>
        <v>0</v>
      </c>
      <c r="AK116" s="53">
        <f t="shared" si="23"/>
        <v>0</v>
      </c>
      <c r="AL116" s="53">
        <f t="shared" si="24"/>
        <v>0</v>
      </c>
      <c r="AM116" s="53">
        <f>IF($AA116="",0,IF(INDEX(Fertilisants!$C$8:$C$47,$AA116)="Effluent d'élevage",1,0))</f>
        <v>0</v>
      </c>
      <c r="AN116" s="53" t="str">
        <f>IF($AA116="","",IF(INDEX(Fertilisants!$C$8:$C$47,$AA116)="Engrais minéral","Minéral","Organique"))</f>
        <v/>
      </c>
      <c r="AO116" s="53" t="str">
        <f t="shared" si="25"/>
        <v/>
      </c>
      <c r="AP116" s="53" t="str">
        <f t="shared" si="26"/>
        <v/>
      </c>
      <c r="AQ116" s="53" t="str">
        <f t="shared" si="27"/>
        <v/>
      </c>
      <c r="AR116" s="53" t="str">
        <f>IF(AND($D116&lt;&gt;"",$D116=FicheIlot),COUNTIF($D$8:$D116,FicheIlot),"")</f>
        <v/>
      </c>
    </row>
    <row r="117" spans="2:44" ht="18.95" customHeight="1" x14ac:dyDescent="0.25">
      <c r="B117" s="42" t="str">
        <f>IF(C117="","",COUNT($C$8:C117))</f>
        <v/>
      </c>
      <c r="C117" s="43"/>
      <c r="D117" s="44"/>
      <c r="E117" s="45" t="str">
        <f>IF($Z117="","",IF($F117=ApportCouvert,INDEX(Îlots!$I$8:$I$57,$Z117)&amp;"",INDEX(Îlots!$N$8:$N$57,$Z117)&amp;""))</f>
        <v/>
      </c>
      <c r="F117" s="44"/>
      <c r="G117" s="44"/>
      <c r="H117" s="46" t="str">
        <f>IF($AA117="","",INDEX(Fertilisants!$D$8:$D$47,$AA117)&amp;"")</f>
        <v/>
      </c>
      <c r="I117" s="47"/>
      <c r="J117" s="48"/>
      <c r="K117" s="46" t="str">
        <f>IF($AA117="","",INDEX(Fertilisants!$E$8:$E$47,$AA117)&amp;"")</f>
        <v/>
      </c>
      <c r="L117" s="49" t="str">
        <f t="shared" si="14"/>
        <v/>
      </c>
      <c r="M117" s="50" t="str">
        <f>IF(OR($J117="",$AA117=""),"",$J117*N(INDEX(Fertilisants!$G$8:$G$47,$AA117)))</f>
        <v/>
      </c>
      <c r="N117" s="50" t="str">
        <f>IF(OR($J117="",$AA117=""),"",$J117*N(INDEX(Fertilisants!$I$8:$I$47,$AA117)))</f>
        <v/>
      </c>
      <c r="O117" s="50" t="str">
        <f>IF(OR($J117="",$AA117=""),"",$J117*N(INDEX(Fertilisants!$J$8:$J$47,$AA117)))</f>
        <v/>
      </c>
      <c r="P117" s="50" t="str">
        <f>IF(OR($J117="",$AA117=""),"",$J117*N(INDEX(Fertilisants!$K$8:$K$47,$AA117)))</f>
        <v/>
      </c>
      <c r="Q117" s="50" t="str">
        <f t="shared" si="15"/>
        <v/>
      </c>
      <c r="R117" s="44"/>
      <c r="S117" s="44"/>
      <c r="T117" s="51"/>
      <c r="U117" s="44"/>
      <c r="V117" s="43"/>
      <c r="W117" s="52" t="str">
        <f t="shared" si="16"/>
        <v/>
      </c>
      <c r="X117" s="44"/>
      <c r="Z117" s="53" t="str">
        <f>IF($D117="","",IFERROR(MATCH($D117,Îlots!$D$8:$D$57,0),""))</f>
        <v/>
      </c>
      <c r="AA117" s="53" t="str">
        <f>IF($G117="","",IFERROR(MATCH($G117,Fertilisants!$B$8:$B$47,0),""))</f>
        <v/>
      </c>
      <c r="AB117" s="53" t="str">
        <f>IF($Z117="","",INDEX(Îlots!$E$8:$E$57,$Z117))</f>
        <v/>
      </c>
      <c r="AC117" s="53" t="str">
        <f>IF($Z117="","",INDEX(Îlots!$G$8:$G$57,$Z117)&amp;"")</f>
        <v/>
      </c>
      <c r="AD117" s="53" t="str">
        <f>IF($Z117="","",IF($F117=ApportCouvert,OccCouvert,INDEX(Îlots!$O$8:$O$57,$Z117)&amp;""))</f>
        <v/>
      </c>
      <c r="AE117" s="53" t="str">
        <f t="shared" si="17"/>
        <v/>
      </c>
      <c r="AF117" s="53" t="str">
        <f t="shared" si="18"/>
        <v/>
      </c>
      <c r="AG117" s="53" t="str">
        <f t="shared" si="19"/>
        <v/>
      </c>
      <c r="AH117" s="53">
        <f t="shared" si="20"/>
        <v>0</v>
      </c>
      <c r="AI117" s="53">
        <f t="shared" si="21"/>
        <v>0</v>
      </c>
      <c r="AJ117" s="53">
        <f t="shared" si="22"/>
        <v>0</v>
      </c>
      <c r="AK117" s="53">
        <f t="shared" si="23"/>
        <v>0</v>
      </c>
      <c r="AL117" s="53">
        <f t="shared" si="24"/>
        <v>0</v>
      </c>
      <c r="AM117" s="53">
        <f>IF($AA117="",0,IF(INDEX(Fertilisants!$C$8:$C$47,$AA117)="Effluent d'élevage",1,0))</f>
        <v>0</v>
      </c>
      <c r="AN117" s="53" t="str">
        <f>IF($AA117="","",IF(INDEX(Fertilisants!$C$8:$C$47,$AA117)="Engrais minéral","Minéral","Organique"))</f>
        <v/>
      </c>
      <c r="AO117" s="53" t="str">
        <f t="shared" si="25"/>
        <v/>
      </c>
      <c r="AP117" s="53" t="str">
        <f t="shared" si="26"/>
        <v/>
      </c>
      <c r="AQ117" s="53" t="str">
        <f t="shared" si="27"/>
        <v/>
      </c>
      <c r="AR117" s="53" t="str">
        <f>IF(AND($D117&lt;&gt;"",$D117=FicheIlot),COUNTIF($D$8:$D117,FicheIlot),"")</f>
        <v/>
      </c>
    </row>
    <row r="118" spans="2:44" ht="18.95" customHeight="1" x14ac:dyDescent="0.25">
      <c r="B118" s="42" t="str">
        <f>IF(C118="","",COUNT($C$8:C118))</f>
        <v/>
      </c>
      <c r="C118" s="43"/>
      <c r="D118" s="44"/>
      <c r="E118" s="45" t="str">
        <f>IF($Z118="","",IF($F118=ApportCouvert,INDEX(Îlots!$I$8:$I$57,$Z118)&amp;"",INDEX(Îlots!$N$8:$N$57,$Z118)&amp;""))</f>
        <v/>
      </c>
      <c r="F118" s="44"/>
      <c r="G118" s="44"/>
      <c r="H118" s="46" t="str">
        <f>IF($AA118="","",INDEX(Fertilisants!$D$8:$D$47,$AA118)&amp;"")</f>
        <v/>
      </c>
      <c r="I118" s="47"/>
      <c r="J118" s="48"/>
      <c r="K118" s="46" t="str">
        <f>IF($AA118="","",INDEX(Fertilisants!$E$8:$E$47,$AA118)&amp;"")</f>
        <v/>
      </c>
      <c r="L118" s="49" t="str">
        <f t="shared" si="14"/>
        <v/>
      </c>
      <c r="M118" s="50" t="str">
        <f>IF(OR($J118="",$AA118=""),"",$J118*N(INDEX(Fertilisants!$G$8:$G$47,$AA118)))</f>
        <v/>
      </c>
      <c r="N118" s="50" t="str">
        <f>IF(OR($J118="",$AA118=""),"",$J118*N(INDEX(Fertilisants!$I$8:$I$47,$AA118)))</f>
        <v/>
      </c>
      <c r="O118" s="50" t="str">
        <f>IF(OR($J118="",$AA118=""),"",$J118*N(INDEX(Fertilisants!$J$8:$J$47,$AA118)))</f>
        <v/>
      </c>
      <c r="P118" s="50" t="str">
        <f>IF(OR($J118="",$AA118=""),"",$J118*N(INDEX(Fertilisants!$K$8:$K$47,$AA118)))</f>
        <v/>
      </c>
      <c r="Q118" s="50" t="str">
        <f t="shared" si="15"/>
        <v/>
      </c>
      <c r="R118" s="44"/>
      <c r="S118" s="44"/>
      <c r="T118" s="51"/>
      <c r="U118" s="44"/>
      <c r="V118" s="43"/>
      <c r="W118" s="52" t="str">
        <f t="shared" si="16"/>
        <v/>
      </c>
      <c r="X118" s="44"/>
      <c r="Z118" s="53" t="str">
        <f>IF($D118="","",IFERROR(MATCH($D118,Îlots!$D$8:$D$57,0),""))</f>
        <v/>
      </c>
      <c r="AA118" s="53" t="str">
        <f>IF($G118="","",IFERROR(MATCH($G118,Fertilisants!$B$8:$B$47,0),""))</f>
        <v/>
      </c>
      <c r="AB118" s="53" t="str">
        <f>IF($Z118="","",INDEX(Îlots!$E$8:$E$57,$Z118))</f>
        <v/>
      </c>
      <c r="AC118" s="53" t="str">
        <f>IF($Z118="","",INDEX(Îlots!$G$8:$G$57,$Z118)&amp;"")</f>
        <v/>
      </c>
      <c r="AD118" s="53" t="str">
        <f>IF($Z118="","",IF($F118=ApportCouvert,OccCouvert,INDEX(Îlots!$O$8:$O$57,$Z118)&amp;""))</f>
        <v/>
      </c>
      <c r="AE118" s="53" t="str">
        <f t="shared" si="17"/>
        <v/>
      </c>
      <c r="AF118" s="53" t="str">
        <f t="shared" si="18"/>
        <v/>
      </c>
      <c r="AG118" s="53" t="str">
        <f t="shared" si="19"/>
        <v/>
      </c>
      <c r="AH118" s="53">
        <f t="shared" si="20"/>
        <v>0</v>
      </c>
      <c r="AI118" s="53">
        <f t="shared" si="21"/>
        <v>0</v>
      </c>
      <c r="AJ118" s="53">
        <f t="shared" si="22"/>
        <v>0</v>
      </c>
      <c r="AK118" s="53">
        <f t="shared" si="23"/>
        <v>0</v>
      </c>
      <c r="AL118" s="53">
        <f t="shared" si="24"/>
        <v>0</v>
      </c>
      <c r="AM118" s="53">
        <f>IF($AA118="",0,IF(INDEX(Fertilisants!$C$8:$C$47,$AA118)="Effluent d'élevage",1,0))</f>
        <v>0</v>
      </c>
      <c r="AN118" s="53" t="str">
        <f>IF($AA118="","",IF(INDEX(Fertilisants!$C$8:$C$47,$AA118)="Engrais minéral","Minéral","Organique"))</f>
        <v/>
      </c>
      <c r="AO118" s="53" t="str">
        <f t="shared" si="25"/>
        <v/>
      </c>
      <c r="AP118" s="53" t="str">
        <f t="shared" si="26"/>
        <v/>
      </c>
      <c r="AQ118" s="53" t="str">
        <f t="shared" si="27"/>
        <v/>
      </c>
      <c r="AR118" s="53" t="str">
        <f>IF(AND($D118&lt;&gt;"",$D118=FicheIlot),COUNTIF($D$8:$D118,FicheIlot),"")</f>
        <v/>
      </c>
    </row>
    <row r="119" spans="2:44" ht="18.95" customHeight="1" x14ac:dyDescent="0.25">
      <c r="B119" s="42" t="str">
        <f>IF(C119="","",COUNT($C$8:C119))</f>
        <v/>
      </c>
      <c r="C119" s="43"/>
      <c r="D119" s="44"/>
      <c r="E119" s="45" t="str">
        <f>IF($Z119="","",IF($F119=ApportCouvert,INDEX(Îlots!$I$8:$I$57,$Z119)&amp;"",INDEX(Îlots!$N$8:$N$57,$Z119)&amp;""))</f>
        <v/>
      </c>
      <c r="F119" s="44"/>
      <c r="G119" s="44"/>
      <c r="H119" s="46" t="str">
        <f>IF($AA119="","",INDEX(Fertilisants!$D$8:$D$47,$AA119)&amp;"")</f>
        <v/>
      </c>
      <c r="I119" s="47"/>
      <c r="J119" s="48"/>
      <c r="K119" s="46" t="str">
        <f>IF($AA119="","",INDEX(Fertilisants!$E$8:$E$47,$AA119)&amp;"")</f>
        <v/>
      </c>
      <c r="L119" s="49" t="str">
        <f t="shared" si="14"/>
        <v/>
      </c>
      <c r="M119" s="50" t="str">
        <f>IF(OR($J119="",$AA119=""),"",$J119*N(INDEX(Fertilisants!$G$8:$G$47,$AA119)))</f>
        <v/>
      </c>
      <c r="N119" s="50" t="str">
        <f>IF(OR($J119="",$AA119=""),"",$J119*N(INDEX(Fertilisants!$I$8:$I$47,$AA119)))</f>
        <v/>
      </c>
      <c r="O119" s="50" t="str">
        <f>IF(OR($J119="",$AA119=""),"",$J119*N(INDEX(Fertilisants!$J$8:$J$47,$AA119)))</f>
        <v/>
      </c>
      <c r="P119" s="50" t="str">
        <f>IF(OR($J119="",$AA119=""),"",$J119*N(INDEX(Fertilisants!$K$8:$K$47,$AA119)))</f>
        <v/>
      </c>
      <c r="Q119" s="50" t="str">
        <f t="shared" si="15"/>
        <v/>
      </c>
      <c r="R119" s="44"/>
      <c r="S119" s="44"/>
      <c r="T119" s="51"/>
      <c r="U119" s="44"/>
      <c r="V119" s="43"/>
      <c r="W119" s="52" t="str">
        <f t="shared" si="16"/>
        <v/>
      </c>
      <c r="X119" s="44"/>
      <c r="Z119" s="53" t="str">
        <f>IF($D119="","",IFERROR(MATCH($D119,Îlots!$D$8:$D$57,0),""))</f>
        <v/>
      </c>
      <c r="AA119" s="53" t="str">
        <f>IF($G119="","",IFERROR(MATCH($G119,Fertilisants!$B$8:$B$47,0),""))</f>
        <v/>
      </c>
      <c r="AB119" s="53" t="str">
        <f>IF($Z119="","",INDEX(Îlots!$E$8:$E$57,$Z119))</f>
        <v/>
      </c>
      <c r="AC119" s="53" t="str">
        <f>IF($Z119="","",INDEX(Îlots!$G$8:$G$57,$Z119)&amp;"")</f>
        <v/>
      </c>
      <c r="AD119" s="53" t="str">
        <f>IF($Z119="","",IF($F119=ApportCouvert,OccCouvert,INDEX(Îlots!$O$8:$O$57,$Z119)&amp;""))</f>
        <v/>
      </c>
      <c r="AE119" s="53" t="str">
        <f t="shared" si="17"/>
        <v/>
      </c>
      <c r="AF119" s="53" t="str">
        <f t="shared" si="18"/>
        <v/>
      </c>
      <c r="AG119" s="53" t="str">
        <f t="shared" si="19"/>
        <v/>
      </c>
      <c r="AH119" s="53">
        <f t="shared" si="20"/>
        <v>0</v>
      </c>
      <c r="AI119" s="53">
        <f t="shared" si="21"/>
        <v>0</v>
      </c>
      <c r="AJ119" s="53">
        <f t="shared" si="22"/>
        <v>0</v>
      </c>
      <c r="AK119" s="53">
        <f t="shared" si="23"/>
        <v>0</v>
      </c>
      <c r="AL119" s="53">
        <f t="shared" si="24"/>
        <v>0</v>
      </c>
      <c r="AM119" s="53">
        <f>IF($AA119="",0,IF(INDEX(Fertilisants!$C$8:$C$47,$AA119)="Effluent d'élevage",1,0))</f>
        <v>0</v>
      </c>
      <c r="AN119" s="53" t="str">
        <f>IF($AA119="","",IF(INDEX(Fertilisants!$C$8:$C$47,$AA119)="Engrais minéral","Minéral","Organique"))</f>
        <v/>
      </c>
      <c r="AO119" s="53" t="str">
        <f t="shared" si="25"/>
        <v/>
      </c>
      <c r="AP119" s="53" t="str">
        <f t="shared" si="26"/>
        <v/>
      </c>
      <c r="AQ119" s="53" t="str">
        <f t="shared" si="27"/>
        <v/>
      </c>
      <c r="AR119" s="53" t="str">
        <f>IF(AND($D119&lt;&gt;"",$D119=FicheIlot),COUNTIF($D$8:$D119,FicheIlot),"")</f>
        <v/>
      </c>
    </row>
    <row r="120" spans="2:44" ht="18.95" customHeight="1" x14ac:dyDescent="0.25">
      <c r="B120" s="42" t="str">
        <f>IF(C120="","",COUNT($C$8:C120))</f>
        <v/>
      </c>
      <c r="C120" s="43"/>
      <c r="D120" s="44"/>
      <c r="E120" s="45" t="str">
        <f>IF($Z120="","",IF($F120=ApportCouvert,INDEX(Îlots!$I$8:$I$57,$Z120)&amp;"",INDEX(Îlots!$N$8:$N$57,$Z120)&amp;""))</f>
        <v/>
      </c>
      <c r="F120" s="44"/>
      <c r="G120" s="44"/>
      <c r="H120" s="46" t="str">
        <f>IF($AA120="","",INDEX(Fertilisants!$D$8:$D$47,$AA120)&amp;"")</f>
        <v/>
      </c>
      <c r="I120" s="47"/>
      <c r="J120" s="48"/>
      <c r="K120" s="46" t="str">
        <f>IF($AA120="","",INDEX(Fertilisants!$E$8:$E$47,$AA120)&amp;"")</f>
        <v/>
      </c>
      <c r="L120" s="49" t="str">
        <f t="shared" si="14"/>
        <v/>
      </c>
      <c r="M120" s="50" t="str">
        <f>IF(OR($J120="",$AA120=""),"",$J120*N(INDEX(Fertilisants!$G$8:$G$47,$AA120)))</f>
        <v/>
      </c>
      <c r="N120" s="50" t="str">
        <f>IF(OR($J120="",$AA120=""),"",$J120*N(INDEX(Fertilisants!$I$8:$I$47,$AA120)))</f>
        <v/>
      </c>
      <c r="O120" s="50" t="str">
        <f>IF(OR($J120="",$AA120=""),"",$J120*N(INDEX(Fertilisants!$J$8:$J$47,$AA120)))</f>
        <v/>
      </c>
      <c r="P120" s="50" t="str">
        <f>IF(OR($J120="",$AA120=""),"",$J120*N(INDEX(Fertilisants!$K$8:$K$47,$AA120)))</f>
        <v/>
      </c>
      <c r="Q120" s="50" t="str">
        <f t="shared" si="15"/>
        <v/>
      </c>
      <c r="R120" s="44"/>
      <c r="S120" s="44"/>
      <c r="T120" s="51"/>
      <c r="U120" s="44"/>
      <c r="V120" s="43"/>
      <c r="W120" s="52" t="str">
        <f t="shared" si="16"/>
        <v/>
      </c>
      <c r="X120" s="44"/>
      <c r="Z120" s="53" t="str">
        <f>IF($D120="","",IFERROR(MATCH($D120,Îlots!$D$8:$D$57,0),""))</f>
        <v/>
      </c>
      <c r="AA120" s="53" t="str">
        <f>IF($G120="","",IFERROR(MATCH($G120,Fertilisants!$B$8:$B$47,0),""))</f>
        <v/>
      </c>
      <c r="AB120" s="53" t="str">
        <f>IF($Z120="","",INDEX(Îlots!$E$8:$E$57,$Z120))</f>
        <v/>
      </c>
      <c r="AC120" s="53" t="str">
        <f>IF($Z120="","",INDEX(Îlots!$G$8:$G$57,$Z120)&amp;"")</f>
        <v/>
      </c>
      <c r="AD120" s="53" t="str">
        <f>IF($Z120="","",IF($F120=ApportCouvert,OccCouvert,INDEX(Îlots!$O$8:$O$57,$Z120)&amp;""))</f>
        <v/>
      </c>
      <c r="AE120" s="53" t="str">
        <f t="shared" si="17"/>
        <v/>
      </c>
      <c r="AF120" s="53" t="str">
        <f t="shared" si="18"/>
        <v/>
      </c>
      <c r="AG120" s="53" t="str">
        <f t="shared" si="19"/>
        <v/>
      </c>
      <c r="AH120" s="53">
        <f t="shared" si="20"/>
        <v>0</v>
      </c>
      <c r="AI120" s="53">
        <f t="shared" si="21"/>
        <v>0</v>
      </c>
      <c r="AJ120" s="53">
        <f t="shared" si="22"/>
        <v>0</v>
      </c>
      <c r="AK120" s="53">
        <f t="shared" si="23"/>
        <v>0</v>
      </c>
      <c r="AL120" s="53">
        <f t="shared" si="24"/>
        <v>0</v>
      </c>
      <c r="AM120" s="53">
        <f>IF($AA120="",0,IF(INDEX(Fertilisants!$C$8:$C$47,$AA120)="Effluent d'élevage",1,0))</f>
        <v>0</v>
      </c>
      <c r="AN120" s="53" t="str">
        <f>IF($AA120="","",IF(INDEX(Fertilisants!$C$8:$C$47,$AA120)="Engrais minéral","Minéral","Organique"))</f>
        <v/>
      </c>
      <c r="AO120" s="53" t="str">
        <f t="shared" si="25"/>
        <v/>
      </c>
      <c r="AP120" s="53" t="str">
        <f t="shared" si="26"/>
        <v/>
      </c>
      <c r="AQ120" s="53" t="str">
        <f t="shared" si="27"/>
        <v/>
      </c>
      <c r="AR120" s="53" t="str">
        <f>IF(AND($D120&lt;&gt;"",$D120=FicheIlot),COUNTIF($D$8:$D120,FicheIlot),"")</f>
        <v/>
      </c>
    </row>
    <row r="121" spans="2:44" ht="18.95" customHeight="1" x14ac:dyDescent="0.25">
      <c r="B121" s="42" t="str">
        <f>IF(C121="","",COUNT($C$8:C121))</f>
        <v/>
      </c>
      <c r="C121" s="43"/>
      <c r="D121" s="44"/>
      <c r="E121" s="45" t="str">
        <f>IF($Z121="","",IF($F121=ApportCouvert,INDEX(Îlots!$I$8:$I$57,$Z121)&amp;"",INDEX(Îlots!$N$8:$N$57,$Z121)&amp;""))</f>
        <v/>
      </c>
      <c r="F121" s="44"/>
      <c r="G121" s="44"/>
      <c r="H121" s="46" t="str">
        <f>IF($AA121="","",INDEX(Fertilisants!$D$8:$D$47,$AA121)&amp;"")</f>
        <v/>
      </c>
      <c r="I121" s="47"/>
      <c r="J121" s="48"/>
      <c r="K121" s="46" t="str">
        <f>IF($AA121="","",INDEX(Fertilisants!$E$8:$E$47,$AA121)&amp;"")</f>
        <v/>
      </c>
      <c r="L121" s="49" t="str">
        <f t="shared" si="14"/>
        <v/>
      </c>
      <c r="M121" s="50" t="str">
        <f>IF(OR($J121="",$AA121=""),"",$J121*N(INDEX(Fertilisants!$G$8:$G$47,$AA121)))</f>
        <v/>
      </c>
      <c r="N121" s="50" t="str">
        <f>IF(OR($J121="",$AA121=""),"",$J121*N(INDEX(Fertilisants!$I$8:$I$47,$AA121)))</f>
        <v/>
      </c>
      <c r="O121" s="50" t="str">
        <f>IF(OR($J121="",$AA121=""),"",$J121*N(INDEX(Fertilisants!$J$8:$J$47,$AA121)))</f>
        <v/>
      </c>
      <c r="P121" s="50" t="str">
        <f>IF(OR($J121="",$AA121=""),"",$J121*N(INDEX(Fertilisants!$K$8:$K$47,$AA121)))</f>
        <v/>
      </c>
      <c r="Q121" s="50" t="str">
        <f t="shared" si="15"/>
        <v/>
      </c>
      <c r="R121" s="44"/>
      <c r="S121" s="44"/>
      <c r="T121" s="51"/>
      <c r="U121" s="44"/>
      <c r="V121" s="43"/>
      <c r="W121" s="52" t="str">
        <f t="shared" si="16"/>
        <v/>
      </c>
      <c r="X121" s="44"/>
      <c r="Z121" s="53" t="str">
        <f>IF($D121="","",IFERROR(MATCH($D121,Îlots!$D$8:$D$57,0),""))</f>
        <v/>
      </c>
      <c r="AA121" s="53" t="str">
        <f>IF($G121="","",IFERROR(MATCH($G121,Fertilisants!$B$8:$B$47,0),""))</f>
        <v/>
      </c>
      <c r="AB121" s="53" t="str">
        <f>IF($Z121="","",INDEX(Îlots!$E$8:$E$57,$Z121))</f>
        <v/>
      </c>
      <c r="AC121" s="53" t="str">
        <f>IF($Z121="","",INDEX(Îlots!$G$8:$G$57,$Z121)&amp;"")</f>
        <v/>
      </c>
      <c r="AD121" s="53" t="str">
        <f>IF($Z121="","",IF($F121=ApportCouvert,OccCouvert,INDEX(Îlots!$O$8:$O$57,$Z121)&amp;""))</f>
        <v/>
      </c>
      <c r="AE121" s="53" t="str">
        <f t="shared" si="17"/>
        <v/>
      </c>
      <c r="AF121" s="53" t="str">
        <f t="shared" si="18"/>
        <v/>
      </c>
      <c r="AG121" s="53" t="str">
        <f t="shared" si="19"/>
        <v/>
      </c>
      <c r="AH121" s="53">
        <f t="shared" si="20"/>
        <v>0</v>
      </c>
      <c r="AI121" s="53">
        <f t="shared" si="21"/>
        <v>0</v>
      </c>
      <c r="AJ121" s="53">
        <f t="shared" si="22"/>
        <v>0</v>
      </c>
      <c r="AK121" s="53">
        <f t="shared" si="23"/>
        <v>0</v>
      </c>
      <c r="AL121" s="53">
        <f t="shared" si="24"/>
        <v>0</v>
      </c>
      <c r="AM121" s="53">
        <f>IF($AA121="",0,IF(INDEX(Fertilisants!$C$8:$C$47,$AA121)="Effluent d'élevage",1,0))</f>
        <v>0</v>
      </c>
      <c r="AN121" s="53" t="str">
        <f>IF($AA121="","",IF(INDEX(Fertilisants!$C$8:$C$47,$AA121)="Engrais minéral","Minéral","Organique"))</f>
        <v/>
      </c>
      <c r="AO121" s="53" t="str">
        <f t="shared" si="25"/>
        <v/>
      </c>
      <c r="AP121" s="53" t="str">
        <f t="shared" si="26"/>
        <v/>
      </c>
      <c r="AQ121" s="53" t="str">
        <f t="shared" si="27"/>
        <v/>
      </c>
      <c r="AR121" s="53" t="str">
        <f>IF(AND($D121&lt;&gt;"",$D121=FicheIlot),COUNTIF($D$8:$D121,FicheIlot),"")</f>
        <v/>
      </c>
    </row>
    <row r="122" spans="2:44" ht="18.95" customHeight="1" x14ac:dyDescent="0.25">
      <c r="B122" s="42" t="str">
        <f>IF(C122="","",COUNT($C$8:C122))</f>
        <v/>
      </c>
      <c r="C122" s="43"/>
      <c r="D122" s="44"/>
      <c r="E122" s="45" t="str">
        <f>IF($Z122="","",IF($F122=ApportCouvert,INDEX(Îlots!$I$8:$I$57,$Z122)&amp;"",INDEX(Îlots!$N$8:$N$57,$Z122)&amp;""))</f>
        <v/>
      </c>
      <c r="F122" s="44"/>
      <c r="G122" s="44"/>
      <c r="H122" s="46" t="str">
        <f>IF($AA122="","",INDEX(Fertilisants!$D$8:$D$47,$AA122)&amp;"")</f>
        <v/>
      </c>
      <c r="I122" s="47"/>
      <c r="J122" s="48"/>
      <c r="K122" s="46" t="str">
        <f>IF($AA122="","",INDEX(Fertilisants!$E$8:$E$47,$AA122)&amp;"")</f>
        <v/>
      </c>
      <c r="L122" s="49" t="str">
        <f t="shared" si="14"/>
        <v/>
      </c>
      <c r="M122" s="50" t="str">
        <f>IF(OR($J122="",$AA122=""),"",$J122*N(INDEX(Fertilisants!$G$8:$G$47,$AA122)))</f>
        <v/>
      </c>
      <c r="N122" s="50" t="str">
        <f>IF(OR($J122="",$AA122=""),"",$J122*N(INDEX(Fertilisants!$I$8:$I$47,$AA122)))</f>
        <v/>
      </c>
      <c r="O122" s="50" t="str">
        <f>IF(OR($J122="",$AA122=""),"",$J122*N(INDEX(Fertilisants!$J$8:$J$47,$AA122)))</f>
        <v/>
      </c>
      <c r="P122" s="50" t="str">
        <f>IF(OR($J122="",$AA122=""),"",$J122*N(INDEX(Fertilisants!$K$8:$K$47,$AA122)))</f>
        <v/>
      </c>
      <c r="Q122" s="50" t="str">
        <f t="shared" si="15"/>
        <v/>
      </c>
      <c r="R122" s="44"/>
      <c r="S122" s="44"/>
      <c r="T122" s="51"/>
      <c r="U122" s="44"/>
      <c r="V122" s="43"/>
      <c r="W122" s="52" t="str">
        <f t="shared" si="16"/>
        <v/>
      </c>
      <c r="X122" s="44"/>
      <c r="Z122" s="53" t="str">
        <f>IF($D122="","",IFERROR(MATCH($D122,Îlots!$D$8:$D$57,0),""))</f>
        <v/>
      </c>
      <c r="AA122" s="53" t="str">
        <f>IF($G122="","",IFERROR(MATCH($G122,Fertilisants!$B$8:$B$47,0),""))</f>
        <v/>
      </c>
      <c r="AB122" s="53" t="str">
        <f>IF($Z122="","",INDEX(Îlots!$E$8:$E$57,$Z122))</f>
        <v/>
      </c>
      <c r="AC122" s="53" t="str">
        <f>IF($Z122="","",INDEX(Îlots!$G$8:$G$57,$Z122)&amp;"")</f>
        <v/>
      </c>
      <c r="AD122" s="53" t="str">
        <f>IF($Z122="","",IF($F122=ApportCouvert,OccCouvert,INDEX(Îlots!$O$8:$O$57,$Z122)&amp;""))</f>
        <v/>
      </c>
      <c r="AE122" s="53" t="str">
        <f t="shared" si="17"/>
        <v/>
      </c>
      <c r="AF122" s="53" t="str">
        <f t="shared" si="18"/>
        <v/>
      </c>
      <c r="AG122" s="53" t="str">
        <f t="shared" si="19"/>
        <v/>
      </c>
      <c r="AH122" s="53">
        <f t="shared" si="20"/>
        <v>0</v>
      </c>
      <c r="AI122" s="53">
        <f t="shared" si="21"/>
        <v>0</v>
      </c>
      <c r="AJ122" s="53">
        <f t="shared" si="22"/>
        <v>0</v>
      </c>
      <c r="AK122" s="53">
        <f t="shared" si="23"/>
        <v>0</v>
      </c>
      <c r="AL122" s="53">
        <f t="shared" si="24"/>
        <v>0</v>
      </c>
      <c r="AM122" s="53">
        <f>IF($AA122="",0,IF(INDEX(Fertilisants!$C$8:$C$47,$AA122)="Effluent d'élevage",1,0))</f>
        <v>0</v>
      </c>
      <c r="AN122" s="53" t="str">
        <f>IF($AA122="","",IF(INDEX(Fertilisants!$C$8:$C$47,$AA122)="Engrais minéral","Minéral","Organique"))</f>
        <v/>
      </c>
      <c r="AO122" s="53" t="str">
        <f t="shared" si="25"/>
        <v/>
      </c>
      <c r="AP122" s="53" t="str">
        <f t="shared" si="26"/>
        <v/>
      </c>
      <c r="AQ122" s="53" t="str">
        <f t="shared" si="27"/>
        <v/>
      </c>
      <c r="AR122" s="53" t="str">
        <f>IF(AND($D122&lt;&gt;"",$D122=FicheIlot),COUNTIF($D$8:$D122,FicheIlot),"")</f>
        <v/>
      </c>
    </row>
    <row r="123" spans="2:44" ht="18.95" customHeight="1" x14ac:dyDescent="0.25">
      <c r="B123" s="42" t="str">
        <f>IF(C123="","",COUNT($C$8:C123))</f>
        <v/>
      </c>
      <c r="C123" s="43"/>
      <c r="D123" s="44"/>
      <c r="E123" s="45" t="str">
        <f>IF($Z123="","",IF($F123=ApportCouvert,INDEX(Îlots!$I$8:$I$57,$Z123)&amp;"",INDEX(Îlots!$N$8:$N$57,$Z123)&amp;""))</f>
        <v/>
      </c>
      <c r="F123" s="44"/>
      <c r="G123" s="44"/>
      <c r="H123" s="46" t="str">
        <f>IF($AA123="","",INDEX(Fertilisants!$D$8:$D$47,$AA123)&amp;"")</f>
        <v/>
      </c>
      <c r="I123" s="47"/>
      <c r="J123" s="48"/>
      <c r="K123" s="46" t="str">
        <f>IF($AA123="","",INDEX(Fertilisants!$E$8:$E$47,$AA123)&amp;"")</f>
        <v/>
      </c>
      <c r="L123" s="49" t="str">
        <f t="shared" si="14"/>
        <v/>
      </c>
      <c r="M123" s="50" t="str">
        <f>IF(OR($J123="",$AA123=""),"",$J123*N(INDEX(Fertilisants!$G$8:$G$47,$AA123)))</f>
        <v/>
      </c>
      <c r="N123" s="50" t="str">
        <f>IF(OR($J123="",$AA123=""),"",$J123*N(INDEX(Fertilisants!$I$8:$I$47,$AA123)))</f>
        <v/>
      </c>
      <c r="O123" s="50" t="str">
        <f>IF(OR($J123="",$AA123=""),"",$J123*N(INDEX(Fertilisants!$J$8:$J$47,$AA123)))</f>
        <v/>
      </c>
      <c r="P123" s="50" t="str">
        <f>IF(OR($J123="",$AA123=""),"",$J123*N(INDEX(Fertilisants!$K$8:$K$47,$AA123)))</f>
        <v/>
      </c>
      <c r="Q123" s="50" t="str">
        <f t="shared" si="15"/>
        <v/>
      </c>
      <c r="R123" s="44"/>
      <c r="S123" s="44"/>
      <c r="T123" s="51"/>
      <c r="U123" s="44"/>
      <c r="V123" s="43"/>
      <c r="W123" s="52" t="str">
        <f t="shared" si="16"/>
        <v/>
      </c>
      <c r="X123" s="44"/>
      <c r="Z123" s="53" t="str">
        <f>IF($D123="","",IFERROR(MATCH($D123,Îlots!$D$8:$D$57,0),""))</f>
        <v/>
      </c>
      <c r="AA123" s="53" t="str">
        <f>IF($G123="","",IFERROR(MATCH($G123,Fertilisants!$B$8:$B$47,0),""))</f>
        <v/>
      </c>
      <c r="AB123" s="53" t="str">
        <f>IF($Z123="","",INDEX(Îlots!$E$8:$E$57,$Z123))</f>
        <v/>
      </c>
      <c r="AC123" s="53" t="str">
        <f>IF($Z123="","",INDEX(Îlots!$G$8:$G$57,$Z123)&amp;"")</f>
        <v/>
      </c>
      <c r="AD123" s="53" t="str">
        <f>IF($Z123="","",IF($F123=ApportCouvert,OccCouvert,INDEX(Îlots!$O$8:$O$57,$Z123)&amp;""))</f>
        <v/>
      </c>
      <c r="AE123" s="53" t="str">
        <f t="shared" si="17"/>
        <v/>
      </c>
      <c r="AF123" s="53" t="str">
        <f t="shared" si="18"/>
        <v/>
      </c>
      <c r="AG123" s="53" t="str">
        <f t="shared" si="19"/>
        <v/>
      </c>
      <c r="AH123" s="53">
        <f t="shared" si="20"/>
        <v>0</v>
      </c>
      <c r="AI123" s="53">
        <f t="shared" si="21"/>
        <v>0</v>
      </c>
      <c r="AJ123" s="53">
        <f t="shared" si="22"/>
        <v>0</v>
      </c>
      <c r="AK123" s="53">
        <f t="shared" si="23"/>
        <v>0</v>
      </c>
      <c r="AL123" s="53">
        <f t="shared" si="24"/>
        <v>0</v>
      </c>
      <c r="AM123" s="53">
        <f>IF($AA123="",0,IF(INDEX(Fertilisants!$C$8:$C$47,$AA123)="Effluent d'élevage",1,0))</f>
        <v>0</v>
      </c>
      <c r="AN123" s="53" t="str">
        <f>IF($AA123="","",IF(INDEX(Fertilisants!$C$8:$C$47,$AA123)="Engrais minéral","Minéral","Organique"))</f>
        <v/>
      </c>
      <c r="AO123" s="53" t="str">
        <f t="shared" si="25"/>
        <v/>
      </c>
      <c r="AP123" s="53" t="str">
        <f t="shared" si="26"/>
        <v/>
      </c>
      <c r="AQ123" s="53" t="str">
        <f t="shared" si="27"/>
        <v/>
      </c>
      <c r="AR123" s="53" t="str">
        <f>IF(AND($D123&lt;&gt;"",$D123=FicheIlot),COUNTIF($D$8:$D123,FicheIlot),"")</f>
        <v/>
      </c>
    </row>
    <row r="124" spans="2:44" ht="18.95" customHeight="1" x14ac:dyDescent="0.25">
      <c r="B124" s="42" t="str">
        <f>IF(C124="","",COUNT($C$8:C124))</f>
        <v/>
      </c>
      <c r="C124" s="43"/>
      <c r="D124" s="44"/>
      <c r="E124" s="45" t="str">
        <f>IF($Z124="","",IF($F124=ApportCouvert,INDEX(Îlots!$I$8:$I$57,$Z124)&amp;"",INDEX(Îlots!$N$8:$N$57,$Z124)&amp;""))</f>
        <v/>
      </c>
      <c r="F124" s="44"/>
      <c r="G124" s="44"/>
      <c r="H124" s="46" t="str">
        <f>IF($AA124="","",INDEX(Fertilisants!$D$8:$D$47,$AA124)&amp;"")</f>
        <v/>
      </c>
      <c r="I124" s="47"/>
      <c r="J124" s="48"/>
      <c r="K124" s="46" t="str">
        <f>IF($AA124="","",INDEX(Fertilisants!$E$8:$E$47,$AA124)&amp;"")</f>
        <v/>
      </c>
      <c r="L124" s="49" t="str">
        <f t="shared" si="14"/>
        <v/>
      </c>
      <c r="M124" s="50" t="str">
        <f>IF(OR($J124="",$AA124=""),"",$J124*N(INDEX(Fertilisants!$G$8:$G$47,$AA124)))</f>
        <v/>
      </c>
      <c r="N124" s="50" t="str">
        <f>IF(OR($J124="",$AA124=""),"",$J124*N(INDEX(Fertilisants!$I$8:$I$47,$AA124)))</f>
        <v/>
      </c>
      <c r="O124" s="50" t="str">
        <f>IF(OR($J124="",$AA124=""),"",$J124*N(INDEX(Fertilisants!$J$8:$J$47,$AA124)))</f>
        <v/>
      </c>
      <c r="P124" s="50" t="str">
        <f>IF(OR($J124="",$AA124=""),"",$J124*N(INDEX(Fertilisants!$K$8:$K$47,$AA124)))</f>
        <v/>
      </c>
      <c r="Q124" s="50" t="str">
        <f t="shared" si="15"/>
        <v/>
      </c>
      <c r="R124" s="44"/>
      <c r="S124" s="44"/>
      <c r="T124" s="51"/>
      <c r="U124" s="44"/>
      <c r="V124" s="43"/>
      <c r="W124" s="52" t="str">
        <f t="shared" si="16"/>
        <v/>
      </c>
      <c r="X124" s="44"/>
      <c r="Z124" s="53" t="str">
        <f>IF($D124="","",IFERROR(MATCH($D124,Îlots!$D$8:$D$57,0),""))</f>
        <v/>
      </c>
      <c r="AA124" s="53" t="str">
        <f>IF($G124="","",IFERROR(MATCH($G124,Fertilisants!$B$8:$B$47,0),""))</f>
        <v/>
      </c>
      <c r="AB124" s="53" t="str">
        <f>IF($Z124="","",INDEX(Îlots!$E$8:$E$57,$Z124))</f>
        <v/>
      </c>
      <c r="AC124" s="53" t="str">
        <f>IF($Z124="","",INDEX(Îlots!$G$8:$G$57,$Z124)&amp;"")</f>
        <v/>
      </c>
      <c r="AD124" s="53" t="str">
        <f>IF($Z124="","",IF($F124=ApportCouvert,OccCouvert,INDEX(Îlots!$O$8:$O$57,$Z124)&amp;""))</f>
        <v/>
      </c>
      <c r="AE124" s="53" t="str">
        <f t="shared" si="17"/>
        <v/>
      </c>
      <c r="AF124" s="53" t="str">
        <f t="shared" si="18"/>
        <v/>
      </c>
      <c r="AG124" s="53" t="str">
        <f t="shared" si="19"/>
        <v/>
      </c>
      <c r="AH124" s="53">
        <f t="shared" si="20"/>
        <v>0</v>
      </c>
      <c r="AI124" s="53">
        <f t="shared" si="21"/>
        <v>0</v>
      </c>
      <c r="AJ124" s="53">
        <f t="shared" si="22"/>
        <v>0</v>
      </c>
      <c r="AK124" s="53">
        <f t="shared" si="23"/>
        <v>0</v>
      </c>
      <c r="AL124" s="53">
        <f t="shared" si="24"/>
        <v>0</v>
      </c>
      <c r="AM124" s="53">
        <f>IF($AA124="",0,IF(INDEX(Fertilisants!$C$8:$C$47,$AA124)="Effluent d'élevage",1,0))</f>
        <v>0</v>
      </c>
      <c r="AN124" s="53" t="str">
        <f>IF($AA124="","",IF(INDEX(Fertilisants!$C$8:$C$47,$AA124)="Engrais minéral","Minéral","Organique"))</f>
        <v/>
      </c>
      <c r="AO124" s="53" t="str">
        <f t="shared" si="25"/>
        <v/>
      </c>
      <c r="AP124" s="53" t="str">
        <f t="shared" si="26"/>
        <v/>
      </c>
      <c r="AQ124" s="53" t="str">
        <f t="shared" si="27"/>
        <v/>
      </c>
      <c r="AR124" s="53" t="str">
        <f>IF(AND($D124&lt;&gt;"",$D124=FicheIlot),COUNTIF($D$8:$D124,FicheIlot),"")</f>
        <v/>
      </c>
    </row>
    <row r="125" spans="2:44" ht="18.95" customHeight="1" x14ac:dyDescent="0.25">
      <c r="B125" s="42" t="str">
        <f>IF(C125="","",COUNT($C$8:C125))</f>
        <v/>
      </c>
      <c r="C125" s="43"/>
      <c r="D125" s="44"/>
      <c r="E125" s="45" t="str">
        <f>IF($Z125="","",IF($F125=ApportCouvert,INDEX(Îlots!$I$8:$I$57,$Z125)&amp;"",INDEX(Îlots!$N$8:$N$57,$Z125)&amp;""))</f>
        <v/>
      </c>
      <c r="F125" s="44"/>
      <c r="G125" s="44"/>
      <c r="H125" s="46" t="str">
        <f>IF($AA125="","",INDEX(Fertilisants!$D$8:$D$47,$AA125)&amp;"")</f>
        <v/>
      </c>
      <c r="I125" s="47"/>
      <c r="J125" s="48"/>
      <c r="K125" s="46" t="str">
        <f>IF($AA125="","",INDEX(Fertilisants!$E$8:$E$47,$AA125)&amp;"")</f>
        <v/>
      </c>
      <c r="L125" s="49" t="str">
        <f t="shared" si="14"/>
        <v/>
      </c>
      <c r="M125" s="50" t="str">
        <f>IF(OR($J125="",$AA125=""),"",$J125*N(INDEX(Fertilisants!$G$8:$G$47,$AA125)))</f>
        <v/>
      </c>
      <c r="N125" s="50" t="str">
        <f>IF(OR($J125="",$AA125=""),"",$J125*N(INDEX(Fertilisants!$I$8:$I$47,$AA125)))</f>
        <v/>
      </c>
      <c r="O125" s="50" t="str">
        <f>IF(OR($J125="",$AA125=""),"",$J125*N(INDEX(Fertilisants!$J$8:$J$47,$AA125)))</f>
        <v/>
      </c>
      <c r="P125" s="50" t="str">
        <f>IF(OR($J125="",$AA125=""),"",$J125*N(INDEX(Fertilisants!$K$8:$K$47,$AA125)))</f>
        <v/>
      </c>
      <c r="Q125" s="50" t="str">
        <f t="shared" si="15"/>
        <v/>
      </c>
      <c r="R125" s="44"/>
      <c r="S125" s="44"/>
      <c r="T125" s="51"/>
      <c r="U125" s="44"/>
      <c r="V125" s="43"/>
      <c r="W125" s="52" t="str">
        <f t="shared" si="16"/>
        <v/>
      </c>
      <c r="X125" s="44"/>
      <c r="Z125" s="53" t="str">
        <f>IF($D125="","",IFERROR(MATCH($D125,Îlots!$D$8:$D$57,0),""))</f>
        <v/>
      </c>
      <c r="AA125" s="53" t="str">
        <f>IF($G125="","",IFERROR(MATCH($G125,Fertilisants!$B$8:$B$47,0),""))</f>
        <v/>
      </c>
      <c r="AB125" s="53" t="str">
        <f>IF($Z125="","",INDEX(Îlots!$E$8:$E$57,$Z125))</f>
        <v/>
      </c>
      <c r="AC125" s="53" t="str">
        <f>IF($Z125="","",INDEX(Îlots!$G$8:$G$57,$Z125)&amp;"")</f>
        <v/>
      </c>
      <c r="AD125" s="53" t="str">
        <f>IF($Z125="","",IF($F125=ApportCouvert,OccCouvert,INDEX(Îlots!$O$8:$O$57,$Z125)&amp;""))</f>
        <v/>
      </c>
      <c r="AE125" s="53" t="str">
        <f t="shared" si="17"/>
        <v/>
      </c>
      <c r="AF125" s="53" t="str">
        <f t="shared" si="18"/>
        <v/>
      </c>
      <c r="AG125" s="53" t="str">
        <f t="shared" si="19"/>
        <v/>
      </c>
      <c r="AH125" s="53">
        <f t="shared" si="20"/>
        <v>0</v>
      </c>
      <c r="AI125" s="53">
        <f t="shared" si="21"/>
        <v>0</v>
      </c>
      <c r="AJ125" s="53">
        <f t="shared" si="22"/>
        <v>0</v>
      </c>
      <c r="AK125" s="53">
        <f t="shared" si="23"/>
        <v>0</v>
      </c>
      <c r="AL125" s="53">
        <f t="shared" si="24"/>
        <v>0</v>
      </c>
      <c r="AM125" s="53">
        <f>IF($AA125="",0,IF(INDEX(Fertilisants!$C$8:$C$47,$AA125)="Effluent d'élevage",1,0))</f>
        <v>0</v>
      </c>
      <c r="AN125" s="53" t="str">
        <f>IF($AA125="","",IF(INDEX(Fertilisants!$C$8:$C$47,$AA125)="Engrais minéral","Minéral","Organique"))</f>
        <v/>
      </c>
      <c r="AO125" s="53" t="str">
        <f t="shared" si="25"/>
        <v/>
      </c>
      <c r="AP125" s="53" t="str">
        <f t="shared" si="26"/>
        <v/>
      </c>
      <c r="AQ125" s="53" t="str">
        <f t="shared" si="27"/>
        <v/>
      </c>
      <c r="AR125" s="53" t="str">
        <f>IF(AND($D125&lt;&gt;"",$D125=FicheIlot),COUNTIF($D$8:$D125,FicheIlot),"")</f>
        <v/>
      </c>
    </row>
    <row r="126" spans="2:44" ht="18.95" customHeight="1" x14ac:dyDescent="0.25">
      <c r="B126" s="42" t="str">
        <f>IF(C126="","",COUNT($C$8:C126))</f>
        <v/>
      </c>
      <c r="C126" s="43"/>
      <c r="D126" s="44"/>
      <c r="E126" s="45" t="str">
        <f>IF($Z126="","",IF($F126=ApportCouvert,INDEX(Îlots!$I$8:$I$57,$Z126)&amp;"",INDEX(Îlots!$N$8:$N$57,$Z126)&amp;""))</f>
        <v/>
      </c>
      <c r="F126" s="44"/>
      <c r="G126" s="44"/>
      <c r="H126" s="46" t="str">
        <f>IF($AA126="","",INDEX(Fertilisants!$D$8:$D$47,$AA126)&amp;"")</f>
        <v/>
      </c>
      <c r="I126" s="47"/>
      <c r="J126" s="48"/>
      <c r="K126" s="46" t="str">
        <f>IF($AA126="","",INDEX(Fertilisants!$E$8:$E$47,$AA126)&amp;"")</f>
        <v/>
      </c>
      <c r="L126" s="49" t="str">
        <f t="shared" si="14"/>
        <v/>
      </c>
      <c r="M126" s="50" t="str">
        <f>IF(OR($J126="",$AA126=""),"",$J126*N(INDEX(Fertilisants!$G$8:$G$47,$AA126)))</f>
        <v/>
      </c>
      <c r="N126" s="50" t="str">
        <f>IF(OR($J126="",$AA126=""),"",$J126*N(INDEX(Fertilisants!$I$8:$I$47,$AA126)))</f>
        <v/>
      </c>
      <c r="O126" s="50" t="str">
        <f>IF(OR($J126="",$AA126=""),"",$J126*N(INDEX(Fertilisants!$J$8:$J$47,$AA126)))</f>
        <v/>
      </c>
      <c r="P126" s="50" t="str">
        <f>IF(OR($J126="",$AA126=""),"",$J126*N(INDEX(Fertilisants!$K$8:$K$47,$AA126)))</f>
        <v/>
      </c>
      <c r="Q126" s="50" t="str">
        <f t="shared" si="15"/>
        <v/>
      </c>
      <c r="R126" s="44"/>
      <c r="S126" s="44"/>
      <c r="T126" s="51"/>
      <c r="U126" s="44"/>
      <c r="V126" s="43"/>
      <c r="W126" s="52" t="str">
        <f t="shared" si="16"/>
        <v/>
      </c>
      <c r="X126" s="44"/>
      <c r="Z126" s="53" t="str">
        <f>IF($D126="","",IFERROR(MATCH($D126,Îlots!$D$8:$D$57,0),""))</f>
        <v/>
      </c>
      <c r="AA126" s="53" t="str">
        <f>IF($G126="","",IFERROR(MATCH($G126,Fertilisants!$B$8:$B$47,0),""))</f>
        <v/>
      </c>
      <c r="AB126" s="53" t="str">
        <f>IF($Z126="","",INDEX(Îlots!$E$8:$E$57,$Z126))</f>
        <v/>
      </c>
      <c r="AC126" s="53" t="str">
        <f>IF($Z126="","",INDEX(Îlots!$G$8:$G$57,$Z126)&amp;"")</f>
        <v/>
      </c>
      <c r="AD126" s="53" t="str">
        <f>IF($Z126="","",IF($F126=ApportCouvert,OccCouvert,INDEX(Îlots!$O$8:$O$57,$Z126)&amp;""))</f>
        <v/>
      </c>
      <c r="AE126" s="53" t="str">
        <f t="shared" si="17"/>
        <v/>
      </c>
      <c r="AF126" s="53" t="str">
        <f t="shared" si="18"/>
        <v/>
      </c>
      <c r="AG126" s="53" t="str">
        <f t="shared" si="19"/>
        <v/>
      </c>
      <c r="AH126" s="53">
        <f t="shared" si="20"/>
        <v>0</v>
      </c>
      <c r="AI126" s="53">
        <f t="shared" si="21"/>
        <v>0</v>
      </c>
      <c r="AJ126" s="53">
        <f t="shared" si="22"/>
        <v>0</v>
      </c>
      <c r="AK126" s="53">
        <f t="shared" si="23"/>
        <v>0</v>
      </c>
      <c r="AL126" s="53">
        <f t="shared" si="24"/>
        <v>0</v>
      </c>
      <c r="AM126" s="53">
        <f>IF($AA126="",0,IF(INDEX(Fertilisants!$C$8:$C$47,$AA126)="Effluent d'élevage",1,0))</f>
        <v>0</v>
      </c>
      <c r="AN126" s="53" t="str">
        <f>IF($AA126="","",IF(INDEX(Fertilisants!$C$8:$C$47,$AA126)="Engrais minéral","Minéral","Organique"))</f>
        <v/>
      </c>
      <c r="AO126" s="53" t="str">
        <f t="shared" si="25"/>
        <v/>
      </c>
      <c r="AP126" s="53" t="str">
        <f t="shared" si="26"/>
        <v/>
      </c>
      <c r="AQ126" s="53" t="str">
        <f t="shared" si="27"/>
        <v/>
      </c>
      <c r="AR126" s="53" t="str">
        <f>IF(AND($D126&lt;&gt;"",$D126=FicheIlot),COUNTIF($D$8:$D126,FicheIlot),"")</f>
        <v/>
      </c>
    </row>
    <row r="127" spans="2:44" ht="18.95" customHeight="1" x14ac:dyDescent="0.25">
      <c r="B127" s="42" t="str">
        <f>IF(C127="","",COUNT($C$8:C127))</f>
        <v/>
      </c>
      <c r="C127" s="43"/>
      <c r="D127" s="44"/>
      <c r="E127" s="45" t="str">
        <f>IF($Z127="","",IF($F127=ApportCouvert,INDEX(Îlots!$I$8:$I$57,$Z127)&amp;"",INDEX(Îlots!$N$8:$N$57,$Z127)&amp;""))</f>
        <v/>
      </c>
      <c r="F127" s="44"/>
      <c r="G127" s="44"/>
      <c r="H127" s="46" t="str">
        <f>IF($AA127="","",INDEX(Fertilisants!$D$8:$D$47,$AA127)&amp;"")</f>
        <v/>
      </c>
      <c r="I127" s="47"/>
      <c r="J127" s="48"/>
      <c r="K127" s="46" t="str">
        <f>IF($AA127="","",INDEX(Fertilisants!$E$8:$E$47,$AA127)&amp;"")</f>
        <v/>
      </c>
      <c r="L127" s="49" t="str">
        <f t="shared" si="14"/>
        <v/>
      </c>
      <c r="M127" s="50" t="str">
        <f>IF(OR($J127="",$AA127=""),"",$J127*N(INDEX(Fertilisants!$G$8:$G$47,$AA127)))</f>
        <v/>
      </c>
      <c r="N127" s="50" t="str">
        <f>IF(OR($J127="",$AA127=""),"",$J127*N(INDEX(Fertilisants!$I$8:$I$47,$AA127)))</f>
        <v/>
      </c>
      <c r="O127" s="50" t="str">
        <f>IF(OR($J127="",$AA127=""),"",$J127*N(INDEX(Fertilisants!$J$8:$J$47,$AA127)))</f>
        <v/>
      </c>
      <c r="P127" s="50" t="str">
        <f>IF(OR($J127="",$AA127=""),"",$J127*N(INDEX(Fertilisants!$K$8:$K$47,$AA127)))</f>
        <v/>
      </c>
      <c r="Q127" s="50" t="str">
        <f t="shared" si="15"/>
        <v/>
      </c>
      <c r="R127" s="44"/>
      <c r="S127" s="44"/>
      <c r="T127" s="51"/>
      <c r="U127" s="44"/>
      <c r="V127" s="43"/>
      <c r="W127" s="52" t="str">
        <f t="shared" si="16"/>
        <v/>
      </c>
      <c r="X127" s="44"/>
      <c r="Z127" s="53" t="str">
        <f>IF($D127="","",IFERROR(MATCH($D127,Îlots!$D$8:$D$57,0),""))</f>
        <v/>
      </c>
      <c r="AA127" s="53" t="str">
        <f>IF($G127="","",IFERROR(MATCH($G127,Fertilisants!$B$8:$B$47,0),""))</f>
        <v/>
      </c>
      <c r="AB127" s="53" t="str">
        <f>IF($Z127="","",INDEX(Îlots!$E$8:$E$57,$Z127))</f>
        <v/>
      </c>
      <c r="AC127" s="53" t="str">
        <f>IF($Z127="","",INDEX(Îlots!$G$8:$G$57,$Z127)&amp;"")</f>
        <v/>
      </c>
      <c r="AD127" s="53" t="str">
        <f>IF($Z127="","",IF($F127=ApportCouvert,OccCouvert,INDEX(Îlots!$O$8:$O$57,$Z127)&amp;""))</f>
        <v/>
      </c>
      <c r="AE127" s="53" t="str">
        <f t="shared" si="17"/>
        <v/>
      </c>
      <c r="AF127" s="53" t="str">
        <f t="shared" si="18"/>
        <v/>
      </c>
      <c r="AG127" s="53" t="str">
        <f t="shared" si="19"/>
        <v/>
      </c>
      <c r="AH127" s="53">
        <f t="shared" si="20"/>
        <v>0</v>
      </c>
      <c r="AI127" s="53">
        <f t="shared" si="21"/>
        <v>0</v>
      </c>
      <c r="AJ127" s="53">
        <f t="shared" si="22"/>
        <v>0</v>
      </c>
      <c r="AK127" s="53">
        <f t="shared" si="23"/>
        <v>0</v>
      </c>
      <c r="AL127" s="53">
        <f t="shared" si="24"/>
        <v>0</v>
      </c>
      <c r="AM127" s="53">
        <f>IF($AA127="",0,IF(INDEX(Fertilisants!$C$8:$C$47,$AA127)="Effluent d'élevage",1,0))</f>
        <v>0</v>
      </c>
      <c r="AN127" s="53" t="str">
        <f>IF($AA127="","",IF(INDEX(Fertilisants!$C$8:$C$47,$AA127)="Engrais minéral","Minéral","Organique"))</f>
        <v/>
      </c>
      <c r="AO127" s="53" t="str">
        <f t="shared" si="25"/>
        <v/>
      </c>
      <c r="AP127" s="53" t="str">
        <f t="shared" si="26"/>
        <v/>
      </c>
      <c r="AQ127" s="53" t="str">
        <f t="shared" si="27"/>
        <v/>
      </c>
      <c r="AR127" s="53" t="str">
        <f>IF(AND($D127&lt;&gt;"",$D127=FicheIlot),COUNTIF($D$8:$D127,FicheIlot),"")</f>
        <v/>
      </c>
    </row>
    <row r="128" spans="2:44" ht="18.95" customHeight="1" x14ac:dyDescent="0.25">
      <c r="B128" s="42" t="str">
        <f>IF(C128="","",COUNT($C$8:C128))</f>
        <v/>
      </c>
      <c r="C128" s="43"/>
      <c r="D128" s="44"/>
      <c r="E128" s="45" t="str">
        <f>IF($Z128="","",IF($F128=ApportCouvert,INDEX(Îlots!$I$8:$I$57,$Z128)&amp;"",INDEX(Îlots!$N$8:$N$57,$Z128)&amp;""))</f>
        <v/>
      </c>
      <c r="F128" s="44"/>
      <c r="G128" s="44"/>
      <c r="H128" s="46" t="str">
        <f>IF($AA128="","",INDEX(Fertilisants!$D$8:$D$47,$AA128)&amp;"")</f>
        <v/>
      </c>
      <c r="I128" s="47"/>
      <c r="J128" s="48"/>
      <c r="K128" s="46" t="str">
        <f>IF($AA128="","",INDEX(Fertilisants!$E$8:$E$47,$AA128)&amp;"")</f>
        <v/>
      </c>
      <c r="L128" s="49" t="str">
        <f t="shared" si="14"/>
        <v/>
      </c>
      <c r="M128" s="50" t="str">
        <f>IF(OR($J128="",$AA128=""),"",$J128*N(INDEX(Fertilisants!$G$8:$G$47,$AA128)))</f>
        <v/>
      </c>
      <c r="N128" s="50" t="str">
        <f>IF(OR($J128="",$AA128=""),"",$J128*N(INDEX(Fertilisants!$I$8:$I$47,$AA128)))</f>
        <v/>
      </c>
      <c r="O128" s="50" t="str">
        <f>IF(OR($J128="",$AA128=""),"",$J128*N(INDEX(Fertilisants!$J$8:$J$47,$AA128)))</f>
        <v/>
      </c>
      <c r="P128" s="50" t="str">
        <f>IF(OR($J128="",$AA128=""),"",$J128*N(INDEX(Fertilisants!$K$8:$K$47,$AA128)))</f>
        <v/>
      </c>
      <c r="Q128" s="50" t="str">
        <f t="shared" si="15"/>
        <v/>
      </c>
      <c r="R128" s="44"/>
      <c r="S128" s="44"/>
      <c r="T128" s="51"/>
      <c r="U128" s="44"/>
      <c r="V128" s="43"/>
      <c r="W128" s="52" t="str">
        <f t="shared" si="16"/>
        <v/>
      </c>
      <c r="X128" s="44"/>
      <c r="Z128" s="53" t="str">
        <f>IF($D128="","",IFERROR(MATCH($D128,Îlots!$D$8:$D$57,0),""))</f>
        <v/>
      </c>
      <c r="AA128" s="53" t="str">
        <f>IF($G128="","",IFERROR(MATCH($G128,Fertilisants!$B$8:$B$47,0),""))</f>
        <v/>
      </c>
      <c r="AB128" s="53" t="str">
        <f>IF($Z128="","",INDEX(Îlots!$E$8:$E$57,$Z128))</f>
        <v/>
      </c>
      <c r="AC128" s="53" t="str">
        <f>IF($Z128="","",INDEX(Îlots!$G$8:$G$57,$Z128)&amp;"")</f>
        <v/>
      </c>
      <c r="AD128" s="53" t="str">
        <f>IF($Z128="","",IF($F128=ApportCouvert,OccCouvert,INDEX(Îlots!$O$8:$O$57,$Z128)&amp;""))</f>
        <v/>
      </c>
      <c r="AE128" s="53" t="str">
        <f t="shared" si="17"/>
        <v/>
      </c>
      <c r="AF128" s="53" t="str">
        <f t="shared" si="18"/>
        <v/>
      </c>
      <c r="AG128" s="53" t="str">
        <f t="shared" si="19"/>
        <v/>
      </c>
      <c r="AH128" s="53">
        <f t="shared" si="20"/>
        <v>0</v>
      </c>
      <c r="AI128" s="53">
        <f t="shared" si="21"/>
        <v>0</v>
      </c>
      <c r="AJ128" s="53">
        <f t="shared" si="22"/>
        <v>0</v>
      </c>
      <c r="AK128" s="53">
        <f t="shared" si="23"/>
        <v>0</v>
      </c>
      <c r="AL128" s="53">
        <f t="shared" si="24"/>
        <v>0</v>
      </c>
      <c r="AM128" s="53">
        <f>IF($AA128="",0,IF(INDEX(Fertilisants!$C$8:$C$47,$AA128)="Effluent d'élevage",1,0))</f>
        <v>0</v>
      </c>
      <c r="AN128" s="53" t="str">
        <f>IF($AA128="","",IF(INDEX(Fertilisants!$C$8:$C$47,$AA128)="Engrais minéral","Minéral","Organique"))</f>
        <v/>
      </c>
      <c r="AO128" s="53" t="str">
        <f t="shared" si="25"/>
        <v/>
      </c>
      <c r="AP128" s="53" t="str">
        <f t="shared" si="26"/>
        <v/>
      </c>
      <c r="AQ128" s="53" t="str">
        <f t="shared" si="27"/>
        <v/>
      </c>
      <c r="AR128" s="53" t="str">
        <f>IF(AND($D128&lt;&gt;"",$D128=FicheIlot),COUNTIF($D$8:$D128,FicheIlot),"")</f>
        <v/>
      </c>
    </row>
    <row r="129" spans="2:44" ht="18.95" customHeight="1" x14ac:dyDescent="0.25">
      <c r="B129" s="42" t="str">
        <f>IF(C129="","",COUNT($C$8:C129))</f>
        <v/>
      </c>
      <c r="C129" s="43"/>
      <c r="D129" s="44"/>
      <c r="E129" s="45" t="str">
        <f>IF($Z129="","",IF($F129=ApportCouvert,INDEX(Îlots!$I$8:$I$57,$Z129)&amp;"",INDEX(Îlots!$N$8:$N$57,$Z129)&amp;""))</f>
        <v/>
      </c>
      <c r="F129" s="44"/>
      <c r="G129" s="44"/>
      <c r="H129" s="46" t="str">
        <f>IF($AA129="","",INDEX(Fertilisants!$D$8:$D$47,$AA129)&amp;"")</f>
        <v/>
      </c>
      <c r="I129" s="47"/>
      <c r="J129" s="48"/>
      <c r="K129" s="46" t="str">
        <f>IF($AA129="","",INDEX(Fertilisants!$E$8:$E$47,$AA129)&amp;"")</f>
        <v/>
      </c>
      <c r="L129" s="49" t="str">
        <f t="shared" si="14"/>
        <v/>
      </c>
      <c r="M129" s="50" t="str">
        <f>IF(OR($J129="",$AA129=""),"",$J129*N(INDEX(Fertilisants!$G$8:$G$47,$AA129)))</f>
        <v/>
      </c>
      <c r="N129" s="50" t="str">
        <f>IF(OR($J129="",$AA129=""),"",$J129*N(INDEX(Fertilisants!$I$8:$I$47,$AA129)))</f>
        <v/>
      </c>
      <c r="O129" s="50" t="str">
        <f>IF(OR($J129="",$AA129=""),"",$J129*N(INDEX(Fertilisants!$J$8:$J$47,$AA129)))</f>
        <v/>
      </c>
      <c r="P129" s="50" t="str">
        <f>IF(OR($J129="",$AA129=""),"",$J129*N(INDEX(Fertilisants!$K$8:$K$47,$AA129)))</f>
        <v/>
      </c>
      <c r="Q129" s="50" t="str">
        <f t="shared" si="15"/>
        <v/>
      </c>
      <c r="R129" s="44"/>
      <c r="S129" s="44"/>
      <c r="T129" s="51"/>
      <c r="U129" s="44"/>
      <c r="V129" s="43"/>
      <c r="W129" s="52" t="str">
        <f t="shared" si="16"/>
        <v/>
      </c>
      <c r="X129" s="44"/>
      <c r="Z129" s="53" t="str">
        <f>IF($D129="","",IFERROR(MATCH($D129,Îlots!$D$8:$D$57,0),""))</f>
        <v/>
      </c>
      <c r="AA129" s="53" t="str">
        <f>IF($G129="","",IFERROR(MATCH($G129,Fertilisants!$B$8:$B$47,0),""))</f>
        <v/>
      </c>
      <c r="AB129" s="53" t="str">
        <f>IF($Z129="","",INDEX(Îlots!$E$8:$E$57,$Z129))</f>
        <v/>
      </c>
      <c r="AC129" s="53" t="str">
        <f>IF($Z129="","",INDEX(Îlots!$G$8:$G$57,$Z129)&amp;"")</f>
        <v/>
      </c>
      <c r="AD129" s="53" t="str">
        <f>IF($Z129="","",IF($F129=ApportCouvert,OccCouvert,INDEX(Îlots!$O$8:$O$57,$Z129)&amp;""))</f>
        <v/>
      </c>
      <c r="AE129" s="53" t="str">
        <f t="shared" si="17"/>
        <v/>
      </c>
      <c r="AF129" s="53" t="str">
        <f t="shared" si="18"/>
        <v/>
      </c>
      <c r="AG129" s="53" t="str">
        <f t="shared" si="19"/>
        <v/>
      </c>
      <c r="AH129" s="53">
        <f t="shared" si="20"/>
        <v>0</v>
      </c>
      <c r="AI129" s="53">
        <f t="shared" si="21"/>
        <v>0</v>
      </c>
      <c r="AJ129" s="53">
        <f t="shared" si="22"/>
        <v>0</v>
      </c>
      <c r="AK129" s="53">
        <f t="shared" si="23"/>
        <v>0</v>
      </c>
      <c r="AL129" s="53">
        <f t="shared" si="24"/>
        <v>0</v>
      </c>
      <c r="AM129" s="53">
        <f>IF($AA129="",0,IF(INDEX(Fertilisants!$C$8:$C$47,$AA129)="Effluent d'élevage",1,0))</f>
        <v>0</v>
      </c>
      <c r="AN129" s="53" t="str">
        <f>IF($AA129="","",IF(INDEX(Fertilisants!$C$8:$C$47,$AA129)="Engrais minéral","Minéral","Organique"))</f>
        <v/>
      </c>
      <c r="AO129" s="53" t="str">
        <f t="shared" si="25"/>
        <v/>
      </c>
      <c r="AP129" s="53" t="str">
        <f t="shared" si="26"/>
        <v/>
      </c>
      <c r="AQ129" s="53" t="str">
        <f t="shared" si="27"/>
        <v/>
      </c>
      <c r="AR129" s="53" t="str">
        <f>IF(AND($D129&lt;&gt;"",$D129=FicheIlot),COUNTIF($D$8:$D129,FicheIlot),"")</f>
        <v/>
      </c>
    </row>
    <row r="130" spans="2:44" ht="18.95" customHeight="1" x14ac:dyDescent="0.25">
      <c r="B130" s="42" t="str">
        <f>IF(C130="","",COUNT($C$8:C130))</f>
        <v/>
      </c>
      <c r="C130" s="43"/>
      <c r="D130" s="44"/>
      <c r="E130" s="45" t="str">
        <f>IF($Z130="","",IF($F130=ApportCouvert,INDEX(Îlots!$I$8:$I$57,$Z130)&amp;"",INDEX(Îlots!$N$8:$N$57,$Z130)&amp;""))</f>
        <v/>
      </c>
      <c r="F130" s="44"/>
      <c r="G130" s="44"/>
      <c r="H130" s="46" t="str">
        <f>IF($AA130="","",INDEX(Fertilisants!$D$8:$D$47,$AA130)&amp;"")</f>
        <v/>
      </c>
      <c r="I130" s="47"/>
      <c r="J130" s="48"/>
      <c r="K130" s="46" t="str">
        <f>IF($AA130="","",INDEX(Fertilisants!$E$8:$E$47,$AA130)&amp;"")</f>
        <v/>
      </c>
      <c r="L130" s="49" t="str">
        <f t="shared" si="14"/>
        <v/>
      </c>
      <c r="M130" s="50" t="str">
        <f>IF(OR($J130="",$AA130=""),"",$J130*N(INDEX(Fertilisants!$G$8:$G$47,$AA130)))</f>
        <v/>
      </c>
      <c r="N130" s="50" t="str">
        <f>IF(OR($J130="",$AA130=""),"",$J130*N(INDEX(Fertilisants!$I$8:$I$47,$AA130)))</f>
        <v/>
      </c>
      <c r="O130" s="50" t="str">
        <f>IF(OR($J130="",$AA130=""),"",$J130*N(INDEX(Fertilisants!$J$8:$J$47,$AA130)))</f>
        <v/>
      </c>
      <c r="P130" s="50" t="str">
        <f>IF(OR($J130="",$AA130=""),"",$J130*N(INDEX(Fertilisants!$K$8:$K$47,$AA130)))</f>
        <v/>
      </c>
      <c r="Q130" s="50" t="str">
        <f t="shared" si="15"/>
        <v/>
      </c>
      <c r="R130" s="44"/>
      <c r="S130" s="44"/>
      <c r="T130" s="51"/>
      <c r="U130" s="44"/>
      <c r="V130" s="43"/>
      <c r="W130" s="52" t="str">
        <f t="shared" si="16"/>
        <v/>
      </c>
      <c r="X130" s="44"/>
      <c r="Z130" s="53" t="str">
        <f>IF($D130="","",IFERROR(MATCH($D130,Îlots!$D$8:$D$57,0),""))</f>
        <v/>
      </c>
      <c r="AA130" s="53" t="str">
        <f>IF($G130="","",IFERROR(MATCH($G130,Fertilisants!$B$8:$B$47,0),""))</f>
        <v/>
      </c>
      <c r="AB130" s="53" t="str">
        <f>IF($Z130="","",INDEX(Îlots!$E$8:$E$57,$Z130))</f>
        <v/>
      </c>
      <c r="AC130" s="53" t="str">
        <f>IF($Z130="","",INDEX(Îlots!$G$8:$G$57,$Z130)&amp;"")</f>
        <v/>
      </c>
      <c r="AD130" s="53" t="str">
        <f>IF($Z130="","",IF($F130=ApportCouvert,OccCouvert,INDEX(Îlots!$O$8:$O$57,$Z130)&amp;""))</f>
        <v/>
      </c>
      <c r="AE130" s="53" t="str">
        <f t="shared" si="17"/>
        <v/>
      </c>
      <c r="AF130" s="53" t="str">
        <f t="shared" si="18"/>
        <v/>
      </c>
      <c r="AG130" s="53" t="str">
        <f t="shared" si="19"/>
        <v/>
      </c>
      <c r="AH130" s="53">
        <f t="shared" si="20"/>
        <v>0</v>
      </c>
      <c r="AI130" s="53">
        <f t="shared" si="21"/>
        <v>0</v>
      </c>
      <c r="AJ130" s="53">
        <f t="shared" si="22"/>
        <v>0</v>
      </c>
      <c r="AK130" s="53">
        <f t="shared" si="23"/>
        <v>0</v>
      </c>
      <c r="AL130" s="53">
        <f t="shared" si="24"/>
        <v>0</v>
      </c>
      <c r="AM130" s="53">
        <f>IF($AA130="",0,IF(INDEX(Fertilisants!$C$8:$C$47,$AA130)="Effluent d'élevage",1,0))</f>
        <v>0</v>
      </c>
      <c r="AN130" s="53" t="str">
        <f>IF($AA130="","",IF(INDEX(Fertilisants!$C$8:$C$47,$AA130)="Engrais minéral","Minéral","Organique"))</f>
        <v/>
      </c>
      <c r="AO130" s="53" t="str">
        <f t="shared" si="25"/>
        <v/>
      </c>
      <c r="AP130" s="53" t="str">
        <f t="shared" si="26"/>
        <v/>
      </c>
      <c r="AQ130" s="53" t="str">
        <f t="shared" si="27"/>
        <v/>
      </c>
      <c r="AR130" s="53" t="str">
        <f>IF(AND($D130&lt;&gt;"",$D130=FicheIlot),COUNTIF($D$8:$D130,FicheIlot),"")</f>
        <v/>
      </c>
    </row>
    <row r="131" spans="2:44" ht="18.95" customHeight="1" x14ac:dyDescent="0.25">
      <c r="B131" s="42" t="str">
        <f>IF(C131="","",COUNT($C$8:C131))</f>
        <v/>
      </c>
      <c r="C131" s="43"/>
      <c r="D131" s="44"/>
      <c r="E131" s="45" t="str">
        <f>IF($Z131="","",IF($F131=ApportCouvert,INDEX(Îlots!$I$8:$I$57,$Z131)&amp;"",INDEX(Îlots!$N$8:$N$57,$Z131)&amp;""))</f>
        <v/>
      </c>
      <c r="F131" s="44"/>
      <c r="G131" s="44"/>
      <c r="H131" s="46" t="str">
        <f>IF($AA131="","",INDEX(Fertilisants!$D$8:$D$47,$AA131)&amp;"")</f>
        <v/>
      </c>
      <c r="I131" s="47"/>
      <c r="J131" s="48"/>
      <c r="K131" s="46" t="str">
        <f>IF($AA131="","",INDEX(Fertilisants!$E$8:$E$47,$AA131)&amp;"")</f>
        <v/>
      </c>
      <c r="L131" s="49" t="str">
        <f t="shared" si="14"/>
        <v/>
      </c>
      <c r="M131" s="50" t="str">
        <f>IF(OR($J131="",$AA131=""),"",$J131*N(INDEX(Fertilisants!$G$8:$G$47,$AA131)))</f>
        <v/>
      </c>
      <c r="N131" s="50" t="str">
        <f>IF(OR($J131="",$AA131=""),"",$J131*N(INDEX(Fertilisants!$I$8:$I$47,$AA131)))</f>
        <v/>
      </c>
      <c r="O131" s="50" t="str">
        <f>IF(OR($J131="",$AA131=""),"",$J131*N(INDEX(Fertilisants!$J$8:$J$47,$AA131)))</f>
        <v/>
      </c>
      <c r="P131" s="50" t="str">
        <f>IF(OR($J131="",$AA131=""),"",$J131*N(INDEX(Fertilisants!$K$8:$K$47,$AA131)))</f>
        <v/>
      </c>
      <c r="Q131" s="50" t="str">
        <f t="shared" si="15"/>
        <v/>
      </c>
      <c r="R131" s="44"/>
      <c r="S131" s="44"/>
      <c r="T131" s="51"/>
      <c r="U131" s="44"/>
      <c r="V131" s="43"/>
      <c r="W131" s="52" t="str">
        <f t="shared" si="16"/>
        <v/>
      </c>
      <c r="X131" s="44"/>
      <c r="Z131" s="53" t="str">
        <f>IF($D131="","",IFERROR(MATCH($D131,Îlots!$D$8:$D$57,0),""))</f>
        <v/>
      </c>
      <c r="AA131" s="53" t="str">
        <f>IF($G131="","",IFERROR(MATCH($G131,Fertilisants!$B$8:$B$47,0),""))</f>
        <v/>
      </c>
      <c r="AB131" s="53" t="str">
        <f>IF($Z131="","",INDEX(Îlots!$E$8:$E$57,$Z131))</f>
        <v/>
      </c>
      <c r="AC131" s="53" t="str">
        <f>IF($Z131="","",INDEX(Îlots!$G$8:$G$57,$Z131)&amp;"")</f>
        <v/>
      </c>
      <c r="AD131" s="53" t="str">
        <f>IF($Z131="","",IF($F131=ApportCouvert,OccCouvert,INDEX(Îlots!$O$8:$O$57,$Z131)&amp;""))</f>
        <v/>
      </c>
      <c r="AE131" s="53" t="str">
        <f t="shared" si="17"/>
        <v/>
      </c>
      <c r="AF131" s="53" t="str">
        <f t="shared" si="18"/>
        <v/>
      </c>
      <c r="AG131" s="53" t="str">
        <f t="shared" si="19"/>
        <v/>
      </c>
      <c r="AH131" s="53">
        <f t="shared" si="20"/>
        <v>0</v>
      </c>
      <c r="AI131" s="53">
        <f t="shared" si="21"/>
        <v>0</v>
      </c>
      <c r="AJ131" s="53">
        <f t="shared" si="22"/>
        <v>0</v>
      </c>
      <c r="AK131" s="53">
        <f t="shared" si="23"/>
        <v>0</v>
      </c>
      <c r="AL131" s="53">
        <f t="shared" si="24"/>
        <v>0</v>
      </c>
      <c r="AM131" s="53">
        <f>IF($AA131="",0,IF(INDEX(Fertilisants!$C$8:$C$47,$AA131)="Effluent d'élevage",1,0))</f>
        <v>0</v>
      </c>
      <c r="AN131" s="53" t="str">
        <f>IF($AA131="","",IF(INDEX(Fertilisants!$C$8:$C$47,$AA131)="Engrais minéral","Minéral","Organique"))</f>
        <v/>
      </c>
      <c r="AO131" s="53" t="str">
        <f t="shared" si="25"/>
        <v/>
      </c>
      <c r="AP131" s="53" t="str">
        <f t="shared" si="26"/>
        <v/>
      </c>
      <c r="AQ131" s="53" t="str">
        <f t="shared" si="27"/>
        <v/>
      </c>
      <c r="AR131" s="53" t="str">
        <f>IF(AND($D131&lt;&gt;"",$D131=FicheIlot),COUNTIF($D$8:$D131,FicheIlot),"")</f>
        <v/>
      </c>
    </row>
    <row r="132" spans="2:44" ht="18.95" customHeight="1" x14ac:dyDescent="0.25">
      <c r="B132" s="42" t="str">
        <f>IF(C132="","",COUNT($C$8:C132))</f>
        <v/>
      </c>
      <c r="C132" s="43"/>
      <c r="D132" s="44"/>
      <c r="E132" s="45" t="str">
        <f>IF($Z132="","",IF($F132=ApportCouvert,INDEX(Îlots!$I$8:$I$57,$Z132)&amp;"",INDEX(Îlots!$N$8:$N$57,$Z132)&amp;""))</f>
        <v/>
      </c>
      <c r="F132" s="44"/>
      <c r="G132" s="44"/>
      <c r="H132" s="46" t="str">
        <f>IF($AA132="","",INDEX(Fertilisants!$D$8:$D$47,$AA132)&amp;"")</f>
        <v/>
      </c>
      <c r="I132" s="47"/>
      <c r="J132" s="48"/>
      <c r="K132" s="46" t="str">
        <f>IF($AA132="","",INDEX(Fertilisants!$E$8:$E$47,$AA132)&amp;"")</f>
        <v/>
      </c>
      <c r="L132" s="49" t="str">
        <f t="shared" si="14"/>
        <v/>
      </c>
      <c r="M132" s="50" t="str">
        <f>IF(OR($J132="",$AA132=""),"",$J132*N(INDEX(Fertilisants!$G$8:$G$47,$AA132)))</f>
        <v/>
      </c>
      <c r="N132" s="50" t="str">
        <f>IF(OR($J132="",$AA132=""),"",$J132*N(INDEX(Fertilisants!$I$8:$I$47,$AA132)))</f>
        <v/>
      </c>
      <c r="O132" s="50" t="str">
        <f>IF(OR($J132="",$AA132=""),"",$J132*N(INDEX(Fertilisants!$J$8:$J$47,$AA132)))</f>
        <v/>
      </c>
      <c r="P132" s="50" t="str">
        <f>IF(OR($J132="",$AA132=""),"",$J132*N(INDEX(Fertilisants!$K$8:$K$47,$AA132)))</f>
        <v/>
      </c>
      <c r="Q132" s="50" t="str">
        <f t="shared" si="15"/>
        <v/>
      </c>
      <c r="R132" s="44"/>
      <c r="S132" s="44"/>
      <c r="T132" s="51"/>
      <c r="U132" s="44"/>
      <c r="V132" s="43"/>
      <c r="W132" s="52" t="str">
        <f t="shared" si="16"/>
        <v/>
      </c>
      <c r="X132" s="44"/>
      <c r="Z132" s="53" t="str">
        <f>IF($D132="","",IFERROR(MATCH($D132,Îlots!$D$8:$D$57,0),""))</f>
        <v/>
      </c>
      <c r="AA132" s="53" t="str">
        <f>IF($G132="","",IFERROR(MATCH($G132,Fertilisants!$B$8:$B$47,0),""))</f>
        <v/>
      </c>
      <c r="AB132" s="53" t="str">
        <f>IF($Z132="","",INDEX(Îlots!$E$8:$E$57,$Z132))</f>
        <v/>
      </c>
      <c r="AC132" s="53" t="str">
        <f>IF($Z132="","",INDEX(Îlots!$G$8:$G$57,$Z132)&amp;"")</f>
        <v/>
      </c>
      <c r="AD132" s="53" t="str">
        <f>IF($Z132="","",IF($F132=ApportCouvert,OccCouvert,INDEX(Îlots!$O$8:$O$57,$Z132)&amp;""))</f>
        <v/>
      </c>
      <c r="AE132" s="53" t="str">
        <f t="shared" si="17"/>
        <v/>
      </c>
      <c r="AF132" s="53" t="str">
        <f t="shared" si="18"/>
        <v/>
      </c>
      <c r="AG132" s="53" t="str">
        <f t="shared" si="19"/>
        <v/>
      </c>
      <c r="AH132" s="53">
        <f t="shared" si="20"/>
        <v>0</v>
      </c>
      <c r="AI132" s="53">
        <f t="shared" si="21"/>
        <v>0</v>
      </c>
      <c r="AJ132" s="53">
        <f t="shared" si="22"/>
        <v>0</v>
      </c>
      <c r="AK132" s="53">
        <f t="shared" si="23"/>
        <v>0</v>
      </c>
      <c r="AL132" s="53">
        <f t="shared" si="24"/>
        <v>0</v>
      </c>
      <c r="AM132" s="53">
        <f>IF($AA132="",0,IF(INDEX(Fertilisants!$C$8:$C$47,$AA132)="Effluent d'élevage",1,0))</f>
        <v>0</v>
      </c>
      <c r="AN132" s="53" t="str">
        <f>IF($AA132="","",IF(INDEX(Fertilisants!$C$8:$C$47,$AA132)="Engrais minéral","Minéral","Organique"))</f>
        <v/>
      </c>
      <c r="AO132" s="53" t="str">
        <f t="shared" si="25"/>
        <v/>
      </c>
      <c r="AP132" s="53" t="str">
        <f t="shared" si="26"/>
        <v/>
      </c>
      <c r="AQ132" s="53" t="str">
        <f t="shared" si="27"/>
        <v/>
      </c>
      <c r="AR132" s="53" t="str">
        <f>IF(AND($D132&lt;&gt;"",$D132=FicheIlot),COUNTIF($D$8:$D132,FicheIlot),"")</f>
        <v/>
      </c>
    </row>
    <row r="133" spans="2:44" ht="18.95" customHeight="1" x14ac:dyDescent="0.25">
      <c r="B133" s="42" t="str">
        <f>IF(C133="","",COUNT($C$8:C133))</f>
        <v/>
      </c>
      <c r="C133" s="43"/>
      <c r="D133" s="44"/>
      <c r="E133" s="45" t="str">
        <f>IF($Z133="","",IF($F133=ApportCouvert,INDEX(Îlots!$I$8:$I$57,$Z133)&amp;"",INDEX(Îlots!$N$8:$N$57,$Z133)&amp;""))</f>
        <v/>
      </c>
      <c r="F133" s="44"/>
      <c r="G133" s="44"/>
      <c r="H133" s="46" t="str">
        <f>IF($AA133="","",INDEX(Fertilisants!$D$8:$D$47,$AA133)&amp;"")</f>
        <v/>
      </c>
      <c r="I133" s="47"/>
      <c r="J133" s="48"/>
      <c r="K133" s="46" t="str">
        <f>IF($AA133="","",INDEX(Fertilisants!$E$8:$E$47,$AA133)&amp;"")</f>
        <v/>
      </c>
      <c r="L133" s="49" t="str">
        <f t="shared" si="14"/>
        <v/>
      </c>
      <c r="M133" s="50" t="str">
        <f>IF(OR($J133="",$AA133=""),"",$J133*N(INDEX(Fertilisants!$G$8:$G$47,$AA133)))</f>
        <v/>
      </c>
      <c r="N133" s="50" t="str">
        <f>IF(OR($J133="",$AA133=""),"",$J133*N(INDEX(Fertilisants!$I$8:$I$47,$AA133)))</f>
        <v/>
      </c>
      <c r="O133" s="50" t="str">
        <f>IF(OR($J133="",$AA133=""),"",$J133*N(INDEX(Fertilisants!$J$8:$J$47,$AA133)))</f>
        <v/>
      </c>
      <c r="P133" s="50" t="str">
        <f>IF(OR($J133="",$AA133=""),"",$J133*N(INDEX(Fertilisants!$K$8:$K$47,$AA133)))</f>
        <v/>
      </c>
      <c r="Q133" s="50" t="str">
        <f t="shared" si="15"/>
        <v/>
      </c>
      <c r="R133" s="44"/>
      <c r="S133" s="44"/>
      <c r="T133" s="51"/>
      <c r="U133" s="44"/>
      <c r="V133" s="43"/>
      <c r="W133" s="52" t="str">
        <f t="shared" si="16"/>
        <v/>
      </c>
      <c r="X133" s="44"/>
      <c r="Z133" s="53" t="str">
        <f>IF($D133="","",IFERROR(MATCH($D133,Îlots!$D$8:$D$57,0),""))</f>
        <v/>
      </c>
      <c r="AA133" s="53" t="str">
        <f>IF($G133="","",IFERROR(MATCH($G133,Fertilisants!$B$8:$B$47,0),""))</f>
        <v/>
      </c>
      <c r="AB133" s="53" t="str">
        <f>IF($Z133="","",INDEX(Îlots!$E$8:$E$57,$Z133))</f>
        <v/>
      </c>
      <c r="AC133" s="53" t="str">
        <f>IF($Z133="","",INDEX(Îlots!$G$8:$G$57,$Z133)&amp;"")</f>
        <v/>
      </c>
      <c r="AD133" s="53" t="str">
        <f>IF($Z133="","",IF($F133=ApportCouvert,OccCouvert,INDEX(Îlots!$O$8:$O$57,$Z133)&amp;""))</f>
        <v/>
      </c>
      <c r="AE133" s="53" t="str">
        <f t="shared" si="17"/>
        <v/>
      </c>
      <c r="AF133" s="53" t="str">
        <f t="shared" si="18"/>
        <v/>
      </c>
      <c r="AG133" s="53" t="str">
        <f t="shared" si="19"/>
        <v/>
      </c>
      <c r="AH133" s="53">
        <f t="shared" si="20"/>
        <v>0</v>
      </c>
      <c r="AI133" s="53">
        <f t="shared" si="21"/>
        <v>0</v>
      </c>
      <c r="AJ133" s="53">
        <f t="shared" si="22"/>
        <v>0</v>
      </c>
      <c r="AK133" s="53">
        <f t="shared" si="23"/>
        <v>0</v>
      </c>
      <c r="AL133" s="53">
        <f t="shared" si="24"/>
        <v>0</v>
      </c>
      <c r="AM133" s="53">
        <f>IF($AA133="",0,IF(INDEX(Fertilisants!$C$8:$C$47,$AA133)="Effluent d'élevage",1,0))</f>
        <v>0</v>
      </c>
      <c r="AN133" s="53" t="str">
        <f>IF($AA133="","",IF(INDEX(Fertilisants!$C$8:$C$47,$AA133)="Engrais minéral","Minéral","Organique"))</f>
        <v/>
      </c>
      <c r="AO133" s="53" t="str">
        <f t="shared" si="25"/>
        <v/>
      </c>
      <c r="AP133" s="53" t="str">
        <f t="shared" si="26"/>
        <v/>
      </c>
      <c r="AQ133" s="53" t="str">
        <f t="shared" si="27"/>
        <v/>
      </c>
      <c r="AR133" s="53" t="str">
        <f>IF(AND($D133&lt;&gt;"",$D133=FicheIlot),COUNTIF($D$8:$D133,FicheIlot),"")</f>
        <v/>
      </c>
    </row>
    <row r="134" spans="2:44" ht="18.95" customHeight="1" x14ac:dyDescent="0.25">
      <c r="B134" s="42" t="str">
        <f>IF(C134="","",COUNT($C$8:C134))</f>
        <v/>
      </c>
      <c r="C134" s="43"/>
      <c r="D134" s="44"/>
      <c r="E134" s="45" t="str">
        <f>IF($Z134="","",IF($F134=ApportCouvert,INDEX(Îlots!$I$8:$I$57,$Z134)&amp;"",INDEX(Îlots!$N$8:$N$57,$Z134)&amp;""))</f>
        <v/>
      </c>
      <c r="F134" s="44"/>
      <c r="G134" s="44"/>
      <c r="H134" s="46" t="str">
        <f>IF($AA134="","",INDEX(Fertilisants!$D$8:$D$47,$AA134)&amp;"")</f>
        <v/>
      </c>
      <c r="I134" s="47"/>
      <c r="J134" s="48"/>
      <c r="K134" s="46" t="str">
        <f>IF($AA134="","",INDEX(Fertilisants!$E$8:$E$47,$AA134)&amp;"")</f>
        <v/>
      </c>
      <c r="L134" s="49" t="str">
        <f t="shared" si="14"/>
        <v/>
      </c>
      <c r="M134" s="50" t="str">
        <f>IF(OR($J134="",$AA134=""),"",$J134*N(INDEX(Fertilisants!$G$8:$G$47,$AA134)))</f>
        <v/>
      </c>
      <c r="N134" s="50" t="str">
        <f>IF(OR($J134="",$AA134=""),"",$J134*N(INDEX(Fertilisants!$I$8:$I$47,$AA134)))</f>
        <v/>
      </c>
      <c r="O134" s="50" t="str">
        <f>IF(OR($J134="",$AA134=""),"",$J134*N(INDEX(Fertilisants!$J$8:$J$47,$AA134)))</f>
        <v/>
      </c>
      <c r="P134" s="50" t="str">
        <f>IF(OR($J134="",$AA134=""),"",$J134*N(INDEX(Fertilisants!$K$8:$K$47,$AA134)))</f>
        <v/>
      </c>
      <c r="Q134" s="50" t="str">
        <f t="shared" si="15"/>
        <v/>
      </c>
      <c r="R134" s="44"/>
      <c r="S134" s="44"/>
      <c r="T134" s="51"/>
      <c r="U134" s="44"/>
      <c r="V134" s="43"/>
      <c r="W134" s="52" t="str">
        <f t="shared" si="16"/>
        <v/>
      </c>
      <c r="X134" s="44"/>
      <c r="Z134" s="53" t="str">
        <f>IF($D134="","",IFERROR(MATCH($D134,Îlots!$D$8:$D$57,0),""))</f>
        <v/>
      </c>
      <c r="AA134" s="53" t="str">
        <f>IF($G134="","",IFERROR(MATCH($G134,Fertilisants!$B$8:$B$47,0),""))</f>
        <v/>
      </c>
      <c r="AB134" s="53" t="str">
        <f>IF($Z134="","",INDEX(Îlots!$E$8:$E$57,$Z134))</f>
        <v/>
      </c>
      <c r="AC134" s="53" t="str">
        <f>IF($Z134="","",INDEX(Îlots!$G$8:$G$57,$Z134)&amp;"")</f>
        <v/>
      </c>
      <c r="AD134" s="53" t="str">
        <f>IF($Z134="","",IF($F134=ApportCouvert,OccCouvert,INDEX(Îlots!$O$8:$O$57,$Z134)&amp;""))</f>
        <v/>
      </c>
      <c r="AE134" s="53" t="str">
        <f t="shared" si="17"/>
        <v/>
      </c>
      <c r="AF134" s="53" t="str">
        <f t="shared" si="18"/>
        <v/>
      </c>
      <c r="AG134" s="53" t="str">
        <f t="shared" si="19"/>
        <v/>
      </c>
      <c r="AH134" s="53">
        <f t="shared" si="20"/>
        <v>0</v>
      </c>
      <c r="AI134" s="53">
        <f t="shared" si="21"/>
        <v>0</v>
      </c>
      <c r="AJ134" s="53">
        <f t="shared" si="22"/>
        <v>0</v>
      </c>
      <c r="AK134" s="53">
        <f t="shared" si="23"/>
        <v>0</v>
      </c>
      <c r="AL134" s="53">
        <f t="shared" si="24"/>
        <v>0</v>
      </c>
      <c r="AM134" s="53">
        <f>IF($AA134="",0,IF(INDEX(Fertilisants!$C$8:$C$47,$AA134)="Effluent d'élevage",1,0))</f>
        <v>0</v>
      </c>
      <c r="AN134" s="53" t="str">
        <f>IF($AA134="","",IF(INDEX(Fertilisants!$C$8:$C$47,$AA134)="Engrais minéral","Minéral","Organique"))</f>
        <v/>
      </c>
      <c r="AO134" s="53" t="str">
        <f t="shared" si="25"/>
        <v/>
      </c>
      <c r="AP134" s="53" t="str">
        <f t="shared" si="26"/>
        <v/>
      </c>
      <c r="AQ134" s="53" t="str">
        <f t="shared" si="27"/>
        <v/>
      </c>
      <c r="AR134" s="53" t="str">
        <f>IF(AND($D134&lt;&gt;"",$D134=FicheIlot),COUNTIF($D$8:$D134,FicheIlot),"")</f>
        <v/>
      </c>
    </row>
    <row r="135" spans="2:44" ht="18.95" customHeight="1" x14ac:dyDescent="0.25">
      <c r="B135" s="42" t="str">
        <f>IF(C135="","",COUNT($C$8:C135))</f>
        <v/>
      </c>
      <c r="C135" s="43"/>
      <c r="D135" s="44"/>
      <c r="E135" s="45" t="str">
        <f>IF($Z135="","",IF($F135=ApportCouvert,INDEX(Îlots!$I$8:$I$57,$Z135)&amp;"",INDEX(Îlots!$N$8:$N$57,$Z135)&amp;""))</f>
        <v/>
      </c>
      <c r="F135" s="44"/>
      <c r="G135" s="44"/>
      <c r="H135" s="46" t="str">
        <f>IF($AA135="","",INDEX(Fertilisants!$D$8:$D$47,$AA135)&amp;"")</f>
        <v/>
      </c>
      <c r="I135" s="47"/>
      <c r="J135" s="48"/>
      <c r="K135" s="46" t="str">
        <f>IF($AA135="","",INDEX(Fertilisants!$E$8:$E$47,$AA135)&amp;"")</f>
        <v/>
      </c>
      <c r="L135" s="49" t="str">
        <f t="shared" si="14"/>
        <v/>
      </c>
      <c r="M135" s="50" t="str">
        <f>IF(OR($J135="",$AA135=""),"",$J135*N(INDEX(Fertilisants!$G$8:$G$47,$AA135)))</f>
        <v/>
      </c>
      <c r="N135" s="50" t="str">
        <f>IF(OR($J135="",$AA135=""),"",$J135*N(INDEX(Fertilisants!$I$8:$I$47,$AA135)))</f>
        <v/>
      </c>
      <c r="O135" s="50" t="str">
        <f>IF(OR($J135="",$AA135=""),"",$J135*N(INDEX(Fertilisants!$J$8:$J$47,$AA135)))</f>
        <v/>
      </c>
      <c r="P135" s="50" t="str">
        <f>IF(OR($J135="",$AA135=""),"",$J135*N(INDEX(Fertilisants!$K$8:$K$47,$AA135)))</f>
        <v/>
      </c>
      <c r="Q135" s="50" t="str">
        <f t="shared" si="15"/>
        <v/>
      </c>
      <c r="R135" s="44"/>
      <c r="S135" s="44"/>
      <c r="T135" s="51"/>
      <c r="U135" s="44"/>
      <c r="V135" s="43"/>
      <c r="W135" s="52" t="str">
        <f t="shared" si="16"/>
        <v/>
      </c>
      <c r="X135" s="44"/>
      <c r="Z135" s="53" t="str">
        <f>IF($D135="","",IFERROR(MATCH($D135,Îlots!$D$8:$D$57,0),""))</f>
        <v/>
      </c>
      <c r="AA135" s="53" t="str">
        <f>IF($G135="","",IFERROR(MATCH($G135,Fertilisants!$B$8:$B$47,0),""))</f>
        <v/>
      </c>
      <c r="AB135" s="53" t="str">
        <f>IF($Z135="","",INDEX(Îlots!$E$8:$E$57,$Z135))</f>
        <v/>
      </c>
      <c r="AC135" s="53" t="str">
        <f>IF($Z135="","",INDEX(Îlots!$G$8:$G$57,$Z135)&amp;"")</f>
        <v/>
      </c>
      <c r="AD135" s="53" t="str">
        <f>IF($Z135="","",IF($F135=ApportCouvert,OccCouvert,INDEX(Îlots!$O$8:$O$57,$Z135)&amp;""))</f>
        <v/>
      </c>
      <c r="AE135" s="53" t="str">
        <f t="shared" si="17"/>
        <v/>
      </c>
      <c r="AF135" s="53" t="str">
        <f t="shared" si="18"/>
        <v/>
      </c>
      <c r="AG135" s="53" t="str">
        <f t="shared" si="19"/>
        <v/>
      </c>
      <c r="AH135" s="53">
        <f t="shared" si="20"/>
        <v>0</v>
      </c>
      <c r="AI135" s="53">
        <f t="shared" si="21"/>
        <v>0</v>
      </c>
      <c r="AJ135" s="53">
        <f t="shared" si="22"/>
        <v>0</v>
      </c>
      <c r="AK135" s="53">
        <f t="shared" si="23"/>
        <v>0</v>
      </c>
      <c r="AL135" s="53">
        <f t="shared" si="24"/>
        <v>0</v>
      </c>
      <c r="AM135" s="53">
        <f>IF($AA135="",0,IF(INDEX(Fertilisants!$C$8:$C$47,$AA135)="Effluent d'élevage",1,0))</f>
        <v>0</v>
      </c>
      <c r="AN135" s="53" t="str">
        <f>IF($AA135="","",IF(INDEX(Fertilisants!$C$8:$C$47,$AA135)="Engrais minéral","Minéral","Organique"))</f>
        <v/>
      </c>
      <c r="AO135" s="53" t="str">
        <f t="shared" si="25"/>
        <v/>
      </c>
      <c r="AP135" s="53" t="str">
        <f t="shared" si="26"/>
        <v/>
      </c>
      <c r="AQ135" s="53" t="str">
        <f t="shared" si="27"/>
        <v/>
      </c>
      <c r="AR135" s="53" t="str">
        <f>IF(AND($D135&lt;&gt;"",$D135=FicheIlot),COUNTIF($D$8:$D135,FicheIlot),"")</f>
        <v/>
      </c>
    </row>
    <row r="136" spans="2:44" ht="18.95" customHeight="1" x14ac:dyDescent="0.25">
      <c r="B136" s="42" t="str">
        <f>IF(C136="","",COUNT($C$8:C136))</f>
        <v/>
      </c>
      <c r="C136" s="43"/>
      <c r="D136" s="44"/>
      <c r="E136" s="45" t="str">
        <f>IF($Z136="","",IF($F136=ApportCouvert,INDEX(Îlots!$I$8:$I$57,$Z136)&amp;"",INDEX(Îlots!$N$8:$N$57,$Z136)&amp;""))</f>
        <v/>
      </c>
      <c r="F136" s="44"/>
      <c r="G136" s="44"/>
      <c r="H136" s="46" t="str">
        <f>IF($AA136="","",INDEX(Fertilisants!$D$8:$D$47,$AA136)&amp;"")</f>
        <v/>
      </c>
      <c r="I136" s="47"/>
      <c r="J136" s="48"/>
      <c r="K136" s="46" t="str">
        <f>IF($AA136="","",INDEX(Fertilisants!$E$8:$E$47,$AA136)&amp;"")</f>
        <v/>
      </c>
      <c r="L136" s="49" t="str">
        <f t="shared" ref="L136:L199" si="28">IF(OR($I136="",$J136=""),"",$I136*$J136)</f>
        <v/>
      </c>
      <c r="M136" s="50" t="str">
        <f>IF(OR($J136="",$AA136=""),"",$J136*N(INDEX(Fertilisants!$G$8:$G$47,$AA136)))</f>
        <v/>
      </c>
      <c r="N136" s="50" t="str">
        <f>IF(OR($J136="",$AA136=""),"",$J136*N(INDEX(Fertilisants!$I$8:$I$47,$AA136)))</f>
        <v/>
      </c>
      <c r="O136" s="50" t="str">
        <f>IF(OR($J136="",$AA136=""),"",$J136*N(INDEX(Fertilisants!$J$8:$J$47,$AA136)))</f>
        <v/>
      </c>
      <c r="P136" s="50" t="str">
        <f>IF(OR($J136="",$AA136=""),"",$J136*N(INDEX(Fertilisants!$K$8:$K$47,$AA136)))</f>
        <v/>
      </c>
      <c r="Q136" s="50" t="str">
        <f t="shared" ref="Q136:Q199" si="29">IF(OR($I136="",$M136=""),"",$I136*$M136)</f>
        <v/>
      </c>
      <c r="R136" s="44"/>
      <c r="S136" s="44"/>
      <c r="T136" s="51"/>
      <c r="U136" s="44"/>
      <c r="V136" s="43"/>
      <c r="W136" s="52" t="str">
        <f t="shared" ref="W136:W199" si="30">IF($C136="","",IF(OR($D136="",$G136="",$I136="",$J136=""),"Incomplet",IF(OR($R136="Enneigé",$R136="Détrempé",$R136="Inondé",AND($R136="Gelé",$H136&lt;&gt;"Type 0",$H136&lt;&gt;"Type Ia")),"Sol interdit",IF($AL136=1,"Période interdite",IF(AND(ISNUMBER($AB136),$I136&gt;$AB136+0.001),"Surface &gt; îlot",IF(OR($C136&lt;DebutCampagne,$C136&gt;FinCampagne),"Hors campagne",IF(AND(ISNUMBER($V136),$V136-$C136&gt;DelaiSaisie),"Saisie tardive","Conforme")))))))</f>
        <v/>
      </c>
      <c r="X136" s="44"/>
      <c r="Z136" s="53" t="str">
        <f>IF($D136="","",IFERROR(MATCH($D136,Îlots!$D$8:$D$57,0),""))</f>
        <v/>
      </c>
      <c r="AA136" s="53" t="str">
        <f>IF($G136="","",IFERROR(MATCH($G136,Fertilisants!$B$8:$B$47,0),""))</f>
        <v/>
      </c>
      <c r="AB136" s="53" t="str">
        <f>IF($Z136="","",INDEX(Îlots!$E$8:$E$57,$Z136))</f>
        <v/>
      </c>
      <c r="AC136" s="53" t="str">
        <f>IF($Z136="","",INDEX(Îlots!$G$8:$G$57,$Z136)&amp;"")</f>
        <v/>
      </c>
      <c r="AD136" s="53" t="str">
        <f>IF($Z136="","",IF($F136=ApportCouvert,OccCouvert,INDEX(Îlots!$O$8:$O$57,$Z136)&amp;""))</f>
        <v/>
      </c>
      <c r="AE136" s="53" t="str">
        <f t="shared" ref="AE136:AE199" si="31">IF(OR($AD136="",$AC136="Non",ZoneVulnerable="Non"),"",IFERROR(MATCH($AD136,CalOccupations,0),""))</f>
        <v/>
      </c>
      <c r="AF136" s="53" t="str">
        <f t="shared" ref="AF136:AF199" si="32">IF($H136="","",IFERROR(MATCH($H136,CalTypes,0),""))</f>
        <v/>
      </c>
      <c r="AG136" s="53" t="str">
        <f t="shared" ref="AG136:AG199" si="33">IF(ISNUMBER($C136),MONTH($C136)*100+DAY($C136),"")</f>
        <v/>
      </c>
      <c r="AH136" s="53">
        <f t="shared" ref="AH136:AH199" si="34">IF(OR($AE136="",$AF136=""),0,IF(N(INDEX(CalPrincipal,$AE136,$AF136+0))=0,0,MONTH(INDEX(CalPrincipal,$AE136,$AF136+0))*100+DAY(INDEX(CalPrincipal,$AE136,$AF136+0))))</f>
        <v>0</v>
      </c>
      <c r="AI136" s="53">
        <f t="shared" ref="AI136:AI199" si="35">IF(OR($AE136="",$AF136=""),0,IF(N(INDEX(CalPrincipal,$AE136,$AF136+1))=0,0,MONTH(INDEX(CalPrincipal,$AE136,$AF136+1))*100+DAY(INDEX(CalPrincipal,$AE136,$AF136+1))))</f>
        <v>0</v>
      </c>
      <c r="AJ136" s="53">
        <f t="shared" ref="AJ136:AJ199" si="36">IF(OR($AE136="",$AF136=""),0,IF(N(INDEX(CalComplement,$AE136,$AF136+0))=0,0,MONTH(INDEX(CalComplement,$AE136,$AF136+0))*100+DAY(INDEX(CalComplement,$AE136,$AF136+0))))</f>
        <v>0</v>
      </c>
      <c r="AK136" s="53">
        <f t="shared" ref="AK136:AK199" si="37">IF(OR($AE136="",$AF136=""),0,IF(N(INDEX(CalComplement,$AE136,$AF136+1))=0,0,MONTH(INDEX(CalComplement,$AE136,$AF136+1))*100+DAY(INDEX(CalComplement,$AE136,$AF136+1))))</f>
        <v>0</v>
      </c>
      <c r="AL136" s="53">
        <f t="shared" ref="AL136:AL199" si="38">IF(OR($AE136="",$AF136="",$AG136=""),0,IF(OR(AND($AH136&gt;0,IF($AH136&lt;=$AI136,AND($AG136&gt;=$AH136,$AG136&lt;=$AI136),OR($AG136&gt;=$AH136,$AG136&lt;=$AI136))),AND($AJ136&gt;0,IF($AJ136&lt;=$AK136,AND($AG136&gt;=$AJ136,$AG136&lt;=$AK136),OR($AG136&gt;=$AJ136,$AG136&lt;=$AK136)))),1,0))</f>
        <v>0</v>
      </c>
      <c r="AM136" s="53">
        <f>IF($AA136="",0,IF(INDEX(Fertilisants!$C$8:$C$47,$AA136)="Effluent d'élevage",1,0))</f>
        <v>0</v>
      </c>
      <c r="AN136" s="53" t="str">
        <f>IF($AA136="","",IF(INDEX(Fertilisants!$C$8:$C$47,$AA136)="Engrais minéral","Minéral","Organique"))</f>
        <v/>
      </c>
      <c r="AO136" s="53" t="str">
        <f t="shared" ref="AO136:AO199" si="39">IF(OR($I136="",$N136=""),"",$I136*$N136)</f>
        <v/>
      </c>
      <c r="AP136" s="53" t="str">
        <f t="shared" ref="AP136:AP199" si="40">IF(OR($I136="",$O136=""),"",$I136*$O136)</f>
        <v/>
      </c>
      <c r="AQ136" s="53" t="str">
        <f t="shared" ref="AQ136:AQ199" si="41">IF(OR($I136="",$P136=""),"",$I136*$P136)</f>
        <v/>
      </c>
      <c r="AR136" s="53" t="str">
        <f>IF(AND($D136&lt;&gt;"",$D136=FicheIlot),COUNTIF($D$8:$D136,FicheIlot),"")</f>
        <v/>
      </c>
    </row>
    <row r="137" spans="2:44" ht="18.95" customHeight="1" x14ac:dyDescent="0.25">
      <c r="B137" s="42" t="str">
        <f>IF(C137="","",COUNT($C$8:C137))</f>
        <v/>
      </c>
      <c r="C137" s="43"/>
      <c r="D137" s="44"/>
      <c r="E137" s="45" t="str">
        <f>IF($Z137="","",IF($F137=ApportCouvert,INDEX(Îlots!$I$8:$I$57,$Z137)&amp;"",INDEX(Îlots!$N$8:$N$57,$Z137)&amp;""))</f>
        <v/>
      </c>
      <c r="F137" s="44"/>
      <c r="G137" s="44"/>
      <c r="H137" s="46" t="str">
        <f>IF($AA137="","",INDEX(Fertilisants!$D$8:$D$47,$AA137)&amp;"")</f>
        <v/>
      </c>
      <c r="I137" s="47"/>
      <c r="J137" s="48"/>
      <c r="K137" s="46" t="str">
        <f>IF($AA137="","",INDEX(Fertilisants!$E$8:$E$47,$AA137)&amp;"")</f>
        <v/>
      </c>
      <c r="L137" s="49" t="str">
        <f t="shared" si="28"/>
        <v/>
      </c>
      <c r="M137" s="50" t="str">
        <f>IF(OR($J137="",$AA137=""),"",$J137*N(INDEX(Fertilisants!$G$8:$G$47,$AA137)))</f>
        <v/>
      </c>
      <c r="N137" s="50" t="str">
        <f>IF(OR($J137="",$AA137=""),"",$J137*N(INDEX(Fertilisants!$I$8:$I$47,$AA137)))</f>
        <v/>
      </c>
      <c r="O137" s="50" t="str">
        <f>IF(OR($J137="",$AA137=""),"",$J137*N(INDEX(Fertilisants!$J$8:$J$47,$AA137)))</f>
        <v/>
      </c>
      <c r="P137" s="50" t="str">
        <f>IF(OR($J137="",$AA137=""),"",$J137*N(INDEX(Fertilisants!$K$8:$K$47,$AA137)))</f>
        <v/>
      </c>
      <c r="Q137" s="50" t="str">
        <f t="shared" si="29"/>
        <v/>
      </c>
      <c r="R137" s="44"/>
      <c r="S137" s="44"/>
      <c r="T137" s="51"/>
      <c r="U137" s="44"/>
      <c r="V137" s="43"/>
      <c r="W137" s="52" t="str">
        <f t="shared" si="30"/>
        <v/>
      </c>
      <c r="X137" s="44"/>
      <c r="Z137" s="53" t="str">
        <f>IF($D137="","",IFERROR(MATCH($D137,Îlots!$D$8:$D$57,0),""))</f>
        <v/>
      </c>
      <c r="AA137" s="53" t="str">
        <f>IF($G137="","",IFERROR(MATCH($G137,Fertilisants!$B$8:$B$47,0),""))</f>
        <v/>
      </c>
      <c r="AB137" s="53" t="str">
        <f>IF($Z137="","",INDEX(Îlots!$E$8:$E$57,$Z137))</f>
        <v/>
      </c>
      <c r="AC137" s="53" t="str">
        <f>IF($Z137="","",INDEX(Îlots!$G$8:$G$57,$Z137)&amp;"")</f>
        <v/>
      </c>
      <c r="AD137" s="53" t="str">
        <f>IF($Z137="","",IF($F137=ApportCouvert,OccCouvert,INDEX(Îlots!$O$8:$O$57,$Z137)&amp;""))</f>
        <v/>
      </c>
      <c r="AE137" s="53" t="str">
        <f t="shared" si="31"/>
        <v/>
      </c>
      <c r="AF137" s="53" t="str">
        <f t="shared" si="32"/>
        <v/>
      </c>
      <c r="AG137" s="53" t="str">
        <f t="shared" si="33"/>
        <v/>
      </c>
      <c r="AH137" s="53">
        <f t="shared" si="34"/>
        <v>0</v>
      </c>
      <c r="AI137" s="53">
        <f t="shared" si="35"/>
        <v>0</v>
      </c>
      <c r="AJ137" s="53">
        <f t="shared" si="36"/>
        <v>0</v>
      </c>
      <c r="AK137" s="53">
        <f t="shared" si="37"/>
        <v>0</v>
      </c>
      <c r="AL137" s="53">
        <f t="shared" si="38"/>
        <v>0</v>
      </c>
      <c r="AM137" s="53">
        <f>IF($AA137="",0,IF(INDEX(Fertilisants!$C$8:$C$47,$AA137)="Effluent d'élevage",1,0))</f>
        <v>0</v>
      </c>
      <c r="AN137" s="53" t="str">
        <f>IF($AA137="","",IF(INDEX(Fertilisants!$C$8:$C$47,$AA137)="Engrais minéral","Minéral","Organique"))</f>
        <v/>
      </c>
      <c r="AO137" s="53" t="str">
        <f t="shared" si="39"/>
        <v/>
      </c>
      <c r="AP137" s="53" t="str">
        <f t="shared" si="40"/>
        <v/>
      </c>
      <c r="AQ137" s="53" t="str">
        <f t="shared" si="41"/>
        <v/>
      </c>
      <c r="AR137" s="53" t="str">
        <f>IF(AND($D137&lt;&gt;"",$D137=FicheIlot),COUNTIF($D$8:$D137,FicheIlot),"")</f>
        <v/>
      </c>
    </row>
    <row r="138" spans="2:44" ht="18.95" customHeight="1" x14ac:dyDescent="0.25">
      <c r="B138" s="42" t="str">
        <f>IF(C138="","",COUNT($C$8:C138))</f>
        <v/>
      </c>
      <c r="C138" s="43"/>
      <c r="D138" s="44"/>
      <c r="E138" s="45" t="str">
        <f>IF($Z138="","",IF($F138=ApportCouvert,INDEX(Îlots!$I$8:$I$57,$Z138)&amp;"",INDEX(Îlots!$N$8:$N$57,$Z138)&amp;""))</f>
        <v/>
      </c>
      <c r="F138" s="44"/>
      <c r="G138" s="44"/>
      <c r="H138" s="46" t="str">
        <f>IF($AA138="","",INDEX(Fertilisants!$D$8:$D$47,$AA138)&amp;"")</f>
        <v/>
      </c>
      <c r="I138" s="47"/>
      <c r="J138" s="48"/>
      <c r="K138" s="46" t="str">
        <f>IF($AA138="","",INDEX(Fertilisants!$E$8:$E$47,$AA138)&amp;"")</f>
        <v/>
      </c>
      <c r="L138" s="49" t="str">
        <f t="shared" si="28"/>
        <v/>
      </c>
      <c r="M138" s="50" t="str">
        <f>IF(OR($J138="",$AA138=""),"",$J138*N(INDEX(Fertilisants!$G$8:$G$47,$AA138)))</f>
        <v/>
      </c>
      <c r="N138" s="50" t="str">
        <f>IF(OR($J138="",$AA138=""),"",$J138*N(INDEX(Fertilisants!$I$8:$I$47,$AA138)))</f>
        <v/>
      </c>
      <c r="O138" s="50" t="str">
        <f>IF(OR($J138="",$AA138=""),"",$J138*N(INDEX(Fertilisants!$J$8:$J$47,$AA138)))</f>
        <v/>
      </c>
      <c r="P138" s="50" t="str">
        <f>IF(OR($J138="",$AA138=""),"",$J138*N(INDEX(Fertilisants!$K$8:$K$47,$AA138)))</f>
        <v/>
      </c>
      <c r="Q138" s="50" t="str">
        <f t="shared" si="29"/>
        <v/>
      </c>
      <c r="R138" s="44"/>
      <c r="S138" s="44"/>
      <c r="T138" s="51"/>
      <c r="U138" s="44"/>
      <c r="V138" s="43"/>
      <c r="W138" s="52" t="str">
        <f t="shared" si="30"/>
        <v/>
      </c>
      <c r="X138" s="44"/>
      <c r="Z138" s="53" t="str">
        <f>IF($D138="","",IFERROR(MATCH($D138,Îlots!$D$8:$D$57,0),""))</f>
        <v/>
      </c>
      <c r="AA138" s="53" t="str">
        <f>IF($G138="","",IFERROR(MATCH($G138,Fertilisants!$B$8:$B$47,0),""))</f>
        <v/>
      </c>
      <c r="AB138" s="53" t="str">
        <f>IF($Z138="","",INDEX(Îlots!$E$8:$E$57,$Z138))</f>
        <v/>
      </c>
      <c r="AC138" s="53" t="str">
        <f>IF($Z138="","",INDEX(Îlots!$G$8:$G$57,$Z138)&amp;"")</f>
        <v/>
      </c>
      <c r="AD138" s="53" t="str">
        <f>IF($Z138="","",IF($F138=ApportCouvert,OccCouvert,INDEX(Îlots!$O$8:$O$57,$Z138)&amp;""))</f>
        <v/>
      </c>
      <c r="AE138" s="53" t="str">
        <f t="shared" si="31"/>
        <v/>
      </c>
      <c r="AF138" s="53" t="str">
        <f t="shared" si="32"/>
        <v/>
      </c>
      <c r="AG138" s="53" t="str">
        <f t="shared" si="33"/>
        <v/>
      </c>
      <c r="AH138" s="53">
        <f t="shared" si="34"/>
        <v>0</v>
      </c>
      <c r="AI138" s="53">
        <f t="shared" si="35"/>
        <v>0</v>
      </c>
      <c r="AJ138" s="53">
        <f t="shared" si="36"/>
        <v>0</v>
      </c>
      <c r="AK138" s="53">
        <f t="shared" si="37"/>
        <v>0</v>
      </c>
      <c r="AL138" s="53">
        <f t="shared" si="38"/>
        <v>0</v>
      </c>
      <c r="AM138" s="53">
        <f>IF($AA138="",0,IF(INDEX(Fertilisants!$C$8:$C$47,$AA138)="Effluent d'élevage",1,0))</f>
        <v>0</v>
      </c>
      <c r="AN138" s="53" t="str">
        <f>IF($AA138="","",IF(INDEX(Fertilisants!$C$8:$C$47,$AA138)="Engrais minéral","Minéral","Organique"))</f>
        <v/>
      </c>
      <c r="AO138" s="53" t="str">
        <f t="shared" si="39"/>
        <v/>
      </c>
      <c r="AP138" s="53" t="str">
        <f t="shared" si="40"/>
        <v/>
      </c>
      <c r="AQ138" s="53" t="str">
        <f t="shared" si="41"/>
        <v/>
      </c>
      <c r="AR138" s="53" t="str">
        <f>IF(AND($D138&lt;&gt;"",$D138=FicheIlot),COUNTIF($D$8:$D138,FicheIlot),"")</f>
        <v/>
      </c>
    </row>
    <row r="139" spans="2:44" ht="18.95" customHeight="1" x14ac:dyDescent="0.25">
      <c r="B139" s="42" t="str">
        <f>IF(C139="","",COUNT($C$8:C139))</f>
        <v/>
      </c>
      <c r="C139" s="43"/>
      <c r="D139" s="44"/>
      <c r="E139" s="45" t="str">
        <f>IF($Z139="","",IF($F139=ApportCouvert,INDEX(Îlots!$I$8:$I$57,$Z139)&amp;"",INDEX(Îlots!$N$8:$N$57,$Z139)&amp;""))</f>
        <v/>
      </c>
      <c r="F139" s="44"/>
      <c r="G139" s="44"/>
      <c r="H139" s="46" t="str">
        <f>IF($AA139="","",INDEX(Fertilisants!$D$8:$D$47,$AA139)&amp;"")</f>
        <v/>
      </c>
      <c r="I139" s="47"/>
      <c r="J139" s="48"/>
      <c r="K139" s="46" t="str">
        <f>IF($AA139="","",INDEX(Fertilisants!$E$8:$E$47,$AA139)&amp;"")</f>
        <v/>
      </c>
      <c r="L139" s="49" t="str">
        <f t="shared" si="28"/>
        <v/>
      </c>
      <c r="M139" s="50" t="str">
        <f>IF(OR($J139="",$AA139=""),"",$J139*N(INDEX(Fertilisants!$G$8:$G$47,$AA139)))</f>
        <v/>
      </c>
      <c r="N139" s="50" t="str">
        <f>IF(OR($J139="",$AA139=""),"",$J139*N(INDEX(Fertilisants!$I$8:$I$47,$AA139)))</f>
        <v/>
      </c>
      <c r="O139" s="50" t="str">
        <f>IF(OR($J139="",$AA139=""),"",$J139*N(INDEX(Fertilisants!$J$8:$J$47,$AA139)))</f>
        <v/>
      </c>
      <c r="P139" s="50" t="str">
        <f>IF(OR($J139="",$AA139=""),"",$J139*N(INDEX(Fertilisants!$K$8:$K$47,$AA139)))</f>
        <v/>
      </c>
      <c r="Q139" s="50" t="str">
        <f t="shared" si="29"/>
        <v/>
      </c>
      <c r="R139" s="44"/>
      <c r="S139" s="44"/>
      <c r="T139" s="51"/>
      <c r="U139" s="44"/>
      <c r="V139" s="43"/>
      <c r="W139" s="52" t="str">
        <f t="shared" si="30"/>
        <v/>
      </c>
      <c r="X139" s="44"/>
      <c r="Z139" s="53" t="str">
        <f>IF($D139="","",IFERROR(MATCH($D139,Îlots!$D$8:$D$57,0),""))</f>
        <v/>
      </c>
      <c r="AA139" s="53" t="str">
        <f>IF($G139="","",IFERROR(MATCH($G139,Fertilisants!$B$8:$B$47,0),""))</f>
        <v/>
      </c>
      <c r="AB139" s="53" t="str">
        <f>IF($Z139="","",INDEX(Îlots!$E$8:$E$57,$Z139))</f>
        <v/>
      </c>
      <c r="AC139" s="53" t="str">
        <f>IF($Z139="","",INDEX(Îlots!$G$8:$G$57,$Z139)&amp;"")</f>
        <v/>
      </c>
      <c r="AD139" s="53" t="str">
        <f>IF($Z139="","",IF($F139=ApportCouvert,OccCouvert,INDEX(Îlots!$O$8:$O$57,$Z139)&amp;""))</f>
        <v/>
      </c>
      <c r="AE139" s="53" t="str">
        <f t="shared" si="31"/>
        <v/>
      </c>
      <c r="AF139" s="53" t="str">
        <f t="shared" si="32"/>
        <v/>
      </c>
      <c r="AG139" s="53" t="str">
        <f t="shared" si="33"/>
        <v/>
      </c>
      <c r="AH139" s="53">
        <f t="shared" si="34"/>
        <v>0</v>
      </c>
      <c r="AI139" s="53">
        <f t="shared" si="35"/>
        <v>0</v>
      </c>
      <c r="AJ139" s="53">
        <f t="shared" si="36"/>
        <v>0</v>
      </c>
      <c r="AK139" s="53">
        <f t="shared" si="37"/>
        <v>0</v>
      </c>
      <c r="AL139" s="53">
        <f t="shared" si="38"/>
        <v>0</v>
      </c>
      <c r="AM139" s="53">
        <f>IF($AA139="",0,IF(INDEX(Fertilisants!$C$8:$C$47,$AA139)="Effluent d'élevage",1,0))</f>
        <v>0</v>
      </c>
      <c r="AN139" s="53" t="str">
        <f>IF($AA139="","",IF(INDEX(Fertilisants!$C$8:$C$47,$AA139)="Engrais minéral","Minéral","Organique"))</f>
        <v/>
      </c>
      <c r="AO139" s="53" t="str">
        <f t="shared" si="39"/>
        <v/>
      </c>
      <c r="AP139" s="53" t="str">
        <f t="shared" si="40"/>
        <v/>
      </c>
      <c r="AQ139" s="53" t="str">
        <f t="shared" si="41"/>
        <v/>
      </c>
      <c r="AR139" s="53" t="str">
        <f>IF(AND($D139&lt;&gt;"",$D139=FicheIlot),COUNTIF($D$8:$D139,FicheIlot),"")</f>
        <v/>
      </c>
    </row>
    <row r="140" spans="2:44" ht="18.95" customHeight="1" x14ac:dyDescent="0.25">
      <c r="B140" s="42" t="str">
        <f>IF(C140="","",COUNT($C$8:C140))</f>
        <v/>
      </c>
      <c r="C140" s="43"/>
      <c r="D140" s="44"/>
      <c r="E140" s="45" t="str">
        <f>IF($Z140="","",IF($F140=ApportCouvert,INDEX(Îlots!$I$8:$I$57,$Z140)&amp;"",INDEX(Îlots!$N$8:$N$57,$Z140)&amp;""))</f>
        <v/>
      </c>
      <c r="F140" s="44"/>
      <c r="G140" s="44"/>
      <c r="H140" s="46" t="str">
        <f>IF($AA140="","",INDEX(Fertilisants!$D$8:$D$47,$AA140)&amp;"")</f>
        <v/>
      </c>
      <c r="I140" s="47"/>
      <c r="J140" s="48"/>
      <c r="K140" s="46" t="str">
        <f>IF($AA140="","",INDEX(Fertilisants!$E$8:$E$47,$AA140)&amp;"")</f>
        <v/>
      </c>
      <c r="L140" s="49" t="str">
        <f t="shared" si="28"/>
        <v/>
      </c>
      <c r="M140" s="50" t="str">
        <f>IF(OR($J140="",$AA140=""),"",$J140*N(INDEX(Fertilisants!$G$8:$G$47,$AA140)))</f>
        <v/>
      </c>
      <c r="N140" s="50" t="str">
        <f>IF(OR($J140="",$AA140=""),"",$J140*N(INDEX(Fertilisants!$I$8:$I$47,$AA140)))</f>
        <v/>
      </c>
      <c r="O140" s="50" t="str">
        <f>IF(OR($J140="",$AA140=""),"",$J140*N(INDEX(Fertilisants!$J$8:$J$47,$AA140)))</f>
        <v/>
      </c>
      <c r="P140" s="50" t="str">
        <f>IF(OR($J140="",$AA140=""),"",$J140*N(INDEX(Fertilisants!$K$8:$K$47,$AA140)))</f>
        <v/>
      </c>
      <c r="Q140" s="50" t="str">
        <f t="shared" si="29"/>
        <v/>
      </c>
      <c r="R140" s="44"/>
      <c r="S140" s="44"/>
      <c r="T140" s="51"/>
      <c r="U140" s="44"/>
      <c r="V140" s="43"/>
      <c r="W140" s="52" t="str">
        <f t="shared" si="30"/>
        <v/>
      </c>
      <c r="X140" s="44"/>
      <c r="Z140" s="53" t="str">
        <f>IF($D140="","",IFERROR(MATCH($D140,Îlots!$D$8:$D$57,0),""))</f>
        <v/>
      </c>
      <c r="AA140" s="53" t="str">
        <f>IF($G140="","",IFERROR(MATCH($G140,Fertilisants!$B$8:$B$47,0),""))</f>
        <v/>
      </c>
      <c r="AB140" s="53" t="str">
        <f>IF($Z140="","",INDEX(Îlots!$E$8:$E$57,$Z140))</f>
        <v/>
      </c>
      <c r="AC140" s="53" t="str">
        <f>IF($Z140="","",INDEX(Îlots!$G$8:$G$57,$Z140)&amp;"")</f>
        <v/>
      </c>
      <c r="AD140" s="53" t="str">
        <f>IF($Z140="","",IF($F140=ApportCouvert,OccCouvert,INDEX(Îlots!$O$8:$O$57,$Z140)&amp;""))</f>
        <v/>
      </c>
      <c r="AE140" s="53" t="str">
        <f t="shared" si="31"/>
        <v/>
      </c>
      <c r="AF140" s="53" t="str">
        <f t="shared" si="32"/>
        <v/>
      </c>
      <c r="AG140" s="53" t="str">
        <f t="shared" si="33"/>
        <v/>
      </c>
      <c r="AH140" s="53">
        <f t="shared" si="34"/>
        <v>0</v>
      </c>
      <c r="AI140" s="53">
        <f t="shared" si="35"/>
        <v>0</v>
      </c>
      <c r="AJ140" s="53">
        <f t="shared" si="36"/>
        <v>0</v>
      </c>
      <c r="AK140" s="53">
        <f t="shared" si="37"/>
        <v>0</v>
      </c>
      <c r="AL140" s="53">
        <f t="shared" si="38"/>
        <v>0</v>
      </c>
      <c r="AM140" s="53">
        <f>IF($AA140="",0,IF(INDEX(Fertilisants!$C$8:$C$47,$AA140)="Effluent d'élevage",1,0))</f>
        <v>0</v>
      </c>
      <c r="AN140" s="53" t="str">
        <f>IF($AA140="","",IF(INDEX(Fertilisants!$C$8:$C$47,$AA140)="Engrais minéral","Minéral","Organique"))</f>
        <v/>
      </c>
      <c r="AO140" s="53" t="str">
        <f t="shared" si="39"/>
        <v/>
      </c>
      <c r="AP140" s="53" t="str">
        <f t="shared" si="40"/>
        <v/>
      </c>
      <c r="AQ140" s="53" t="str">
        <f t="shared" si="41"/>
        <v/>
      </c>
      <c r="AR140" s="53" t="str">
        <f>IF(AND($D140&lt;&gt;"",$D140=FicheIlot),COUNTIF($D$8:$D140,FicheIlot),"")</f>
        <v/>
      </c>
    </row>
    <row r="141" spans="2:44" ht="18.95" customHeight="1" x14ac:dyDescent="0.25">
      <c r="B141" s="42" t="str">
        <f>IF(C141="","",COUNT($C$8:C141))</f>
        <v/>
      </c>
      <c r="C141" s="43"/>
      <c r="D141" s="44"/>
      <c r="E141" s="45" t="str">
        <f>IF($Z141="","",IF($F141=ApportCouvert,INDEX(Îlots!$I$8:$I$57,$Z141)&amp;"",INDEX(Îlots!$N$8:$N$57,$Z141)&amp;""))</f>
        <v/>
      </c>
      <c r="F141" s="44"/>
      <c r="G141" s="44"/>
      <c r="H141" s="46" t="str">
        <f>IF($AA141="","",INDEX(Fertilisants!$D$8:$D$47,$AA141)&amp;"")</f>
        <v/>
      </c>
      <c r="I141" s="47"/>
      <c r="J141" s="48"/>
      <c r="K141" s="46" t="str">
        <f>IF($AA141="","",INDEX(Fertilisants!$E$8:$E$47,$AA141)&amp;"")</f>
        <v/>
      </c>
      <c r="L141" s="49" t="str">
        <f t="shared" si="28"/>
        <v/>
      </c>
      <c r="M141" s="50" t="str">
        <f>IF(OR($J141="",$AA141=""),"",$J141*N(INDEX(Fertilisants!$G$8:$G$47,$AA141)))</f>
        <v/>
      </c>
      <c r="N141" s="50" t="str">
        <f>IF(OR($J141="",$AA141=""),"",$J141*N(INDEX(Fertilisants!$I$8:$I$47,$AA141)))</f>
        <v/>
      </c>
      <c r="O141" s="50" t="str">
        <f>IF(OR($J141="",$AA141=""),"",$J141*N(INDEX(Fertilisants!$J$8:$J$47,$AA141)))</f>
        <v/>
      </c>
      <c r="P141" s="50" t="str">
        <f>IF(OR($J141="",$AA141=""),"",$J141*N(INDEX(Fertilisants!$K$8:$K$47,$AA141)))</f>
        <v/>
      </c>
      <c r="Q141" s="50" t="str">
        <f t="shared" si="29"/>
        <v/>
      </c>
      <c r="R141" s="44"/>
      <c r="S141" s="44"/>
      <c r="T141" s="51"/>
      <c r="U141" s="44"/>
      <c r="V141" s="43"/>
      <c r="W141" s="52" t="str">
        <f t="shared" si="30"/>
        <v/>
      </c>
      <c r="X141" s="44"/>
      <c r="Z141" s="53" t="str">
        <f>IF($D141="","",IFERROR(MATCH($D141,Îlots!$D$8:$D$57,0),""))</f>
        <v/>
      </c>
      <c r="AA141" s="53" t="str">
        <f>IF($G141="","",IFERROR(MATCH($G141,Fertilisants!$B$8:$B$47,0),""))</f>
        <v/>
      </c>
      <c r="AB141" s="53" t="str">
        <f>IF($Z141="","",INDEX(Îlots!$E$8:$E$57,$Z141))</f>
        <v/>
      </c>
      <c r="AC141" s="53" t="str">
        <f>IF($Z141="","",INDEX(Îlots!$G$8:$G$57,$Z141)&amp;"")</f>
        <v/>
      </c>
      <c r="AD141" s="53" t="str">
        <f>IF($Z141="","",IF($F141=ApportCouvert,OccCouvert,INDEX(Îlots!$O$8:$O$57,$Z141)&amp;""))</f>
        <v/>
      </c>
      <c r="AE141" s="53" t="str">
        <f t="shared" si="31"/>
        <v/>
      </c>
      <c r="AF141" s="53" t="str">
        <f t="shared" si="32"/>
        <v/>
      </c>
      <c r="AG141" s="53" t="str">
        <f t="shared" si="33"/>
        <v/>
      </c>
      <c r="AH141" s="53">
        <f t="shared" si="34"/>
        <v>0</v>
      </c>
      <c r="AI141" s="53">
        <f t="shared" si="35"/>
        <v>0</v>
      </c>
      <c r="AJ141" s="53">
        <f t="shared" si="36"/>
        <v>0</v>
      </c>
      <c r="AK141" s="53">
        <f t="shared" si="37"/>
        <v>0</v>
      </c>
      <c r="AL141" s="53">
        <f t="shared" si="38"/>
        <v>0</v>
      </c>
      <c r="AM141" s="53">
        <f>IF($AA141="",0,IF(INDEX(Fertilisants!$C$8:$C$47,$AA141)="Effluent d'élevage",1,0))</f>
        <v>0</v>
      </c>
      <c r="AN141" s="53" t="str">
        <f>IF($AA141="","",IF(INDEX(Fertilisants!$C$8:$C$47,$AA141)="Engrais minéral","Minéral","Organique"))</f>
        <v/>
      </c>
      <c r="AO141" s="53" t="str">
        <f t="shared" si="39"/>
        <v/>
      </c>
      <c r="AP141" s="53" t="str">
        <f t="shared" si="40"/>
        <v/>
      </c>
      <c r="AQ141" s="53" t="str">
        <f t="shared" si="41"/>
        <v/>
      </c>
      <c r="AR141" s="53" t="str">
        <f>IF(AND($D141&lt;&gt;"",$D141=FicheIlot),COUNTIF($D$8:$D141,FicheIlot),"")</f>
        <v/>
      </c>
    </row>
    <row r="142" spans="2:44" ht="18.95" customHeight="1" x14ac:dyDescent="0.25">
      <c r="B142" s="42" t="str">
        <f>IF(C142="","",COUNT($C$8:C142))</f>
        <v/>
      </c>
      <c r="C142" s="43"/>
      <c r="D142" s="44"/>
      <c r="E142" s="45" t="str">
        <f>IF($Z142="","",IF($F142=ApportCouvert,INDEX(Îlots!$I$8:$I$57,$Z142)&amp;"",INDEX(Îlots!$N$8:$N$57,$Z142)&amp;""))</f>
        <v/>
      </c>
      <c r="F142" s="44"/>
      <c r="G142" s="44"/>
      <c r="H142" s="46" t="str">
        <f>IF($AA142="","",INDEX(Fertilisants!$D$8:$D$47,$AA142)&amp;"")</f>
        <v/>
      </c>
      <c r="I142" s="47"/>
      <c r="J142" s="48"/>
      <c r="K142" s="46" t="str">
        <f>IF($AA142="","",INDEX(Fertilisants!$E$8:$E$47,$AA142)&amp;"")</f>
        <v/>
      </c>
      <c r="L142" s="49" t="str">
        <f t="shared" si="28"/>
        <v/>
      </c>
      <c r="M142" s="50" t="str">
        <f>IF(OR($J142="",$AA142=""),"",$J142*N(INDEX(Fertilisants!$G$8:$G$47,$AA142)))</f>
        <v/>
      </c>
      <c r="N142" s="50" t="str">
        <f>IF(OR($J142="",$AA142=""),"",$J142*N(INDEX(Fertilisants!$I$8:$I$47,$AA142)))</f>
        <v/>
      </c>
      <c r="O142" s="50" t="str">
        <f>IF(OR($J142="",$AA142=""),"",$J142*N(INDEX(Fertilisants!$J$8:$J$47,$AA142)))</f>
        <v/>
      </c>
      <c r="P142" s="50" t="str">
        <f>IF(OR($J142="",$AA142=""),"",$J142*N(INDEX(Fertilisants!$K$8:$K$47,$AA142)))</f>
        <v/>
      </c>
      <c r="Q142" s="50" t="str">
        <f t="shared" si="29"/>
        <v/>
      </c>
      <c r="R142" s="44"/>
      <c r="S142" s="44"/>
      <c r="T142" s="51"/>
      <c r="U142" s="44"/>
      <c r="V142" s="43"/>
      <c r="W142" s="52" t="str">
        <f t="shared" si="30"/>
        <v/>
      </c>
      <c r="X142" s="44"/>
      <c r="Z142" s="53" t="str">
        <f>IF($D142="","",IFERROR(MATCH($D142,Îlots!$D$8:$D$57,0),""))</f>
        <v/>
      </c>
      <c r="AA142" s="53" t="str">
        <f>IF($G142="","",IFERROR(MATCH($G142,Fertilisants!$B$8:$B$47,0),""))</f>
        <v/>
      </c>
      <c r="AB142" s="53" t="str">
        <f>IF($Z142="","",INDEX(Îlots!$E$8:$E$57,$Z142))</f>
        <v/>
      </c>
      <c r="AC142" s="53" t="str">
        <f>IF($Z142="","",INDEX(Îlots!$G$8:$G$57,$Z142)&amp;"")</f>
        <v/>
      </c>
      <c r="AD142" s="53" t="str">
        <f>IF($Z142="","",IF($F142=ApportCouvert,OccCouvert,INDEX(Îlots!$O$8:$O$57,$Z142)&amp;""))</f>
        <v/>
      </c>
      <c r="AE142" s="53" t="str">
        <f t="shared" si="31"/>
        <v/>
      </c>
      <c r="AF142" s="53" t="str">
        <f t="shared" si="32"/>
        <v/>
      </c>
      <c r="AG142" s="53" t="str">
        <f t="shared" si="33"/>
        <v/>
      </c>
      <c r="AH142" s="53">
        <f t="shared" si="34"/>
        <v>0</v>
      </c>
      <c r="AI142" s="53">
        <f t="shared" si="35"/>
        <v>0</v>
      </c>
      <c r="AJ142" s="53">
        <f t="shared" si="36"/>
        <v>0</v>
      </c>
      <c r="AK142" s="53">
        <f t="shared" si="37"/>
        <v>0</v>
      </c>
      <c r="AL142" s="53">
        <f t="shared" si="38"/>
        <v>0</v>
      </c>
      <c r="AM142" s="53">
        <f>IF($AA142="",0,IF(INDEX(Fertilisants!$C$8:$C$47,$AA142)="Effluent d'élevage",1,0))</f>
        <v>0</v>
      </c>
      <c r="AN142" s="53" t="str">
        <f>IF($AA142="","",IF(INDEX(Fertilisants!$C$8:$C$47,$AA142)="Engrais minéral","Minéral","Organique"))</f>
        <v/>
      </c>
      <c r="AO142" s="53" t="str">
        <f t="shared" si="39"/>
        <v/>
      </c>
      <c r="AP142" s="53" t="str">
        <f t="shared" si="40"/>
        <v/>
      </c>
      <c r="AQ142" s="53" t="str">
        <f t="shared" si="41"/>
        <v/>
      </c>
      <c r="AR142" s="53" t="str">
        <f>IF(AND($D142&lt;&gt;"",$D142=FicheIlot),COUNTIF($D$8:$D142,FicheIlot),"")</f>
        <v/>
      </c>
    </row>
    <row r="143" spans="2:44" ht="18.95" customHeight="1" x14ac:dyDescent="0.25">
      <c r="B143" s="42" t="str">
        <f>IF(C143="","",COUNT($C$8:C143))</f>
        <v/>
      </c>
      <c r="C143" s="43"/>
      <c r="D143" s="44"/>
      <c r="E143" s="45" t="str">
        <f>IF($Z143="","",IF($F143=ApportCouvert,INDEX(Îlots!$I$8:$I$57,$Z143)&amp;"",INDEX(Îlots!$N$8:$N$57,$Z143)&amp;""))</f>
        <v/>
      </c>
      <c r="F143" s="44"/>
      <c r="G143" s="44"/>
      <c r="H143" s="46" t="str">
        <f>IF($AA143="","",INDEX(Fertilisants!$D$8:$D$47,$AA143)&amp;"")</f>
        <v/>
      </c>
      <c r="I143" s="47"/>
      <c r="J143" s="48"/>
      <c r="K143" s="46" t="str">
        <f>IF($AA143="","",INDEX(Fertilisants!$E$8:$E$47,$AA143)&amp;"")</f>
        <v/>
      </c>
      <c r="L143" s="49" t="str">
        <f t="shared" si="28"/>
        <v/>
      </c>
      <c r="M143" s="50" t="str">
        <f>IF(OR($J143="",$AA143=""),"",$J143*N(INDEX(Fertilisants!$G$8:$G$47,$AA143)))</f>
        <v/>
      </c>
      <c r="N143" s="50" t="str">
        <f>IF(OR($J143="",$AA143=""),"",$J143*N(INDEX(Fertilisants!$I$8:$I$47,$AA143)))</f>
        <v/>
      </c>
      <c r="O143" s="50" t="str">
        <f>IF(OR($J143="",$AA143=""),"",$J143*N(INDEX(Fertilisants!$J$8:$J$47,$AA143)))</f>
        <v/>
      </c>
      <c r="P143" s="50" t="str">
        <f>IF(OR($J143="",$AA143=""),"",$J143*N(INDEX(Fertilisants!$K$8:$K$47,$AA143)))</f>
        <v/>
      </c>
      <c r="Q143" s="50" t="str">
        <f t="shared" si="29"/>
        <v/>
      </c>
      <c r="R143" s="44"/>
      <c r="S143" s="44"/>
      <c r="T143" s="51"/>
      <c r="U143" s="44"/>
      <c r="V143" s="43"/>
      <c r="W143" s="52" t="str">
        <f t="shared" si="30"/>
        <v/>
      </c>
      <c r="X143" s="44"/>
      <c r="Z143" s="53" t="str">
        <f>IF($D143="","",IFERROR(MATCH($D143,Îlots!$D$8:$D$57,0),""))</f>
        <v/>
      </c>
      <c r="AA143" s="53" t="str">
        <f>IF($G143="","",IFERROR(MATCH($G143,Fertilisants!$B$8:$B$47,0),""))</f>
        <v/>
      </c>
      <c r="AB143" s="53" t="str">
        <f>IF($Z143="","",INDEX(Îlots!$E$8:$E$57,$Z143))</f>
        <v/>
      </c>
      <c r="AC143" s="53" t="str">
        <f>IF($Z143="","",INDEX(Îlots!$G$8:$G$57,$Z143)&amp;"")</f>
        <v/>
      </c>
      <c r="AD143" s="53" t="str">
        <f>IF($Z143="","",IF($F143=ApportCouvert,OccCouvert,INDEX(Îlots!$O$8:$O$57,$Z143)&amp;""))</f>
        <v/>
      </c>
      <c r="AE143" s="53" t="str">
        <f t="shared" si="31"/>
        <v/>
      </c>
      <c r="AF143" s="53" t="str">
        <f t="shared" si="32"/>
        <v/>
      </c>
      <c r="AG143" s="53" t="str">
        <f t="shared" si="33"/>
        <v/>
      </c>
      <c r="AH143" s="53">
        <f t="shared" si="34"/>
        <v>0</v>
      </c>
      <c r="AI143" s="53">
        <f t="shared" si="35"/>
        <v>0</v>
      </c>
      <c r="AJ143" s="53">
        <f t="shared" si="36"/>
        <v>0</v>
      </c>
      <c r="AK143" s="53">
        <f t="shared" si="37"/>
        <v>0</v>
      </c>
      <c r="AL143" s="53">
        <f t="shared" si="38"/>
        <v>0</v>
      </c>
      <c r="AM143" s="53">
        <f>IF($AA143="",0,IF(INDEX(Fertilisants!$C$8:$C$47,$AA143)="Effluent d'élevage",1,0))</f>
        <v>0</v>
      </c>
      <c r="AN143" s="53" t="str">
        <f>IF($AA143="","",IF(INDEX(Fertilisants!$C$8:$C$47,$AA143)="Engrais minéral","Minéral","Organique"))</f>
        <v/>
      </c>
      <c r="AO143" s="53" t="str">
        <f t="shared" si="39"/>
        <v/>
      </c>
      <c r="AP143" s="53" t="str">
        <f t="shared" si="40"/>
        <v/>
      </c>
      <c r="AQ143" s="53" t="str">
        <f t="shared" si="41"/>
        <v/>
      </c>
      <c r="AR143" s="53" t="str">
        <f>IF(AND($D143&lt;&gt;"",$D143=FicheIlot),COUNTIF($D$8:$D143,FicheIlot),"")</f>
        <v/>
      </c>
    </row>
    <row r="144" spans="2:44" ht="18.95" customHeight="1" x14ac:dyDescent="0.25">
      <c r="B144" s="42" t="str">
        <f>IF(C144="","",COUNT($C$8:C144))</f>
        <v/>
      </c>
      <c r="C144" s="43"/>
      <c r="D144" s="44"/>
      <c r="E144" s="45" t="str">
        <f>IF($Z144="","",IF($F144=ApportCouvert,INDEX(Îlots!$I$8:$I$57,$Z144)&amp;"",INDEX(Îlots!$N$8:$N$57,$Z144)&amp;""))</f>
        <v/>
      </c>
      <c r="F144" s="44"/>
      <c r="G144" s="44"/>
      <c r="H144" s="46" t="str">
        <f>IF($AA144="","",INDEX(Fertilisants!$D$8:$D$47,$AA144)&amp;"")</f>
        <v/>
      </c>
      <c r="I144" s="47"/>
      <c r="J144" s="48"/>
      <c r="K144" s="46" t="str">
        <f>IF($AA144="","",INDEX(Fertilisants!$E$8:$E$47,$AA144)&amp;"")</f>
        <v/>
      </c>
      <c r="L144" s="49" t="str">
        <f t="shared" si="28"/>
        <v/>
      </c>
      <c r="M144" s="50" t="str">
        <f>IF(OR($J144="",$AA144=""),"",$J144*N(INDEX(Fertilisants!$G$8:$G$47,$AA144)))</f>
        <v/>
      </c>
      <c r="N144" s="50" t="str">
        <f>IF(OR($J144="",$AA144=""),"",$J144*N(INDEX(Fertilisants!$I$8:$I$47,$AA144)))</f>
        <v/>
      </c>
      <c r="O144" s="50" t="str">
        <f>IF(OR($J144="",$AA144=""),"",$J144*N(INDEX(Fertilisants!$J$8:$J$47,$AA144)))</f>
        <v/>
      </c>
      <c r="P144" s="50" t="str">
        <f>IF(OR($J144="",$AA144=""),"",$J144*N(INDEX(Fertilisants!$K$8:$K$47,$AA144)))</f>
        <v/>
      </c>
      <c r="Q144" s="50" t="str">
        <f t="shared" si="29"/>
        <v/>
      </c>
      <c r="R144" s="44"/>
      <c r="S144" s="44"/>
      <c r="T144" s="51"/>
      <c r="U144" s="44"/>
      <c r="V144" s="43"/>
      <c r="W144" s="52" t="str">
        <f t="shared" si="30"/>
        <v/>
      </c>
      <c r="X144" s="44"/>
      <c r="Z144" s="53" t="str">
        <f>IF($D144="","",IFERROR(MATCH($D144,Îlots!$D$8:$D$57,0),""))</f>
        <v/>
      </c>
      <c r="AA144" s="53" t="str">
        <f>IF($G144="","",IFERROR(MATCH($G144,Fertilisants!$B$8:$B$47,0),""))</f>
        <v/>
      </c>
      <c r="AB144" s="53" t="str">
        <f>IF($Z144="","",INDEX(Îlots!$E$8:$E$57,$Z144))</f>
        <v/>
      </c>
      <c r="AC144" s="53" t="str">
        <f>IF($Z144="","",INDEX(Îlots!$G$8:$G$57,$Z144)&amp;"")</f>
        <v/>
      </c>
      <c r="AD144" s="53" t="str">
        <f>IF($Z144="","",IF($F144=ApportCouvert,OccCouvert,INDEX(Îlots!$O$8:$O$57,$Z144)&amp;""))</f>
        <v/>
      </c>
      <c r="AE144" s="53" t="str">
        <f t="shared" si="31"/>
        <v/>
      </c>
      <c r="AF144" s="53" t="str">
        <f t="shared" si="32"/>
        <v/>
      </c>
      <c r="AG144" s="53" t="str">
        <f t="shared" si="33"/>
        <v/>
      </c>
      <c r="AH144" s="53">
        <f t="shared" si="34"/>
        <v>0</v>
      </c>
      <c r="AI144" s="53">
        <f t="shared" si="35"/>
        <v>0</v>
      </c>
      <c r="AJ144" s="53">
        <f t="shared" si="36"/>
        <v>0</v>
      </c>
      <c r="AK144" s="53">
        <f t="shared" si="37"/>
        <v>0</v>
      </c>
      <c r="AL144" s="53">
        <f t="shared" si="38"/>
        <v>0</v>
      </c>
      <c r="AM144" s="53">
        <f>IF($AA144="",0,IF(INDEX(Fertilisants!$C$8:$C$47,$AA144)="Effluent d'élevage",1,0))</f>
        <v>0</v>
      </c>
      <c r="AN144" s="53" t="str">
        <f>IF($AA144="","",IF(INDEX(Fertilisants!$C$8:$C$47,$AA144)="Engrais minéral","Minéral","Organique"))</f>
        <v/>
      </c>
      <c r="AO144" s="53" t="str">
        <f t="shared" si="39"/>
        <v/>
      </c>
      <c r="AP144" s="53" t="str">
        <f t="shared" si="40"/>
        <v/>
      </c>
      <c r="AQ144" s="53" t="str">
        <f t="shared" si="41"/>
        <v/>
      </c>
      <c r="AR144" s="53" t="str">
        <f>IF(AND($D144&lt;&gt;"",$D144=FicheIlot),COUNTIF($D$8:$D144,FicheIlot),"")</f>
        <v/>
      </c>
    </row>
    <row r="145" spans="2:44" ht="18.95" customHeight="1" x14ac:dyDescent="0.25">
      <c r="B145" s="42" t="str">
        <f>IF(C145="","",COUNT($C$8:C145))</f>
        <v/>
      </c>
      <c r="C145" s="43"/>
      <c r="D145" s="44"/>
      <c r="E145" s="45" t="str">
        <f>IF($Z145="","",IF($F145=ApportCouvert,INDEX(Îlots!$I$8:$I$57,$Z145)&amp;"",INDEX(Îlots!$N$8:$N$57,$Z145)&amp;""))</f>
        <v/>
      </c>
      <c r="F145" s="44"/>
      <c r="G145" s="44"/>
      <c r="H145" s="46" t="str">
        <f>IF($AA145="","",INDEX(Fertilisants!$D$8:$D$47,$AA145)&amp;"")</f>
        <v/>
      </c>
      <c r="I145" s="47"/>
      <c r="J145" s="48"/>
      <c r="K145" s="46" t="str">
        <f>IF($AA145="","",INDEX(Fertilisants!$E$8:$E$47,$AA145)&amp;"")</f>
        <v/>
      </c>
      <c r="L145" s="49" t="str">
        <f t="shared" si="28"/>
        <v/>
      </c>
      <c r="M145" s="50" t="str">
        <f>IF(OR($J145="",$AA145=""),"",$J145*N(INDEX(Fertilisants!$G$8:$G$47,$AA145)))</f>
        <v/>
      </c>
      <c r="N145" s="50" t="str">
        <f>IF(OR($J145="",$AA145=""),"",$J145*N(INDEX(Fertilisants!$I$8:$I$47,$AA145)))</f>
        <v/>
      </c>
      <c r="O145" s="50" t="str">
        <f>IF(OR($J145="",$AA145=""),"",$J145*N(INDEX(Fertilisants!$J$8:$J$47,$AA145)))</f>
        <v/>
      </c>
      <c r="P145" s="50" t="str">
        <f>IF(OR($J145="",$AA145=""),"",$J145*N(INDEX(Fertilisants!$K$8:$K$47,$AA145)))</f>
        <v/>
      </c>
      <c r="Q145" s="50" t="str">
        <f t="shared" si="29"/>
        <v/>
      </c>
      <c r="R145" s="44"/>
      <c r="S145" s="44"/>
      <c r="T145" s="51"/>
      <c r="U145" s="44"/>
      <c r="V145" s="43"/>
      <c r="W145" s="52" t="str">
        <f t="shared" si="30"/>
        <v/>
      </c>
      <c r="X145" s="44"/>
      <c r="Z145" s="53" t="str">
        <f>IF($D145="","",IFERROR(MATCH($D145,Îlots!$D$8:$D$57,0),""))</f>
        <v/>
      </c>
      <c r="AA145" s="53" t="str">
        <f>IF($G145="","",IFERROR(MATCH($G145,Fertilisants!$B$8:$B$47,0),""))</f>
        <v/>
      </c>
      <c r="AB145" s="53" t="str">
        <f>IF($Z145="","",INDEX(Îlots!$E$8:$E$57,$Z145))</f>
        <v/>
      </c>
      <c r="AC145" s="53" t="str">
        <f>IF($Z145="","",INDEX(Îlots!$G$8:$G$57,$Z145)&amp;"")</f>
        <v/>
      </c>
      <c r="AD145" s="53" t="str">
        <f>IF($Z145="","",IF($F145=ApportCouvert,OccCouvert,INDEX(Îlots!$O$8:$O$57,$Z145)&amp;""))</f>
        <v/>
      </c>
      <c r="AE145" s="53" t="str">
        <f t="shared" si="31"/>
        <v/>
      </c>
      <c r="AF145" s="53" t="str">
        <f t="shared" si="32"/>
        <v/>
      </c>
      <c r="AG145" s="53" t="str">
        <f t="shared" si="33"/>
        <v/>
      </c>
      <c r="AH145" s="53">
        <f t="shared" si="34"/>
        <v>0</v>
      </c>
      <c r="AI145" s="53">
        <f t="shared" si="35"/>
        <v>0</v>
      </c>
      <c r="AJ145" s="53">
        <f t="shared" si="36"/>
        <v>0</v>
      </c>
      <c r="AK145" s="53">
        <f t="shared" si="37"/>
        <v>0</v>
      </c>
      <c r="AL145" s="53">
        <f t="shared" si="38"/>
        <v>0</v>
      </c>
      <c r="AM145" s="53">
        <f>IF($AA145="",0,IF(INDEX(Fertilisants!$C$8:$C$47,$AA145)="Effluent d'élevage",1,0))</f>
        <v>0</v>
      </c>
      <c r="AN145" s="53" t="str">
        <f>IF($AA145="","",IF(INDEX(Fertilisants!$C$8:$C$47,$AA145)="Engrais minéral","Minéral","Organique"))</f>
        <v/>
      </c>
      <c r="AO145" s="53" t="str">
        <f t="shared" si="39"/>
        <v/>
      </c>
      <c r="AP145" s="53" t="str">
        <f t="shared" si="40"/>
        <v/>
      </c>
      <c r="AQ145" s="53" t="str">
        <f t="shared" si="41"/>
        <v/>
      </c>
      <c r="AR145" s="53" t="str">
        <f>IF(AND($D145&lt;&gt;"",$D145=FicheIlot),COUNTIF($D$8:$D145,FicheIlot),"")</f>
        <v/>
      </c>
    </row>
    <row r="146" spans="2:44" ht="18.95" customHeight="1" x14ac:dyDescent="0.25">
      <c r="B146" s="42" t="str">
        <f>IF(C146="","",COUNT($C$8:C146))</f>
        <v/>
      </c>
      <c r="C146" s="43"/>
      <c r="D146" s="44"/>
      <c r="E146" s="45" t="str">
        <f>IF($Z146="","",IF($F146=ApportCouvert,INDEX(Îlots!$I$8:$I$57,$Z146)&amp;"",INDEX(Îlots!$N$8:$N$57,$Z146)&amp;""))</f>
        <v/>
      </c>
      <c r="F146" s="44"/>
      <c r="G146" s="44"/>
      <c r="H146" s="46" t="str">
        <f>IF($AA146="","",INDEX(Fertilisants!$D$8:$D$47,$AA146)&amp;"")</f>
        <v/>
      </c>
      <c r="I146" s="47"/>
      <c r="J146" s="48"/>
      <c r="K146" s="46" t="str">
        <f>IF($AA146="","",INDEX(Fertilisants!$E$8:$E$47,$AA146)&amp;"")</f>
        <v/>
      </c>
      <c r="L146" s="49" t="str">
        <f t="shared" si="28"/>
        <v/>
      </c>
      <c r="M146" s="50" t="str">
        <f>IF(OR($J146="",$AA146=""),"",$J146*N(INDEX(Fertilisants!$G$8:$G$47,$AA146)))</f>
        <v/>
      </c>
      <c r="N146" s="50" t="str">
        <f>IF(OR($J146="",$AA146=""),"",$J146*N(INDEX(Fertilisants!$I$8:$I$47,$AA146)))</f>
        <v/>
      </c>
      <c r="O146" s="50" t="str">
        <f>IF(OR($J146="",$AA146=""),"",$J146*N(INDEX(Fertilisants!$J$8:$J$47,$AA146)))</f>
        <v/>
      </c>
      <c r="P146" s="50" t="str">
        <f>IF(OR($J146="",$AA146=""),"",$J146*N(INDEX(Fertilisants!$K$8:$K$47,$AA146)))</f>
        <v/>
      </c>
      <c r="Q146" s="50" t="str">
        <f t="shared" si="29"/>
        <v/>
      </c>
      <c r="R146" s="44"/>
      <c r="S146" s="44"/>
      <c r="T146" s="51"/>
      <c r="U146" s="44"/>
      <c r="V146" s="43"/>
      <c r="W146" s="52" t="str">
        <f t="shared" si="30"/>
        <v/>
      </c>
      <c r="X146" s="44"/>
      <c r="Z146" s="53" t="str">
        <f>IF($D146="","",IFERROR(MATCH($D146,Îlots!$D$8:$D$57,0),""))</f>
        <v/>
      </c>
      <c r="AA146" s="53" t="str">
        <f>IF($G146="","",IFERROR(MATCH($G146,Fertilisants!$B$8:$B$47,0),""))</f>
        <v/>
      </c>
      <c r="AB146" s="53" t="str">
        <f>IF($Z146="","",INDEX(Îlots!$E$8:$E$57,$Z146))</f>
        <v/>
      </c>
      <c r="AC146" s="53" t="str">
        <f>IF($Z146="","",INDEX(Îlots!$G$8:$G$57,$Z146)&amp;"")</f>
        <v/>
      </c>
      <c r="AD146" s="53" t="str">
        <f>IF($Z146="","",IF($F146=ApportCouvert,OccCouvert,INDEX(Îlots!$O$8:$O$57,$Z146)&amp;""))</f>
        <v/>
      </c>
      <c r="AE146" s="53" t="str">
        <f t="shared" si="31"/>
        <v/>
      </c>
      <c r="AF146" s="53" t="str">
        <f t="shared" si="32"/>
        <v/>
      </c>
      <c r="AG146" s="53" t="str">
        <f t="shared" si="33"/>
        <v/>
      </c>
      <c r="AH146" s="53">
        <f t="shared" si="34"/>
        <v>0</v>
      </c>
      <c r="AI146" s="53">
        <f t="shared" si="35"/>
        <v>0</v>
      </c>
      <c r="AJ146" s="53">
        <f t="shared" si="36"/>
        <v>0</v>
      </c>
      <c r="AK146" s="53">
        <f t="shared" si="37"/>
        <v>0</v>
      </c>
      <c r="AL146" s="53">
        <f t="shared" si="38"/>
        <v>0</v>
      </c>
      <c r="AM146" s="53">
        <f>IF($AA146="",0,IF(INDEX(Fertilisants!$C$8:$C$47,$AA146)="Effluent d'élevage",1,0))</f>
        <v>0</v>
      </c>
      <c r="AN146" s="53" t="str">
        <f>IF($AA146="","",IF(INDEX(Fertilisants!$C$8:$C$47,$AA146)="Engrais minéral","Minéral","Organique"))</f>
        <v/>
      </c>
      <c r="AO146" s="53" t="str">
        <f t="shared" si="39"/>
        <v/>
      </c>
      <c r="AP146" s="53" t="str">
        <f t="shared" si="40"/>
        <v/>
      </c>
      <c r="AQ146" s="53" t="str">
        <f t="shared" si="41"/>
        <v/>
      </c>
      <c r="AR146" s="53" t="str">
        <f>IF(AND($D146&lt;&gt;"",$D146=FicheIlot),COUNTIF($D$8:$D146,FicheIlot),"")</f>
        <v/>
      </c>
    </row>
    <row r="147" spans="2:44" ht="18.95" customHeight="1" x14ac:dyDescent="0.25">
      <c r="B147" s="42" t="str">
        <f>IF(C147="","",COUNT($C$8:C147))</f>
        <v/>
      </c>
      <c r="C147" s="43"/>
      <c r="D147" s="44"/>
      <c r="E147" s="45" t="str">
        <f>IF($Z147="","",IF($F147=ApportCouvert,INDEX(Îlots!$I$8:$I$57,$Z147)&amp;"",INDEX(Îlots!$N$8:$N$57,$Z147)&amp;""))</f>
        <v/>
      </c>
      <c r="F147" s="44"/>
      <c r="G147" s="44"/>
      <c r="H147" s="46" t="str">
        <f>IF($AA147="","",INDEX(Fertilisants!$D$8:$D$47,$AA147)&amp;"")</f>
        <v/>
      </c>
      <c r="I147" s="47"/>
      <c r="J147" s="48"/>
      <c r="K147" s="46" t="str">
        <f>IF($AA147="","",INDEX(Fertilisants!$E$8:$E$47,$AA147)&amp;"")</f>
        <v/>
      </c>
      <c r="L147" s="49" t="str">
        <f t="shared" si="28"/>
        <v/>
      </c>
      <c r="M147" s="50" t="str">
        <f>IF(OR($J147="",$AA147=""),"",$J147*N(INDEX(Fertilisants!$G$8:$G$47,$AA147)))</f>
        <v/>
      </c>
      <c r="N147" s="50" t="str">
        <f>IF(OR($J147="",$AA147=""),"",$J147*N(INDEX(Fertilisants!$I$8:$I$47,$AA147)))</f>
        <v/>
      </c>
      <c r="O147" s="50" t="str">
        <f>IF(OR($J147="",$AA147=""),"",$J147*N(INDEX(Fertilisants!$J$8:$J$47,$AA147)))</f>
        <v/>
      </c>
      <c r="P147" s="50" t="str">
        <f>IF(OR($J147="",$AA147=""),"",$J147*N(INDEX(Fertilisants!$K$8:$K$47,$AA147)))</f>
        <v/>
      </c>
      <c r="Q147" s="50" t="str">
        <f t="shared" si="29"/>
        <v/>
      </c>
      <c r="R147" s="44"/>
      <c r="S147" s="44"/>
      <c r="T147" s="51"/>
      <c r="U147" s="44"/>
      <c r="V147" s="43"/>
      <c r="W147" s="52" t="str">
        <f t="shared" si="30"/>
        <v/>
      </c>
      <c r="X147" s="44"/>
      <c r="Z147" s="53" t="str">
        <f>IF($D147="","",IFERROR(MATCH($D147,Îlots!$D$8:$D$57,0),""))</f>
        <v/>
      </c>
      <c r="AA147" s="53" t="str">
        <f>IF($G147="","",IFERROR(MATCH($G147,Fertilisants!$B$8:$B$47,0),""))</f>
        <v/>
      </c>
      <c r="AB147" s="53" t="str">
        <f>IF($Z147="","",INDEX(Îlots!$E$8:$E$57,$Z147))</f>
        <v/>
      </c>
      <c r="AC147" s="53" t="str">
        <f>IF($Z147="","",INDEX(Îlots!$G$8:$G$57,$Z147)&amp;"")</f>
        <v/>
      </c>
      <c r="AD147" s="53" t="str">
        <f>IF($Z147="","",IF($F147=ApportCouvert,OccCouvert,INDEX(Îlots!$O$8:$O$57,$Z147)&amp;""))</f>
        <v/>
      </c>
      <c r="AE147" s="53" t="str">
        <f t="shared" si="31"/>
        <v/>
      </c>
      <c r="AF147" s="53" t="str">
        <f t="shared" si="32"/>
        <v/>
      </c>
      <c r="AG147" s="53" t="str">
        <f t="shared" si="33"/>
        <v/>
      </c>
      <c r="AH147" s="53">
        <f t="shared" si="34"/>
        <v>0</v>
      </c>
      <c r="AI147" s="53">
        <f t="shared" si="35"/>
        <v>0</v>
      </c>
      <c r="AJ147" s="53">
        <f t="shared" si="36"/>
        <v>0</v>
      </c>
      <c r="AK147" s="53">
        <f t="shared" si="37"/>
        <v>0</v>
      </c>
      <c r="AL147" s="53">
        <f t="shared" si="38"/>
        <v>0</v>
      </c>
      <c r="AM147" s="53">
        <f>IF($AA147="",0,IF(INDEX(Fertilisants!$C$8:$C$47,$AA147)="Effluent d'élevage",1,0))</f>
        <v>0</v>
      </c>
      <c r="AN147" s="53" t="str">
        <f>IF($AA147="","",IF(INDEX(Fertilisants!$C$8:$C$47,$AA147)="Engrais minéral","Minéral","Organique"))</f>
        <v/>
      </c>
      <c r="AO147" s="53" t="str">
        <f t="shared" si="39"/>
        <v/>
      </c>
      <c r="AP147" s="53" t="str">
        <f t="shared" si="40"/>
        <v/>
      </c>
      <c r="AQ147" s="53" t="str">
        <f t="shared" si="41"/>
        <v/>
      </c>
      <c r="AR147" s="53" t="str">
        <f>IF(AND($D147&lt;&gt;"",$D147=FicheIlot),COUNTIF($D$8:$D147,FicheIlot),"")</f>
        <v/>
      </c>
    </row>
    <row r="148" spans="2:44" ht="18.95" customHeight="1" x14ac:dyDescent="0.25">
      <c r="B148" s="42" t="str">
        <f>IF(C148="","",COUNT($C$8:C148))</f>
        <v/>
      </c>
      <c r="C148" s="43"/>
      <c r="D148" s="44"/>
      <c r="E148" s="45" t="str">
        <f>IF($Z148="","",IF($F148=ApportCouvert,INDEX(Îlots!$I$8:$I$57,$Z148)&amp;"",INDEX(Îlots!$N$8:$N$57,$Z148)&amp;""))</f>
        <v/>
      </c>
      <c r="F148" s="44"/>
      <c r="G148" s="44"/>
      <c r="H148" s="46" t="str">
        <f>IF($AA148="","",INDEX(Fertilisants!$D$8:$D$47,$AA148)&amp;"")</f>
        <v/>
      </c>
      <c r="I148" s="47"/>
      <c r="J148" s="48"/>
      <c r="K148" s="46" t="str">
        <f>IF($AA148="","",INDEX(Fertilisants!$E$8:$E$47,$AA148)&amp;"")</f>
        <v/>
      </c>
      <c r="L148" s="49" t="str">
        <f t="shared" si="28"/>
        <v/>
      </c>
      <c r="M148" s="50" t="str">
        <f>IF(OR($J148="",$AA148=""),"",$J148*N(INDEX(Fertilisants!$G$8:$G$47,$AA148)))</f>
        <v/>
      </c>
      <c r="N148" s="50" t="str">
        <f>IF(OR($J148="",$AA148=""),"",$J148*N(INDEX(Fertilisants!$I$8:$I$47,$AA148)))</f>
        <v/>
      </c>
      <c r="O148" s="50" t="str">
        <f>IF(OR($J148="",$AA148=""),"",$J148*N(INDEX(Fertilisants!$J$8:$J$47,$AA148)))</f>
        <v/>
      </c>
      <c r="P148" s="50" t="str">
        <f>IF(OR($J148="",$AA148=""),"",$J148*N(INDEX(Fertilisants!$K$8:$K$47,$AA148)))</f>
        <v/>
      </c>
      <c r="Q148" s="50" t="str">
        <f t="shared" si="29"/>
        <v/>
      </c>
      <c r="R148" s="44"/>
      <c r="S148" s="44"/>
      <c r="T148" s="51"/>
      <c r="U148" s="44"/>
      <c r="V148" s="43"/>
      <c r="W148" s="52" t="str">
        <f t="shared" si="30"/>
        <v/>
      </c>
      <c r="X148" s="44"/>
      <c r="Z148" s="53" t="str">
        <f>IF($D148="","",IFERROR(MATCH($D148,Îlots!$D$8:$D$57,0),""))</f>
        <v/>
      </c>
      <c r="AA148" s="53" t="str">
        <f>IF($G148="","",IFERROR(MATCH($G148,Fertilisants!$B$8:$B$47,0),""))</f>
        <v/>
      </c>
      <c r="AB148" s="53" t="str">
        <f>IF($Z148="","",INDEX(Îlots!$E$8:$E$57,$Z148))</f>
        <v/>
      </c>
      <c r="AC148" s="53" t="str">
        <f>IF($Z148="","",INDEX(Îlots!$G$8:$G$57,$Z148)&amp;"")</f>
        <v/>
      </c>
      <c r="AD148" s="53" t="str">
        <f>IF($Z148="","",IF($F148=ApportCouvert,OccCouvert,INDEX(Îlots!$O$8:$O$57,$Z148)&amp;""))</f>
        <v/>
      </c>
      <c r="AE148" s="53" t="str">
        <f t="shared" si="31"/>
        <v/>
      </c>
      <c r="AF148" s="53" t="str">
        <f t="shared" si="32"/>
        <v/>
      </c>
      <c r="AG148" s="53" t="str">
        <f t="shared" si="33"/>
        <v/>
      </c>
      <c r="AH148" s="53">
        <f t="shared" si="34"/>
        <v>0</v>
      </c>
      <c r="AI148" s="53">
        <f t="shared" si="35"/>
        <v>0</v>
      </c>
      <c r="AJ148" s="53">
        <f t="shared" si="36"/>
        <v>0</v>
      </c>
      <c r="AK148" s="53">
        <f t="shared" si="37"/>
        <v>0</v>
      </c>
      <c r="AL148" s="53">
        <f t="shared" si="38"/>
        <v>0</v>
      </c>
      <c r="AM148" s="53">
        <f>IF($AA148="",0,IF(INDEX(Fertilisants!$C$8:$C$47,$AA148)="Effluent d'élevage",1,0))</f>
        <v>0</v>
      </c>
      <c r="AN148" s="53" t="str">
        <f>IF($AA148="","",IF(INDEX(Fertilisants!$C$8:$C$47,$AA148)="Engrais minéral","Minéral","Organique"))</f>
        <v/>
      </c>
      <c r="AO148" s="53" t="str">
        <f t="shared" si="39"/>
        <v/>
      </c>
      <c r="AP148" s="53" t="str">
        <f t="shared" si="40"/>
        <v/>
      </c>
      <c r="AQ148" s="53" t="str">
        <f t="shared" si="41"/>
        <v/>
      </c>
      <c r="AR148" s="53" t="str">
        <f>IF(AND($D148&lt;&gt;"",$D148=FicheIlot),COUNTIF($D$8:$D148,FicheIlot),"")</f>
        <v/>
      </c>
    </row>
    <row r="149" spans="2:44" ht="18.95" customHeight="1" x14ac:dyDescent="0.25">
      <c r="B149" s="42" t="str">
        <f>IF(C149="","",COUNT($C$8:C149))</f>
        <v/>
      </c>
      <c r="C149" s="43"/>
      <c r="D149" s="44"/>
      <c r="E149" s="45" t="str">
        <f>IF($Z149="","",IF($F149=ApportCouvert,INDEX(Îlots!$I$8:$I$57,$Z149)&amp;"",INDEX(Îlots!$N$8:$N$57,$Z149)&amp;""))</f>
        <v/>
      </c>
      <c r="F149" s="44"/>
      <c r="G149" s="44"/>
      <c r="H149" s="46" t="str">
        <f>IF($AA149="","",INDEX(Fertilisants!$D$8:$D$47,$AA149)&amp;"")</f>
        <v/>
      </c>
      <c r="I149" s="47"/>
      <c r="J149" s="48"/>
      <c r="K149" s="46" t="str">
        <f>IF($AA149="","",INDEX(Fertilisants!$E$8:$E$47,$AA149)&amp;"")</f>
        <v/>
      </c>
      <c r="L149" s="49" t="str">
        <f t="shared" si="28"/>
        <v/>
      </c>
      <c r="M149" s="50" t="str">
        <f>IF(OR($J149="",$AA149=""),"",$J149*N(INDEX(Fertilisants!$G$8:$G$47,$AA149)))</f>
        <v/>
      </c>
      <c r="N149" s="50" t="str">
        <f>IF(OR($J149="",$AA149=""),"",$J149*N(INDEX(Fertilisants!$I$8:$I$47,$AA149)))</f>
        <v/>
      </c>
      <c r="O149" s="50" t="str">
        <f>IF(OR($J149="",$AA149=""),"",$J149*N(INDEX(Fertilisants!$J$8:$J$47,$AA149)))</f>
        <v/>
      </c>
      <c r="P149" s="50" t="str">
        <f>IF(OR($J149="",$AA149=""),"",$J149*N(INDEX(Fertilisants!$K$8:$K$47,$AA149)))</f>
        <v/>
      </c>
      <c r="Q149" s="50" t="str">
        <f t="shared" si="29"/>
        <v/>
      </c>
      <c r="R149" s="44"/>
      <c r="S149" s="44"/>
      <c r="T149" s="51"/>
      <c r="U149" s="44"/>
      <c r="V149" s="43"/>
      <c r="W149" s="52" t="str">
        <f t="shared" si="30"/>
        <v/>
      </c>
      <c r="X149" s="44"/>
      <c r="Z149" s="53" t="str">
        <f>IF($D149="","",IFERROR(MATCH($D149,Îlots!$D$8:$D$57,0),""))</f>
        <v/>
      </c>
      <c r="AA149" s="53" t="str">
        <f>IF($G149="","",IFERROR(MATCH($G149,Fertilisants!$B$8:$B$47,0),""))</f>
        <v/>
      </c>
      <c r="AB149" s="53" t="str">
        <f>IF($Z149="","",INDEX(Îlots!$E$8:$E$57,$Z149))</f>
        <v/>
      </c>
      <c r="AC149" s="53" t="str">
        <f>IF($Z149="","",INDEX(Îlots!$G$8:$G$57,$Z149)&amp;"")</f>
        <v/>
      </c>
      <c r="AD149" s="53" t="str">
        <f>IF($Z149="","",IF($F149=ApportCouvert,OccCouvert,INDEX(Îlots!$O$8:$O$57,$Z149)&amp;""))</f>
        <v/>
      </c>
      <c r="AE149" s="53" t="str">
        <f t="shared" si="31"/>
        <v/>
      </c>
      <c r="AF149" s="53" t="str">
        <f t="shared" si="32"/>
        <v/>
      </c>
      <c r="AG149" s="53" t="str">
        <f t="shared" si="33"/>
        <v/>
      </c>
      <c r="AH149" s="53">
        <f t="shared" si="34"/>
        <v>0</v>
      </c>
      <c r="AI149" s="53">
        <f t="shared" si="35"/>
        <v>0</v>
      </c>
      <c r="AJ149" s="53">
        <f t="shared" si="36"/>
        <v>0</v>
      </c>
      <c r="AK149" s="53">
        <f t="shared" si="37"/>
        <v>0</v>
      </c>
      <c r="AL149" s="53">
        <f t="shared" si="38"/>
        <v>0</v>
      </c>
      <c r="AM149" s="53">
        <f>IF($AA149="",0,IF(INDEX(Fertilisants!$C$8:$C$47,$AA149)="Effluent d'élevage",1,0))</f>
        <v>0</v>
      </c>
      <c r="AN149" s="53" t="str">
        <f>IF($AA149="","",IF(INDEX(Fertilisants!$C$8:$C$47,$AA149)="Engrais minéral","Minéral","Organique"))</f>
        <v/>
      </c>
      <c r="AO149" s="53" t="str">
        <f t="shared" si="39"/>
        <v/>
      </c>
      <c r="AP149" s="53" t="str">
        <f t="shared" si="40"/>
        <v/>
      </c>
      <c r="AQ149" s="53" t="str">
        <f t="shared" si="41"/>
        <v/>
      </c>
      <c r="AR149" s="53" t="str">
        <f>IF(AND($D149&lt;&gt;"",$D149=FicheIlot),COUNTIF($D$8:$D149,FicheIlot),"")</f>
        <v/>
      </c>
    </row>
    <row r="150" spans="2:44" ht="18.95" customHeight="1" x14ac:dyDescent="0.25">
      <c r="B150" s="42" t="str">
        <f>IF(C150="","",COUNT($C$8:C150))</f>
        <v/>
      </c>
      <c r="C150" s="43"/>
      <c r="D150" s="44"/>
      <c r="E150" s="45" t="str">
        <f>IF($Z150="","",IF($F150=ApportCouvert,INDEX(Îlots!$I$8:$I$57,$Z150)&amp;"",INDEX(Îlots!$N$8:$N$57,$Z150)&amp;""))</f>
        <v/>
      </c>
      <c r="F150" s="44"/>
      <c r="G150" s="44"/>
      <c r="H150" s="46" t="str">
        <f>IF($AA150="","",INDEX(Fertilisants!$D$8:$D$47,$AA150)&amp;"")</f>
        <v/>
      </c>
      <c r="I150" s="47"/>
      <c r="J150" s="48"/>
      <c r="K150" s="46" t="str">
        <f>IF($AA150="","",INDEX(Fertilisants!$E$8:$E$47,$AA150)&amp;"")</f>
        <v/>
      </c>
      <c r="L150" s="49" t="str">
        <f t="shared" si="28"/>
        <v/>
      </c>
      <c r="M150" s="50" t="str">
        <f>IF(OR($J150="",$AA150=""),"",$J150*N(INDEX(Fertilisants!$G$8:$G$47,$AA150)))</f>
        <v/>
      </c>
      <c r="N150" s="50" t="str">
        <f>IF(OR($J150="",$AA150=""),"",$J150*N(INDEX(Fertilisants!$I$8:$I$47,$AA150)))</f>
        <v/>
      </c>
      <c r="O150" s="50" t="str">
        <f>IF(OR($J150="",$AA150=""),"",$J150*N(INDEX(Fertilisants!$J$8:$J$47,$AA150)))</f>
        <v/>
      </c>
      <c r="P150" s="50" t="str">
        <f>IF(OR($J150="",$AA150=""),"",$J150*N(INDEX(Fertilisants!$K$8:$K$47,$AA150)))</f>
        <v/>
      </c>
      <c r="Q150" s="50" t="str">
        <f t="shared" si="29"/>
        <v/>
      </c>
      <c r="R150" s="44"/>
      <c r="S150" s="44"/>
      <c r="T150" s="51"/>
      <c r="U150" s="44"/>
      <c r="V150" s="43"/>
      <c r="W150" s="52" t="str">
        <f t="shared" si="30"/>
        <v/>
      </c>
      <c r="X150" s="44"/>
      <c r="Z150" s="53" t="str">
        <f>IF($D150="","",IFERROR(MATCH($D150,Îlots!$D$8:$D$57,0),""))</f>
        <v/>
      </c>
      <c r="AA150" s="53" t="str">
        <f>IF($G150="","",IFERROR(MATCH($G150,Fertilisants!$B$8:$B$47,0),""))</f>
        <v/>
      </c>
      <c r="AB150" s="53" t="str">
        <f>IF($Z150="","",INDEX(Îlots!$E$8:$E$57,$Z150))</f>
        <v/>
      </c>
      <c r="AC150" s="53" t="str">
        <f>IF($Z150="","",INDEX(Îlots!$G$8:$G$57,$Z150)&amp;"")</f>
        <v/>
      </c>
      <c r="AD150" s="53" t="str">
        <f>IF($Z150="","",IF($F150=ApportCouvert,OccCouvert,INDEX(Îlots!$O$8:$O$57,$Z150)&amp;""))</f>
        <v/>
      </c>
      <c r="AE150" s="53" t="str">
        <f t="shared" si="31"/>
        <v/>
      </c>
      <c r="AF150" s="53" t="str">
        <f t="shared" si="32"/>
        <v/>
      </c>
      <c r="AG150" s="53" t="str">
        <f t="shared" si="33"/>
        <v/>
      </c>
      <c r="AH150" s="53">
        <f t="shared" si="34"/>
        <v>0</v>
      </c>
      <c r="AI150" s="53">
        <f t="shared" si="35"/>
        <v>0</v>
      </c>
      <c r="AJ150" s="53">
        <f t="shared" si="36"/>
        <v>0</v>
      </c>
      <c r="AK150" s="53">
        <f t="shared" si="37"/>
        <v>0</v>
      </c>
      <c r="AL150" s="53">
        <f t="shared" si="38"/>
        <v>0</v>
      </c>
      <c r="AM150" s="53">
        <f>IF($AA150="",0,IF(INDEX(Fertilisants!$C$8:$C$47,$AA150)="Effluent d'élevage",1,0))</f>
        <v>0</v>
      </c>
      <c r="AN150" s="53" t="str">
        <f>IF($AA150="","",IF(INDEX(Fertilisants!$C$8:$C$47,$AA150)="Engrais minéral","Minéral","Organique"))</f>
        <v/>
      </c>
      <c r="AO150" s="53" t="str">
        <f t="shared" si="39"/>
        <v/>
      </c>
      <c r="AP150" s="53" t="str">
        <f t="shared" si="40"/>
        <v/>
      </c>
      <c r="AQ150" s="53" t="str">
        <f t="shared" si="41"/>
        <v/>
      </c>
      <c r="AR150" s="53" t="str">
        <f>IF(AND($D150&lt;&gt;"",$D150=FicheIlot),COUNTIF($D$8:$D150,FicheIlot),"")</f>
        <v/>
      </c>
    </row>
    <row r="151" spans="2:44" ht="18.95" customHeight="1" x14ac:dyDescent="0.25">
      <c r="B151" s="42" t="str">
        <f>IF(C151="","",COUNT($C$8:C151))</f>
        <v/>
      </c>
      <c r="C151" s="43"/>
      <c r="D151" s="44"/>
      <c r="E151" s="45" t="str">
        <f>IF($Z151="","",IF($F151=ApportCouvert,INDEX(Îlots!$I$8:$I$57,$Z151)&amp;"",INDEX(Îlots!$N$8:$N$57,$Z151)&amp;""))</f>
        <v/>
      </c>
      <c r="F151" s="44"/>
      <c r="G151" s="44"/>
      <c r="H151" s="46" t="str">
        <f>IF($AA151="","",INDEX(Fertilisants!$D$8:$D$47,$AA151)&amp;"")</f>
        <v/>
      </c>
      <c r="I151" s="47"/>
      <c r="J151" s="48"/>
      <c r="K151" s="46" t="str">
        <f>IF($AA151="","",INDEX(Fertilisants!$E$8:$E$47,$AA151)&amp;"")</f>
        <v/>
      </c>
      <c r="L151" s="49" t="str">
        <f t="shared" si="28"/>
        <v/>
      </c>
      <c r="M151" s="50" t="str">
        <f>IF(OR($J151="",$AA151=""),"",$J151*N(INDEX(Fertilisants!$G$8:$G$47,$AA151)))</f>
        <v/>
      </c>
      <c r="N151" s="50" t="str">
        <f>IF(OR($J151="",$AA151=""),"",$J151*N(INDEX(Fertilisants!$I$8:$I$47,$AA151)))</f>
        <v/>
      </c>
      <c r="O151" s="50" t="str">
        <f>IF(OR($J151="",$AA151=""),"",$J151*N(INDEX(Fertilisants!$J$8:$J$47,$AA151)))</f>
        <v/>
      </c>
      <c r="P151" s="50" t="str">
        <f>IF(OR($J151="",$AA151=""),"",$J151*N(INDEX(Fertilisants!$K$8:$K$47,$AA151)))</f>
        <v/>
      </c>
      <c r="Q151" s="50" t="str">
        <f t="shared" si="29"/>
        <v/>
      </c>
      <c r="R151" s="44"/>
      <c r="S151" s="44"/>
      <c r="T151" s="51"/>
      <c r="U151" s="44"/>
      <c r="V151" s="43"/>
      <c r="W151" s="52" t="str">
        <f t="shared" si="30"/>
        <v/>
      </c>
      <c r="X151" s="44"/>
      <c r="Z151" s="53" t="str">
        <f>IF($D151="","",IFERROR(MATCH($D151,Îlots!$D$8:$D$57,0),""))</f>
        <v/>
      </c>
      <c r="AA151" s="53" t="str">
        <f>IF($G151="","",IFERROR(MATCH($G151,Fertilisants!$B$8:$B$47,0),""))</f>
        <v/>
      </c>
      <c r="AB151" s="53" t="str">
        <f>IF($Z151="","",INDEX(Îlots!$E$8:$E$57,$Z151))</f>
        <v/>
      </c>
      <c r="AC151" s="53" t="str">
        <f>IF($Z151="","",INDEX(Îlots!$G$8:$G$57,$Z151)&amp;"")</f>
        <v/>
      </c>
      <c r="AD151" s="53" t="str">
        <f>IF($Z151="","",IF($F151=ApportCouvert,OccCouvert,INDEX(Îlots!$O$8:$O$57,$Z151)&amp;""))</f>
        <v/>
      </c>
      <c r="AE151" s="53" t="str">
        <f t="shared" si="31"/>
        <v/>
      </c>
      <c r="AF151" s="53" t="str">
        <f t="shared" si="32"/>
        <v/>
      </c>
      <c r="AG151" s="53" t="str">
        <f t="shared" si="33"/>
        <v/>
      </c>
      <c r="AH151" s="53">
        <f t="shared" si="34"/>
        <v>0</v>
      </c>
      <c r="AI151" s="53">
        <f t="shared" si="35"/>
        <v>0</v>
      </c>
      <c r="AJ151" s="53">
        <f t="shared" si="36"/>
        <v>0</v>
      </c>
      <c r="AK151" s="53">
        <f t="shared" si="37"/>
        <v>0</v>
      </c>
      <c r="AL151" s="53">
        <f t="shared" si="38"/>
        <v>0</v>
      </c>
      <c r="AM151" s="53">
        <f>IF($AA151="",0,IF(INDEX(Fertilisants!$C$8:$C$47,$AA151)="Effluent d'élevage",1,0))</f>
        <v>0</v>
      </c>
      <c r="AN151" s="53" t="str">
        <f>IF($AA151="","",IF(INDEX(Fertilisants!$C$8:$C$47,$AA151)="Engrais minéral","Minéral","Organique"))</f>
        <v/>
      </c>
      <c r="AO151" s="53" t="str">
        <f t="shared" si="39"/>
        <v/>
      </c>
      <c r="AP151" s="53" t="str">
        <f t="shared" si="40"/>
        <v/>
      </c>
      <c r="AQ151" s="53" t="str">
        <f t="shared" si="41"/>
        <v/>
      </c>
      <c r="AR151" s="53" t="str">
        <f>IF(AND($D151&lt;&gt;"",$D151=FicheIlot),COUNTIF($D$8:$D151,FicheIlot),"")</f>
        <v/>
      </c>
    </row>
    <row r="152" spans="2:44" ht="18.95" customHeight="1" x14ac:dyDescent="0.25">
      <c r="B152" s="42" t="str">
        <f>IF(C152="","",COUNT($C$8:C152))</f>
        <v/>
      </c>
      <c r="C152" s="43"/>
      <c r="D152" s="44"/>
      <c r="E152" s="45" t="str">
        <f>IF($Z152="","",IF($F152=ApportCouvert,INDEX(Îlots!$I$8:$I$57,$Z152)&amp;"",INDEX(Îlots!$N$8:$N$57,$Z152)&amp;""))</f>
        <v/>
      </c>
      <c r="F152" s="44"/>
      <c r="G152" s="44"/>
      <c r="H152" s="46" t="str">
        <f>IF($AA152="","",INDEX(Fertilisants!$D$8:$D$47,$AA152)&amp;"")</f>
        <v/>
      </c>
      <c r="I152" s="47"/>
      <c r="J152" s="48"/>
      <c r="K152" s="46" t="str">
        <f>IF($AA152="","",INDEX(Fertilisants!$E$8:$E$47,$AA152)&amp;"")</f>
        <v/>
      </c>
      <c r="L152" s="49" t="str">
        <f t="shared" si="28"/>
        <v/>
      </c>
      <c r="M152" s="50" t="str">
        <f>IF(OR($J152="",$AA152=""),"",$J152*N(INDEX(Fertilisants!$G$8:$G$47,$AA152)))</f>
        <v/>
      </c>
      <c r="N152" s="50" t="str">
        <f>IF(OR($J152="",$AA152=""),"",$J152*N(INDEX(Fertilisants!$I$8:$I$47,$AA152)))</f>
        <v/>
      </c>
      <c r="O152" s="50" t="str">
        <f>IF(OR($J152="",$AA152=""),"",$J152*N(INDEX(Fertilisants!$J$8:$J$47,$AA152)))</f>
        <v/>
      </c>
      <c r="P152" s="50" t="str">
        <f>IF(OR($J152="",$AA152=""),"",$J152*N(INDEX(Fertilisants!$K$8:$K$47,$AA152)))</f>
        <v/>
      </c>
      <c r="Q152" s="50" t="str">
        <f t="shared" si="29"/>
        <v/>
      </c>
      <c r="R152" s="44"/>
      <c r="S152" s="44"/>
      <c r="T152" s="51"/>
      <c r="U152" s="44"/>
      <c r="V152" s="43"/>
      <c r="W152" s="52" t="str">
        <f t="shared" si="30"/>
        <v/>
      </c>
      <c r="X152" s="44"/>
      <c r="Z152" s="53" t="str">
        <f>IF($D152="","",IFERROR(MATCH($D152,Îlots!$D$8:$D$57,0),""))</f>
        <v/>
      </c>
      <c r="AA152" s="53" t="str">
        <f>IF($G152="","",IFERROR(MATCH($G152,Fertilisants!$B$8:$B$47,0),""))</f>
        <v/>
      </c>
      <c r="AB152" s="53" t="str">
        <f>IF($Z152="","",INDEX(Îlots!$E$8:$E$57,$Z152))</f>
        <v/>
      </c>
      <c r="AC152" s="53" t="str">
        <f>IF($Z152="","",INDEX(Îlots!$G$8:$G$57,$Z152)&amp;"")</f>
        <v/>
      </c>
      <c r="AD152" s="53" t="str">
        <f>IF($Z152="","",IF($F152=ApportCouvert,OccCouvert,INDEX(Îlots!$O$8:$O$57,$Z152)&amp;""))</f>
        <v/>
      </c>
      <c r="AE152" s="53" t="str">
        <f t="shared" si="31"/>
        <v/>
      </c>
      <c r="AF152" s="53" t="str">
        <f t="shared" si="32"/>
        <v/>
      </c>
      <c r="AG152" s="53" t="str">
        <f t="shared" si="33"/>
        <v/>
      </c>
      <c r="AH152" s="53">
        <f t="shared" si="34"/>
        <v>0</v>
      </c>
      <c r="AI152" s="53">
        <f t="shared" si="35"/>
        <v>0</v>
      </c>
      <c r="AJ152" s="53">
        <f t="shared" si="36"/>
        <v>0</v>
      </c>
      <c r="AK152" s="53">
        <f t="shared" si="37"/>
        <v>0</v>
      </c>
      <c r="AL152" s="53">
        <f t="shared" si="38"/>
        <v>0</v>
      </c>
      <c r="AM152" s="53">
        <f>IF($AA152="",0,IF(INDEX(Fertilisants!$C$8:$C$47,$AA152)="Effluent d'élevage",1,0))</f>
        <v>0</v>
      </c>
      <c r="AN152" s="53" t="str">
        <f>IF($AA152="","",IF(INDEX(Fertilisants!$C$8:$C$47,$AA152)="Engrais minéral","Minéral","Organique"))</f>
        <v/>
      </c>
      <c r="AO152" s="53" t="str">
        <f t="shared" si="39"/>
        <v/>
      </c>
      <c r="AP152" s="53" t="str">
        <f t="shared" si="40"/>
        <v/>
      </c>
      <c r="AQ152" s="53" t="str">
        <f t="shared" si="41"/>
        <v/>
      </c>
      <c r="AR152" s="53" t="str">
        <f>IF(AND($D152&lt;&gt;"",$D152=FicheIlot),COUNTIF($D$8:$D152,FicheIlot),"")</f>
        <v/>
      </c>
    </row>
    <row r="153" spans="2:44" ht="18.95" customHeight="1" x14ac:dyDescent="0.25">
      <c r="B153" s="42" t="str">
        <f>IF(C153="","",COUNT($C$8:C153))</f>
        <v/>
      </c>
      <c r="C153" s="43"/>
      <c r="D153" s="44"/>
      <c r="E153" s="45" t="str">
        <f>IF($Z153="","",IF($F153=ApportCouvert,INDEX(Îlots!$I$8:$I$57,$Z153)&amp;"",INDEX(Îlots!$N$8:$N$57,$Z153)&amp;""))</f>
        <v/>
      </c>
      <c r="F153" s="44"/>
      <c r="G153" s="44"/>
      <c r="H153" s="46" t="str">
        <f>IF($AA153="","",INDEX(Fertilisants!$D$8:$D$47,$AA153)&amp;"")</f>
        <v/>
      </c>
      <c r="I153" s="47"/>
      <c r="J153" s="48"/>
      <c r="K153" s="46" t="str">
        <f>IF($AA153="","",INDEX(Fertilisants!$E$8:$E$47,$AA153)&amp;"")</f>
        <v/>
      </c>
      <c r="L153" s="49" t="str">
        <f t="shared" si="28"/>
        <v/>
      </c>
      <c r="M153" s="50" t="str">
        <f>IF(OR($J153="",$AA153=""),"",$J153*N(INDEX(Fertilisants!$G$8:$G$47,$AA153)))</f>
        <v/>
      </c>
      <c r="N153" s="50" t="str">
        <f>IF(OR($J153="",$AA153=""),"",$J153*N(INDEX(Fertilisants!$I$8:$I$47,$AA153)))</f>
        <v/>
      </c>
      <c r="O153" s="50" t="str">
        <f>IF(OR($J153="",$AA153=""),"",$J153*N(INDEX(Fertilisants!$J$8:$J$47,$AA153)))</f>
        <v/>
      </c>
      <c r="P153" s="50" t="str">
        <f>IF(OR($J153="",$AA153=""),"",$J153*N(INDEX(Fertilisants!$K$8:$K$47,$AA153)))</f>
        <v/>
      </c>
      <c r="Q153" s="50" t="str">
        <f t="shared" si="29"/>
        <v/>
      </c>
      <c r="R153" s="44"/>
      <c r="S153" s="44"/>
      <c r="T153" s="51"/>
      <c r="U153" s="44"/>
      <c r="V153" s="43"/>
      <c r="W153" s="52" t="str">
        <f t="shared" si="30"/>
        <v/>
      </c>
      <c r="X153" s="44"/>
      <c r="Z153" s="53" t="str">
        <f>IF($D153="","",IFERROR(MATCH($D153,Îlots!$D$8:$D$57,0),""))</f>
        <v/>
      </c>
      <c r="AA153" s="53" t="str">
        <f>IF($G153="","",IFERROR(MATCH($G153,Fertilisants!$B$8:$B$47,0),""))</f>
        <v/>
      </c>
      <c r="AB153" s="53" t="str">
        <f>IF($Z153="","",INDEX(Îlots!$E$8:$E$57,$Z153))</f>
        <v/>
      </c>
      <c r="AC153" s="53" t="str">
        <f>IF($Z153="","",INDEX(Îlots!$G$8:$G$57,$Z153)&amp;"")</f>
        <v/>
      </c>
      <c r="AD153" s="53" t="str">
        <f>IF($Z153="","",IF($F153=ApportCouvert,OccCouvert,INDEX(Îlots!$O$8:$O$57,$Z153)&amp;""))</f>
        <v/>
      </c>
      <c r="AE153" s="53" t="str">
        <f t="shared" si="31"/>
        <v/>
      </c>
      <c r="AF153" s="53" t="str">
        <f t="shared" si="32"/>
        <v/>
      </c>
      <c r="AG153" s="53" t="str">
        <f t="shared" si="33"/>
        <v/>
      </c>
      <c r="AH153" s="53">
        <f t="shared" si="34"/>
        <v>0</v>
      </c>
      <c r="AI153" s="53">
        <f t="shared" si="35"/>
        <v>0</v>
      </c>
      <c r="AJ153" s="53">
        <f t="shared" si="36"/>
        <v>0</v>
      </c>
      <c r="AK153" s="53">
        <f t="shared" si="37"/>
        <v>0</v>
      </c>
      <c r="AL153" s="53">
        <f t="shared" si="38"/>
        <v>0</v>
      </c>
      <c r="AM153" s="53">
        <f>IF($AA153="",0,IF(INDEX(Fertilisants!$C$8:$C$47,$AA153)="Effluent d'élevage",1,0))</f>
        <v>0</v>
      </c>
      <c r="AN153" s="53" t="str">
        <f>IF($AA153="","",IF(INDEX(Fertilisants!$C$8:$C$47,$AA153)="Engrais minéral","Minéral","Organique"))</f>
        <v/>
      </c>
      <c r="AO153" s="53" t="str">
        <f t="shared" si="39"/>
        <v/>
      </c>
      <c r="AP153" s="53" t="str">
        <f t="shared" si="40"/>
        <v/>
      </c>
      <c r="AQ153" s="53" t="str">
        <f t="shared" si="41"/>
        <v/>
      </c>
      <c r="AR153" s="53" t="str">
        <f>IF(AND($D153&lt;&gt;"",$D153=FicheIlot),COUNTIF($D$8:$D153,FicheIlot),"")</f>
        <v/>
      </c>
    </row>
    <row r="154" spans="2:44" ht="18.95" customHeight="1" x14ac:dyDescent="0.25">
      <c r="B154" s="42" t="str">
        <f>IF(C154="","",COUNT($C$8:C154))</f>
        <v/>
      </c>
      <c r="C154" s="43"/>
      <c r="D154" s="44"/>
      <c r="E154" s="45" t="str">
        <f>IF($Z154="","",IF($F154=ApportCouvert,INDEX(Îlots!$I$8:$I$57,$Z154)&amp;"",INDEX(Îlots!$N$8:$N$57,$Z154)&amp;""))</f>
        <v/>
      </c>
      <c r="F154" s="44"/>
      <c r="G154" s="44"/>
      <c r="H154" s="46" t="str">
        <f>IF($AA154="","",INDEX(Fertilisants!$D$8:$D$47,$AA154)&amp;"")</f>
        <v/>
      </c>
      <c r="I154" s="47"/>
      <c r="J154" s="48"/>
      <c r="K154" s="46" t="str">
        <f>IF($AA154="","",INDEX(Fertilisants!$E$8:$E$47,$AA154)&amp;"")</f>
        <v/>
      </c>
      <c r="L154" s="49" t="str">
        <f t="shared" si="28"/>
        <v/>
      </c>
      <c r="M154" s="50" t="str">
        <f>IF(OR($J154="",$AA154=""),"",$J154*N(INDEX(Fertilisants!$G$8:$G$47,$AA154)))</f>
        <v/>
      </c>
      <c r="N154" s="50" t="str">
        <f>IF(OR($J154="",$AA154=""),"",$J154*N(INDEX(Fertilisants!$I$8:$I$47,$AA154)))</f>
        <v/>
      </c>
      <c r="O154" s="50" t="str">
        <f>IF(OR($J154="",$AA154=""),"",$J154*N(INDEX(Fertilisants!$J$8:$J$47,$AA154)))</f>
        <v/>
      </c>
      <c r="P154" s="50" t="str">
        <f>IF(OR($J154="",$AA154=""),"",$J154*N(INDEX(Fertilisants!$K$8:$K$47,$AA154)))</f>
        <v/>
      </c>
      <c r="Q154" s="50" t="str">
        <f t="shared" si="29"/>
        <v/>
      </c>
      <c r="R154" s="44"/>
      <c r="S154" s="44"/>
      <c r="T154" s="51"/>
      <c r="U154" s="44"/>
      <c r="V154" s="43"/>
      <c r="W154" s="52" t="str">
        <f t="shared" si="30"/>
        <v/>
      </c>
      <c r="X154" s="44"/>
      <c r="Z154" s="53" t="str">
        <f>IF($D154="","",IFERROR(MATCH($D154,Îlots!$D$8:$D$57,0),""))</f>
        <v/>
      </c>
      <c r="AA154" s="53" t="str">
        <f>IF($G154="","",IFERROR(MATCH($G154,Fertilisants!$B$8:$B$47,0),""))</f>
        <v/>
      </c>
      <c r="AB154" s="53" t="str">
        <f>IF($Z154="","",INDEX(Îlots!$E$8:$E$57,$Z154))</f>
        <v/>
      </c>
      <c r="AC154" s="53" t="str">
        <f>IF($Z154="","",INDEX(Îlots!$G$8:$G$57,$Z154)&amp;"")</f>
        <v/>
      </c>
      <c r="AD154" s="53" t="str">
        <f>IF($Z154="","",IF($F154=ApportCouvert,OccCouvert,INDEX(Îlots!$O$8:$O$57,$Z154)&amp;""))</f>
        <v/>
      </c>
      <c r="AE154" s="53" t="str">
        <f t="shared" si="31"/>
        <v/>
      </c>
      <c r="AF154" s="53" t="str">
        <f t="shared" si="32"/>
        <v/>
      </c>
      <c r="AG154" s="53" t="str">
        <f t="shared" si="33"/>
        <v/>
      </c>
      <c r="AH154" s="53">
        <f t="shared" si="34"/>
        <v>0</v>
      </c>
      <c r="AI154" s="53">
        <f t="shared" si="35"/>
        <v>0</v>
      </c>
      <c r="AJ154" s="53">
        <f t="shared" si="36"/>
        <v>0</v>
      </c>
      <c r="AK154" s="53">
        <f t="shared" si="37"/>
        <v>0</v>
      </c>
      <c r="AL154" s="53">
        <f t="shared" si="38"/>
        <v>0</v>
      </c>
      <c r="AM154" s="53">
        <f>IF($AA154="",0,IF(INDEX(Fertilisants!$C$8:$C$47,$AA154)="Effluent d'élevage",1,0))</f>
        <v>0</v>
      </c>
      <c r="AN154" s="53" t="str">
        <f>IF($AA154="","",IF(INDEX(Fertilisants!$C$8:$C$47,$AA154)="Engrais minéral","Minéral","Organique"))</f>
        <v/>
      </c>
      <c r="AO154" s="53" t="str">
        <f t="shared" si="39"/>
        <v/>
      </c>
      <c r="AP154" s="53" t="str">
        <f t="shared" si="40"/>
        <v/>
      </c>
      <c r="AQ154" s="53" t="str">
        <f t="shared" si="41"/>
        <v/>
      </c>
      <c r="AR154" s="53" t="str">
        <f>IF(AND($D154&lt;&gt;"",$D154=FicheIlot),COUNTIF($D$8:$D154,FicheIlot),"")</f>
        <v/>
      </c>
    </row>
    <row r="155" spans="2:44" ht="18.95" customHeight="1" x14ac:dyDescent="0.25">
      <c r="B155" s="42" t="str">
        <f>IF(C155="","",COUNT($C$8:C155))</f>
        <v/>
      </c>
      <c r="C155" s="43"/>
      <c r="D155" s="44"/>
      <c r="E155" s="45" t="str">
        <f>IF($Z155="","",IF($F155=ApportCouvert,INDEX(Îlots!$I$8:$I$57,$Z155)&amp;"",INDEX(Îlots!$N$8:$N$57,$Z155)&amp;""))</f>
        <v/>
      </c>
      <c r="F155" s="44"/>
      <c r="G155" s="44"/>
      <c r="H155" s="46" t="str">
        <f>IF($AA155="","",INDEX(Fertilisants!$D$8:$D$47,$AA155)&amp;"")</f>
        <v/>
      </c>
      <c r="I155" s="47"/>
      <c r="J155" s="48"/>
      <c r="K155" s="46" t="str">
        <f>IF($AA155="","",INDEX(Fertilisants!$E$8:$E$47,$AA155)&amp;"")</f>
        <v/>
      </c>
      <c r="L155" s="49" t="str">
        <f t="shared" si="28"/>
        <v/>
      </c>
      <c r="M155" s="50" t="str">
        <f>IF(OR($J155="",$AA155=""),"",$J155*N(INDEX(Fertilisants!$G$8:$G$47,$AA155)))</f>
        <v/>
      </c>
      <c r="N155" s="50" t="str">
        <f>IF(OR($J155="",$AA155=""),"",$J155*N(INDEX(Fertilisants!$I$8:$I$47,$AA155)))</f>
        <v/>
      </c>
      <c r="O155" s="50" t="str">
        <f>IF(OR($J155="",$AA155=""),"",$J155*N(INDEX(Fertilisants!$J$8:$J$47,$AA155)))</f>
        <v/>
      </c>
      <c r="P155" s="50" t="str">
        <f>IF(OR($J155="",$AA155=""),"",$J155*N(INDEX(Fertilisants!$K$8:$K$47,$AA155)))</f>
        <v/>
      </c>
      <c r="Q155" s="50" t="str">
        <f t="shared" si="29"/>
        <v/>
      </c>
      <c r="R155" s="44"/>
      <c r="S155" s="44"/>
      <c r="T155" s="51"/>
      <c r="U155" s="44"/>
      <c r="V155" s="43"/>
      <c r="W155" s="52" t="str">
        <f t="shared" si="30"/>
        <v/>
      </c>
      <c r="X155" s="44"/>
      <c r="Z155" s="53" t="str">
        <f>IF($D155="","",IFERROR(MATCH($D155,Îlots!$D$8:$D$57,0),""))</f>
        <v/>
      </c>
      <c r="AA155" s="53" t="str">
        <f>IF($G155="","",IFERROR(MATCH($G155,Fertilisants!$B$8:$B$47,0),""))</f>
        <v/>
      </c>
      <c r="AB155" s="53" t="str">
        <f>IF($Z155="","",INDEX(Îlots!$E$8:$E$57,$Z155))</f>
        <v/>
      </c>
      <c r="AC155" s="53" t="str">
        <f>IF($Z155="","",INDEX(Îlots!$G$8:$G$57,$Z155)&amp;"")</f>
        <v/>
      </c>
      <c r="AD155" s="53" t="str">
        <f>IF($Z155="","",IF($F155=ApportCouvert,OccCouvert,INDEX(Îlots!$O$8:$O$57,$Z155)&amp;""))</f>
        <v/>
      </c>
      <c r="AE155" s="53" t="str">
        <f t="shared" si="31"/>
        <v/>
      </c>
      <c r="AF155" s="53" t="str">
        <f t="shared" si="32"/>
        <v/>
      </c>
      <c r="AG155" s="53" t="str">
        <f t="shared" si="33"/>
        <v/>
      </c>
      <c r="AH155" s="53">
        <f t="shared" si="34"/>
        <v>0</v>
      </c>
      <c r="AI155" s="53">
        <f t="shared" si="35"/>
        <v>0</v>
      </c>
      <c r="AJ155" s="53">
        <f t="shared" si="36"/>
        <v>0</v>
      </c>
      <c r="AK155" s="53">
        <f t="shared" si="37"/>
        <v>0</v>
      </c>
      <c r="AL155" s="53">
        <f t="shared" si="38"/>
        <v>0</v>
      </c>
      <c r="AM155" s="53">
        <f>IF($AA155="",0,IF(INDEX(Fertilisants!$C$8:$C$47,$AA155)="Effluent d'élevage",1,0))</f>
        <v>0</v>
      </c>
      <c r="AN155" s="53" t="str">
        <f>IF($AA155="","",IF(INDEX(Fertilisants!$C$8:$C$47,$AA155)="Engrais minéral","Minéral","Organique"))</f>
        <v/>
      </c>
      <c r="AO155" s="53" t="str">
        <f t="shared" si="39"/>
        <v/>
      </c>
      <c r="AP155" s="53" t="str">
        <f t="shared" si="40"/>
        <v/>
      </c>
      <c r="AQ155" s="53" t="str">
        <f t="shared" si="41"/>
        <v/>
      </c>
      <c r="AR155" s="53" t="str">
        <f>IF(AND($D155&lt;&gt;"",$D155=FicheIlot),COUNTIF($D$8:$D155,FicheIlot),"")</f>
        <v/>
      </c>
    </row>
    <row r="156" spans="2:44" ht="18.95" customHeight="1" x14ac:dyDescent="0.25">
      <c r="B156" s="42" t="str">
        <f>IF(C156="","",COUNT($C$8:C156))</f>
        <v/>
      </c>
      <c r="C156" s="43"/>
      <c r="D156" s="44"/>
      <c r="E156" s="45" t="str">
        <f>IF($Z156="","",IF($F156=ApportCouvert,INDEX(Îlots!$I$8:$I$57,$Z156)&amp;"",INDEX(Îlots!$N$8:$N$57,$Z156)&amp;""))</f>
        <v/>
      </c>
      <c r="F156" s="44"/>
      <c r="G156" s="44"/>
      <c r="H156" s="46" t="str">
        <f>IF($AA156="","",INDEX(Fertilisants!$D$8:$D$47,$AA156)&amp;"")</f>
        <v/>
      </c>
      <c r="I156" s="47"/>
      <c r="J156" s="48"/>
      <c r="K156" s="46" t="str">
        <f>IF($AA156="","",INDEX(Fertilisants!$E$8:$E$47,$AA156)&amp;"")</f>
        <v/>
      </c>
      <c r="L156" s="49" t="str">
        <f t="shared" si="28"/>
        <v/>
      </c>
      <c r="M156" s="50" t="str">
        <f>IF(OR($J156="",$AA156=""),"",$J156*N(INDEX(Fertilisants!$G$8:$G$47,$AA156)))</f>
        <v/>
      </c>
      <c r="N156" s="50" t="str">
        <f>IF(OR($J156="",$AA156=""),"",$J156*N(INDEX(Fertilisants!$I$8:$I$47,$AA156)))</f>
        <v/>
      </c>
      <c r="O156" s="50" t="str">
        <f>IF(OR($J156="",$AA156=""),"",$J156*N(INDEX(Fertilisants!$J$8:$J$47,$AA156)))</f>
        <v/>
      </c>
      <c r="P156" s="50" t="str">
        <f>IF(OR($J156="",$AA156=""),"",$J156*N(INDEX(Fertilisants!$K$8:$K$47,$AA156)))</f>
        <v/>
      </c>
      <c r="Q156" s="50" t="str">
        <f t="shared" si="29"/>
        <v/>
      </c>
      <c r="R156" s="44"/>
      <c r="S156" s="44"/>
      <c r="T156" s="51"/>
      <c r="U156" s="44"/>
      <c r="V156" s="43"/>
      <c r="W156" s="52" t="str">
        <f t="shared" si="30"/>
        <v/>
      </c>
      <c r="X156" s="44"/>
      <c r="Z156" s="53" t="str">
        <f>IF($D156="","",IFERROR(MATCH($D156,Îlots!$D$8:$D$57,0),""))</f>
        <v/>
      </c>
      <c r="AA156" s="53" t="str">
        <f>IF($G156="","",IFERROR(MATCH($G156,Fertilisants!$B$8:$B$47,0),""))</f>
        <v/>
      </c>
      <c r="AB156" s="53" t="str">
        <f>IF($Z156="","",INDEX(Îlots!$E$8:$E$57,$Z156))</f>
        <v/>
      </c>
      <c r="AC156" s="53" t="str">
        <f>IF($Z156="","",INDEX(Îlots!$G$8:$G$57,$Z156)&amp;"")</f>
        <v/>
      </c>
      <c r="AD156" s="53" t="str">
        <f>IF($Z156="","",IF($F156=ApportCouvert,OccCouvert,INDEX(Îlots!$O$8:$O$57,$Z156)&amp;""))</f>
        <v/>
      </c>
      <c r="AE156" s="53" t="str">
        <f t="shared" si="31"/>
        <v/>
      </c>
      <c r="AF156" s="53" t="str">
        <f t="shared" si="32"/>
        <v/>
      </c>
      <c r="AG156" s="53" t="str">
        <f t="shared" si="33"/>
        <v/>
      </c>
      <c r="AH156" s="53">
        <f t="shared" si="34"/>
        <v>0</v>
      </c>
      <c r="AI156" s="53">
        <f t="shared" si="35"/>
        <v>0</v>
      </c>
      <c r="AJ156" s="53">
        <f t="shared" si="36"/>
        <v>0</v>
      </c>
      <c r="AK156" s="53">
        <f t="shared" si="37"/>
        <v>0</v>
      </c>
      <c r="AL156" s="53">
        <f t="shared" si="38"/>
        <v>0</v>
      </c>
      <c r="AM156" s="53">
        <f>IF($AA156="",0,IF(INDEX(Fertilisants!$C$8:$C$47,$AA156)="Effluent d'élevage",1,0))</f>
        <v>0</v>
      </c>
      <c r="AN156" s="53" t="str">
        <f>IF($AA156="","",IF(INDEX(Fertilisants!$C$8:$C$47,$AA156)="Engrais minéral","Minéral","Organique"))</f>
        <v/>
      </c>
      <c r="AO156" s="53" t="str">
        <f t="shared" si="39"/>
        <v/>
      </c>
      <c r="AP156" s="53" t="str">
        <f t="shared" si="40"/>
        <v/>
      </c>
      <c r="AQ156" s="53" t="str">
        <f t="shared" si="41"/>
        <v/>
      </c>
      <c r="AR156" s="53" t="str">
        <f>IF(AND($D156&lt;&gt;"",$D156=FicheIlot),COUNTIF($D$8:$D156,FicheIlot),"")</f>
        <v/>
      </c>
    </row>
    <row r="157" spans="2:44" ht="18.95" customHeight="1" x14ac:dyDescent="0.25">
      <c r="B157" s="42" t="str">
        <f>IF(C157="","",COUNT($C$8:C157))</f>
        <v/>
      </c>
      <c r="C157" s="43"/>
      <c r="D157" s="44"/>
      <c r="E157" s="45" t="str">
        <f>IF($Z157="","",IF($F157=ApportCouvert,INDEX(Îlots!$I$8:$I$57,$Z157)&amp;"",INDEX(Îlots!$N$8:$N$57,$Z157)&amp;""))</f>
        <v/>
      </c>
      <c r="F157" s="44"/>
      <c r="G157" s="44"/>
      <c r="H157" s="46" t="str">
        <f>IF($AA157="","",INDEX(Fertilisants!$D$8:$D$47,$AA157)&amp;"")</f>
        <v/>
      </c>
      <c r="I157" s="47"/>
      <c r="J157" s="48"/>
      <c r="K157" s="46" t="str">
        <f>IF($AA157="","",INDEX(Fertilisants!$E$8:$E$47,$AA157)&amp;"")</f>
        <v/>
      </c>
      <c r="L157" s="49" t="str">
        <f t="shared" si="28"/>
        <v/>
      </c>
      <c r="M157" s="50" t="str">
        <f>IF(OR($J157="",$AA157=""),"",$J157*N(INDEX(Fertilisants!$G$8:$G$47,$AA157)))</f>
        <v/>
      </c>
      <c r="N157" s="50" t="str">
        <f>IF(OR($J157="",$AA157=""),"",$J157*N(INDEX(Fertilisants!$I$8:$I$47,$AA157)))</f>
        <v/>
      </c>
      <c r="O157" s="50" t="str">
        <f>IF(OR($J157="",$AA157=""),"",$J157*N(INDEX(Fertilisants!$J$8:$J$47,$AA157)))</f>
        <v/>
      </c>
      <c r="P157" s="50" t="str">
        <f>IF(OR($J157="",$AA157=""),"",$J157*N(INDEX(Fertilisants!$K$8:$K$47,$AA157)))</f>
        <v/>
      </c>
      <c r="Q157" s="50" t="str">
        <f t="shared" si="29"/>
        <v/>
      </c>
      <c r="R157" s="44"/>
      <c r="S157" s="44"/>
      <c r="T157" s="51"/>
      <c r="U157" s="44"/>
      <c r="V157" s="43"/>
      <c r="W157" s="52" t="str">
        <f t="shared" si="30"/>
        <v/>
      </c>
      <c r="X157" s="44"/>
      <c r="Z157" s="53" t="str">
        <f>IF($D157="","",IFERROR(MATCH($D157,Îlots!$D$8:$D$57,0),""))</f>
        <v/>
      </c>
      <c r="AA157" s="53" t="str">
        <f>IF($G157="","",IFERROR(MATCH($G157,Fertilisants!$B$8:$B$47,0),""))</f>
        <v/>
      </c>
      <c r="AB157" s="53" t="str">
        <f>IF($Z157="","",INDEX(Îlots!$E$8:$E$57,$Z157))</f>
        <v/>
      </c>
      <c r="AC157" s="53" t="str">
        <f>IF($Z157="","",INDEX(Îlots!$G$8:$G$57,$Z157)&amp;"")</f>
        <v/>
      </c>
      <c r="AD157" s="53" t="str">
        <f>IF($Z157="","",IF($F157=ApportCouvert,OccCouvert,INDEX(Îlots!$O$8:$O$57,$Z157)&amp;""))</f>
        <v/>
      </c>
      <c r="AE157" s="53" t="str">
        <f t="shared" si="31"/>
        <v/>
      </c>
      <c r="AF157" s="53" t="str">
        <f t="shared" si="32"/>
        <v/>
      </c>
      <c r="AG157" s="53" t="str">
        <f t="shared" si="33"/>
        <v/>
      </c>
      <c r="AH157" s="53">
        <f t="shared" si="34"/>
        <v>0</v>
      </c>
      <c r="AI157" s="53">
        <f t="shared" si="35"/>
        <v>0</v>
      </c>
      <c r="AJ157" s="53">
        <f t="shared" si="36"/>
        <v>0</v>
      </c>
      <c r="AK157" s="53">
        <f t="shared" si="37"/>
        <v>0</v>
      </c>
      <c r="AL157" s="53">
        <f t="shared" si="38"/>
        <v>0</v>
      </c>
      <c r="AM157" s="53">
        <f>IF($AA157="",0,IF(INDEX(Fertilisants!$C$8:$C$47,$AA157)="Effluent d'élevage",1,0))</f>
        <v>0</v>
      </c>
      <c r="AN157" s="53" t="str">
        <f>IF($AA157="","",IF(INDEX(Fertilisants!$C$8:$C$47,$AA157)="Engrais minéral","Minéral","Organique"))</f>
        <v/>
      </c>
      <c r="AO157" s="53" t="str">
        <f t="shared" si="39"/>
        <v/>
      </c>
      <c r="AP157" s="53" t="str">
        <f t="shared" si="40"/>
        <v/>
      </c>
      <c r="AQ157" s="53" t="str">
        <f t="shared" si="41"/>
        <v/>
      </c>
      <c r="AR157" s="53" t="str">
        <f>IF(AND($D157&lt;&gt;"",$D157=FicheIlot),COUNTIF($D$8:$D157,FicheIlot),"")</f>
        <v/>
      </c>
    </row>
    <row r="158" spans="2:44" ht="18.95" customHeight="1" x14ac:dyDescent="0.25">
      <c r="B158" s="42" t="str">
        <f>IF(C158="","",COUNT($C$8:C158))</f>
        <v/>
      </c>
      <c r="C158" s="43"/>
      <c r="D158" s="44"/>
      <c r="E158" s="45" t="str">
        <f>IF($Z158="","",IF($F158=ApportCouvert,INDEX(Îlots!$I$8:$I$57,$Z158)&amp;"",INDEX(Îlots!$N$8:$N$57,$Z158)&amp;""))</f>
        <v/>
      </c>
      <c r="F158" s="44"/>
      <c r="G158" s="44"/>
      <c r="H158" s="46" t="str">
        <f>IF($AA158="","",INDEX(Fertilisants!$D$8:$D$47,$AA158)&amp;"")</f>
        <v/>
      </c>
      <c r="I158" s="47"/>
      <c r="J158" s="48"/>
      <c r="K158" s="46" t="str">
        <f>IF($AA158="","",INDEX(Fertilisants!$E$8:$E$47,$AA158)&amp;"")</f>
        <v/>
      </c>
      <c r="L158" s="49" t="str">
        <f t="shared" si="28"/>
        <v/>
      </c>
      <c r="M158" s="50" t="str">
        <f>IF(OR($J158="",$AA158=""),"",$J158*N(INDEX(Fertilisants!$G$8:$G$47,$AA158)))</f>
        <v/>
      </c>
      <c r="N158" s="50" t="str">
        <f>IF(OR($J158="",$AA158=""),"",$J158*N(INDEX(Fertilisants!$I$8:$I$47,$AA158)))</f>
        <v/>
      </c>
      <c r="O158" s="50" t="str">
        <f>IF(OR($J158="",$AA158=""),"",$J158*N(INDEX(Fertilisants!$J$8:$J$47,$AA158)))</f>
        <v/>
      </c>
      <c r="P158" s="50" t="str">
        <f>IF(OR($J158="",$AA158=""),"",$J158*N(INDEX(Fertilisants!$K$8:$K$47,$AA158)))</f>
        <v/>
      </c>
      <c r="Q158" s="50" t="str">
        <f t="shared" si="29"/>
        <v/>
      </c>
      <c r="R158" s="44"/>
      <c r="S158" s="44"/>
      <c r="T158" s="51"/>
      <c r="U158" s="44"/>
      <c r="V158" s="43"/>
      <c r="W158" s="52" t="str">
        <f t="shared" si="30"/>
        <v/>
      </c>
      <c r="X158" s="44"/>
      <c r="Z158" s="53" t="str">
        <f>IF($D158="","",IFERROR(MATCH($D158,Îlots!$D$8:$D$57,0),""))</f>
        <v/>
      </c>
      <c r="AA158" s="53" t="str">
        <f>IF($G158="","",IFERROR(MATCH($G158,Fertilisants!$B$8:$B$47,0),""))</f>
        <v/>
      </c>
      <c r="AB158" s="53" t="str">
        <f>IF($Z158="","",INDEX(Îlots!$E$8:$E$57,$Z158))</f>
        <v/>
      </c>
      <c r="AC158" s="53" t="str">
        <f>IF($Z158="","",INDEX(Îlots!$G$8:$G$57,$Z158)&amp;"")</f>
        <v/>
      </c>
      <c r="AD158" s="53" t="str">
        <f>IF($Z158="","",IF($F158=ApportCouvert,OccCouvert,INDEX(Îlots!$O$8:$O$57,$Z158)&amp;""))</f>
        <v/>
      </c>
      <c r="AE158" s="53" t="str">
        <f t="shared" si="31"/>
        <v/>
      </c>
      <c r="AF158" s="53" t="str">
        <f t="shared" si="32"/>
        <v/>
      </c>
      <c r="AG158" s="53" t="str">
        <f t="shared" si="33"/>
        <v/>
      </c>
      <c r="AH158" s="53">
        <f t="shared" si="34"/>
        <v>0</v>
      </c>
      <c r="AI158" s="53">
        <f t="shared" si="35"/>
        <v>0</v>
      </c>
      <c r="AJ158" s="53">
        <f t="shared" si="36"/>
        <v>0</v>
      </c>
      <c r="AK158" s="53">
        <f t="shared" si="37"/>
        <v>0</v>
      </c>
      <c r="AL158" s="53">
        <f t="shared" si="38"/>
        <v>0</v>
      </c>
      <c r="AM158" s="53">
        <f>IF($AA158="",0,IF(INDEX(Fertilisants!$C$8:$C$47,$AA158)="Effluent d'élevage",1,0))</f>
        <v>0</v>
      </c>
      <c r="AN158" s="53" t="str">
        <f>IF($AA158="","",IF(INDEX(Fertilisants!$C$8:$C$47,$AA158)="Engrais minéral","Minéral","Organique"))</f>
        <v/>
      </c>
      <c r="AO158" s="53" t="str">
        <f t="shared" si="39"/>
        <v/>
      </c>
      <c r="AP158" s="53" t="str">
        <f t="shared" si="40"/>
        <v/>
      </c>
      <c r="AQ158" s="53" t="str">
        <f t="shared" si="41"/>
        <v/>
      </c>
      <c r="AR158" s="53" t="str">
        <f>IF(AND($D158&lt;&gt;"",$D158=FicheIlot),COUNTIF($D$8:$D158,FicheIlot),"")</f>
        <v/>
      </c>
    </row>
    <row r="159" spans="2:44" ht="18.95" customHeight="1" x14ac:dyDescent="0.25">
      <c r="B159" s="42" t="str">
        <f>IF(C159="","",COUNT($C$8:C159))</f>
        <v/>
      </c>
      <c r="C159" s="43"/>
      <c r="D159" s="44"/>
      <c r="E159" s="45" t="str">
        <f>IF($Z159="","",IF($F159=ApportCouvert,INDEX(Îlots!$I$8:$I$57,$Z159)&amp;"",INDEX(Îlots!$N$8:$N$57,$Z159)&amp;""))</f>
        <v/>
      </c>
      <c r="F159" s="44"/>
      <c r="G159" s="44"/>
      <c r="H159" s="46" t="str">
        <f>IF($AA159="","",INDEX(Fertilisants!$D$8:$D$47,$AA159)&amp;"")</f>
        <v/>
      </c>
      <c r="I159" s="47"/>
      <c r="J159" s="48"/>
      <c r="K159" s="46" t="str">
        <f>IF($AA159="","",INDEX(Fertilisants!$E$8:$E$47,$AA159)&amp;"")</f>
        <v/>
      </c>
      <c r="L159" s="49" t="str">
        <f t="shared" si="28"/>
        <v/>
      </c>
      <c r="M159" s="50" t="str">
        <f>IF(OR($J159="",$AA159=""),"",$J159*N(INDEX(Fertilisants!$G$8:$G$47,$AA159)))</f>
        <v/>
      </c>
      <c r="N159" s="50" t="str">
        <f>IF(OR($J159="",$AA159=""),"",$J159*N(INDEX(Fertilisants!$I$8:$I$47,$AA159)))</f>
        <v/>
      </c>
      <c r="O159" s="50" t="str">
        <f>IF(OR($J159="",$AA159=""),"",$J159*N(INDEX(Fertilisants!$J$8:$J$47,$AA159)))</f>
        <v/>
      </c>
      <c r="P159" s="50" t="str">
        <f>IF(OR($J159="",$AA159=""),"",$J159*N(INDEX(Fertilisants!$K$8:$K$47,$AA159)))</f>
        <v/>
      </c>
      <c r="Q159" s="50" t="str">
        <f t="shared" si="29"/>
        <v/>
      </c>
      <c r="R159" s="44"/>
      <c r="S159" s="44"/>
      <c r="T159" s="51"/>
      <c r="U159" s="44"/>
      <c r="V159" s="43"/>
      <c r="W159" s="52" t="str">
        <f t="shared" si="30"/>
        <v/>
      </c>
      <c r="X159" s="44"/>
      <c r="Z159" s="53" t="str">
        <f>IF($D159="","",IFERROR(MATCH($D159,Îlots!$D$8:$D$57,0),""))</f>
        <v/>
      </c>
      <c r="AA159" s="53" t="str">
        <f>IF($G159="","",IFERROR(MATCH($G159,Fertilisants!$B$8:$B$47,0),""))</f>
        <v/>
      </c>
      <c r="AB159" s="53" t="str">
        <f>IF($Z159="","",INDEX(Îlots!$E$8:$E$57,$Z159))</f>
        <v/>
      </c>
      <c r="AC159" s="53" t="str">
        <f>IF($Z159="","",INDEX(Îlots!$G$8:$G$57,$Z159)&amp;"")</f>
        <v/>
      </c>
      <c r="AD159" s="53" t="str">
        <f>IF($Z159="","",IF($F159=ApportCouvert,OccCouvert,INDEX(Îlots!$O$8:$O$57,$Z159)&amp;""))</f>
        <v/>
      </c>
      <c r="AE159" s="53" t="str">
        <f t="shared" si="31"/>
        <v/>
      </c>
      <c r="AF159" s="53" t="str">
        <f t="shared" si="32"/>
        <v/>
      </c>
      <c r="AG159" s="53" t="str">
        <f t="shared" si="33"/>
        <v/>
      </c>
      <c r="AH159" s="53">
        <f t="shared" si="34"/>
        <v>0</v>
      </c>
      <c r="AI159" s="53">
        <f t="shared" si="35"/>
        <v>0</v>
      </c>
      <c r="AJ159" s="53">
        <f t="shared" si="36"/>
        <v>0</v>
      </c>
      <c r="AK159" s="53">
        <f t="shared" si="37"/>
        <v>0</v>
      </c>
      <c r="AL159" s="53">
        <f t="shared" si="38"/>
        <v>0</v>
      </c>
      <c r="AM159" s="53">
        <f>IF($AA159="",0,IF(INDEX(Fertilisants!$C$8:$C$47,$AA159)="Effluent d'élevage",1,0))</f>
        <v>0</v>
      </c>
      <c r="AN159" s="53" t="str">
        <f>IF($AA159="","",IF(INDEX(Fertilisants!$C$8:$C$47,$AA159)="Engrais minéral","Minéral","Organique"))</f>
        <v/>
      </c>
      <c r="AO159" s="53" t="str">
        <f t="shared" si="39"/>
        <v/>
      </c>
      <c r="AP159" s="53" t="str">
        <f t="shared" si="40"/>
        <v/>
      </c>
      <c r="AQ159" s="53" t="str">
        <f t="shared" si="41"/>
        <v/>
      </c>
      <c r="AR159" s="53" t="str">
        <f>IF(AND($D159&lt;&gt;"",$D159=FicheIlot),COUNTIF($D$8:$D159,FicheIlot),"")</f>
        <v/>
      </c>
    </row>
    <row r="160" spans="2:44" ht="18.95" customHeight="1" x14ac:dyDescent="0.25">
      <c r="B160" s="42" t="str">
        <f>IF(C160="","",COUNT($C$8:C160))</f>
        <v/>
      </c>
      <c r="C160" s="43"/>
      <c r="D160" s="44"/>
      <c r="E160" s="45" t="str">
        <f>IF($Z160="","",IF($F160=ApportCouvert,INDEX(Îlots!$I$8:$I$57,$Z160)&amp;"",INDEX(Îlots!$N$8:$N$57,$Z160)&amp;""))</f>
        <v/>
      </c>
      <c r="F160" s="44"/>
      <c r="G160" s="44"/>
      <c r="H160" s="46" t="str">
        <f>IF($AA160="","",INDEX(Fertilisants!$D$8:$D$47,$AA160)&amp;"")</f>
        <v/>
      </c>
      <c r="I160" s="47"/>
      <c r="J160" s="48"/>
      <c r="K160" s="46" t="str">
        <f>IF($AA160="","",INDEX(Fertilisants!$E$8:$E$47,$AA160)&amp;"")</f>
        <v/>
      </c>
      <c r="L160" s="49" t="str">
        <f t="shared" si="28"/>
        <v/>
      </c>
      <c r="M160" s="50" t="str">
        <f>IF(OR($J160="",$AA160=""),"",$J160*N(INDEX(Fertilisants!$G$8:$G$47,$AA160)))</f>
        <v/>
      </c>
      <c r="N160" s="50" t="str">
        <f>IF(OR($J160="",$AA160=""),"",$J160*N(INDEX(Fertilisants!$I$8:$I$47,$AA160)))</f>
        <v/>
      </c>
      <c r="O160" s="50" t="str">
        <f>IF(OR($J160="",$AA160=""),"",$J160*N(INDEX(Fertilisants!$J$8:$J$47,$AA160)))</f>
        <v/>
      </c>
      <c r="P160" s="50" t="str">
        <f>IF(OR($J160="",$AA160=""),"",$J160*N(INDEX(Fertilisants!$K$8:$K$47,$AA160)))</f>
        <v/>
      </c>
      <c r="Q160" s="50" t="str">
        <f t="shared" si="29"/>
        <v/>
      </c>
      <c r="R160" s="44"/>
      <c r="S160" s="44"/>
      <c r="T160" s="51"/>
      <c r="U160" s="44"/>
      <c r="V160" s="43"/>
      <c r="W160" s="52" t="str">
        <f t="shared" si="30"/>
        <v/>
      </c>
      <c r="X160" s="44"/>
      <c r="Z160" s="53" t="str">
        <f>IF($D160="","",IFERROR(MATCH($D160,Îlots!$D$8:$D$57,0),""))</f>
        <v/>
      </c>
      <c r="AA160" s="53" t="str">
        <f>IF($G160="","",IFERROR(MATCH($G160,Fertilisants!$B$8:$B$47,0),""))</f>
        <v/>
      </c>
      <c r="AB160" s="53" t="str">
        <f>IF($Z160="","",INDEX(Îlots!$E$8:$E$57,$Z160))</f>
        <v/>
      </c>
      <c r="AC160" s="53" t="str">
        <f>IF($Z160="","",INDEX(Îlots!$G$8:$G$57,$Z160)&amp;"")</f>
        <v/>
      </c>
      <c r="AD160" s="53" t="str">
        <f>IF($Z160="","",IF($F160=ApportCouvert,OccCouvert,INDEX(Îlots!$O$8:$O$57,$Z160)&amp;""))</f>
        <v/>
      </c>
      <c r="AE160" s="53" t="str">
        <f t="shared" si="31"/>
        <v/>
      </c>
      <c r="AF160" s="53" t="str">
        <f t="shared" si="32"/>
        <v/>
      </c>
      <c r="AG160" s="53" t="str">
        <f t="shared" si="33"/>
        <v/>
      </c>
      <c r="AH160" s="53">
        <f t="shared" si="34"/>
        <v>0</v>
      </c>
      <c r="AI160" s="53">
        <f t="shared" si="35"/>
        <v>0</v>
      </c>
      <c r="AJ160" s="53">
        <f t="shared" si="36"/>
        <v>0</v>
      </c>
      <c r="AK160" s="53">
        <f t="shared" si="37"/>
        <v>0</v>
      </c>
      <c r="AL160" s="53">
        <f t="shared" si="38"/>
        <v>0</v>
      </c>
      <c r="AM160" s="53">
        <f>IF($AA160="",0,IF(INDEX(Fertilisants!$C$8:$C$47,$AA160)="Effluent d'élevage",1,0))</f>
        <v>0</v>
      </c>
      <c r="AN160" s="53" t="str">
        <f>IF($AA160="","",IF(INDEX(Fertilisants!$C$8:$C$47,$AA160)="Engrais minéral","Minéral","Organique"))</f>
        <v/>
      </c>
      <c r="AO160" s="53" t="str">
        <f t="shared" si="39"/>
        <v/>
      </c>
      <c r="AP160" s="53" t="str">
        <f t="shared" si="40"/>
        <v/>
      </c>
      <c r="AQ160" s="53" t="str">
        <f t="shared" si="41"/>
        <v/>
      </c>
      <c r="AR160" s="53" t="str">
        <f>IF(AND($D160&lt;&gt;"",$D160=FicheIlot),COUNTIF($D$8:$D160,FicheIlot),"")</f>
        <v/>
      </c>
    </row>
    <row r="161" spans="2:44" ht="18.95" customHeight="1" x14ac:dyDescent="0.25">
      <c r="B161" s="42" t="str">
        <f>IF(C161="","",COUNT($C$8:C161))</f>
        <v/>
      </c>
      <c r="C161" s="43"/>
      <c r="D161" s="44"/>
      <c r="E161" s="45" t="str">
        <f>IF($Z161="","",IF($F161=ApportCouvert,INDEX(Îlots!$I$8:$I$57,$Z161)&amp;"",INDEX(Îlots!$N$8:$N$57,$Z161)&amp;""))</f>
        <v/>
      </c>
      <c r="F161" s="44"/>
      <c r="G161" s="44"/>
      <c r="H161" s="46" t="str">
        <f>IF($AA161="","",INDEX(Fertilisants!$D$8:$D$47,$AA161)&amp;"")</f>
        <v/>
      </c>
      <c r="I161" s="47"/>
      <c r="J161" s="48"/>
      <c r="K161" s="46" t="str">
        <f>IF($AA161="","",INDEX(Fertilisants!$E$8:$E$47,$AA161)&amp;"")</f>
        <v/>
      </c>
      <c r="L161" s="49" t="str">
        <f t="shared" si="28"/>
        <v/>
      </c>
      <c r="M161" s="50" t="str">
        <f>IF(OR($J161="",$AA161=""),"",$J161*N(INDEX(Fertilisants!$G$8:$G$47,$AA161)))</f>
        <v/>
      </c>
      <c r="N161" s="50" t="str">
        <f>IF(OR($J161="",$AA161=""),"",$J161*N(INDEX(Fertilisants!$I$8:$I$47,$AA161)))</f>
        <v/>
      </c>
      <c r="O161" s="50" t="str">
        <f>IF(OR($J161="",$AA161=""),"",$J161*N(INDEX(Fertilisants!$J$8:$J$47,$AA161)))</f>
        <v/>
      </c>
      <c r="P161" s="50" t="str">
        <f>IF(OR($J161="",$AA161=""),"",$J161*N(INDEX(Fertilisants!$K$8:$K$47,$AA161)))</f>
        <v/>
      </c>
      <c r="Q161" s="50" t="str">
        <f t="shared" si="29"/>
        <v/>
      </c>
      <c r="R161" s="44"/>
      <c r="S161" s="44"/>
      <c r="T161" s="51"/>
      <c r="U161" s="44"/>
      <c r="V161" s="43"/>
      <c r="W161" s="52" t="str">
        <f t="shared" si="30"/>
        <v/>
      </c>
      <c r="X161" s="44"/>
      <c r="Z161" s="53" t="str">
        <f>IF($D161="","",IFERROR(MATCH($D161,Îlots!$D$8:$D$57,0),""))</f>
        <v/>
      </c>
      <c r="AA161" s="53" t="str">
        <f>IF($G161="","",IFERROR(MATCH($G161,Fertilisants!$B$8:$B$47,0),""))</f>
        <v/>
      </c>
      <c r="AB161" s="53" t="str">
        <f>IF($Z161="","",INDEX(Îlots!$E$8:$E$57,$Z161))</f>
        <v/>
      </c>
      <c r="AC161" s="53" t="str">
        <f>IF($Z161="","",INDEX(Îlots!$G$8:$G$57,$Z161)&amp;"")</f>
        <v/>
      </c>
      <c r="AD161" s="53" t="str">
        <f>IF($Z161="","",IF($F161=ApportCouvert,OccCouvert,INDEX(Îlots!$O$8:$O$57,$Z161)&amp;""))</f>
        <v/>
      </c>
      <c r="AE161" s="53" t="str">
        <f t="shared" si="31"/>
        <v/>
      </c>
      <c r="AF161" s="53" t="str">
        <f t="shared" si="32"/>
        <v/>
      </c>
      <c r="AG161" s="53" t="str">
        <f t="shared" si="33"/>
        <v/>
      </c>
      <c r="AH161" s="53">
        <f t="shared" si="34"/>
        <v>0</v>
      </c>
      <c r="AI161" s="53">
        <f t="shared" si="35"/>
        <v>0</v>
      </c>
      <c r="AJ161" s="53">
        <f t="shared" si="36"/>
        <v>0</v>
      </c>
      <c r="AK161" s="53">
        <f t="shared" si="37"/>
        <v>0</v>
      </c>
      <c r="AL161" s="53">
        <f t="shared" si="38"/>
        <v>0</v>
      </c>
      <c r="AM161" s="53">
        <f>IF($AA161="",0,IF(INDEX(Fertilisants!$C$8:$C$47,$AA161)="Effluent d'élevage",1,0))</f>
        <v>0</v>
      </c>
      <c r="AN161" s="53" t="str">
        <f>IF($AA161="","",IF(INDEX(Fertilisants!$C$8:$C$47,$AA161)="Engrais minéral","Minéral","Organique"))</f>
        <v/>
      </c>
      <c r="AO161" s="53" t="str">
        <f t="shared" si="39"/>
        <v/>
      </c>
      <c r="AP161" s="53" t="str">
        <f t="shared" si="40"/>
        <v/>
      </c>
      <c r="AQ161" s="53" t="str">
        <f t="shared" si="41"/>
        <v/>
      </c>
      <c r="AR161" s="53" t="str">
        <f>IF(AND($D161&lt;&gt;"",$D161=FicheIlot),COUNTIF($D$8:$D161,FicheIlot),"")</f>
        <v/>
      </c>
    </row>
    <row r="162" spans="2:44" ht="18.95" customHeight="1" x14ac:dyDescent="0.25">
      <c r="B162" s="42" t="str">
        <f>IF(C162="","",COUNT($C$8:C162))</f>
        <v/>
      </c>
      <c r="C162" s="43"/>
      <c r="D162" s="44"/>
      <c r="E162" s="45" t="str">
        <f>IF($Z162="","",IF($F162=ApportCouvert,INDEX(Îlots!$I$8:$I$57,$Z162)&amp;"",INDEX(Îlots!$N$8:$N$57,$Z162)&amp;""))</f>
        <v/>
      </c>
      <c r="F162" s="44"/>
      <c r="G162" s="44"/>
      <c r="H162" s="46" t="str">
        <f>IF($AA162="","",INDEX(Fertilisants!$D$8:$D$47,$AA162)&amp;"")</f>
        <v/>
      </c>
      <c r="I162" s="47"/>
      <c r="J162" s="48"/>
      <c r="K162" s="46" t="str">
        <f>IF($AA162="","",INDEX(Fertilisants!$E$8:$E$47,$AA162)&amp;"")</f>
        <v/>
      </c>
      <c r="L162" s="49" t="str">
        <f t="shared" si="28"/>
        <v/>
      </c>
      <c r="M162" s="50" t="str">
        <f>IF(OR($J162="",$AA162=""),"",$J162*N(INDEX(Fertilisants!$G$8:$G$47,$AA162)))</f>
        <v/>
      </c>
      <c r="N162" s="50" t="str">
        <f>IF(OR($J162="",$AA162=""),"",$J162*N(INDEX(Fertilisants!$I$8:$I$47,$AA162)))</f>
        <v/>
      </c>
      <c r="O162" s="50" t="str">
        <f>IF(OR($J162="",$AA162=""),"",$J162*N(INDEX(Fertilisants!$J$8:$J$47,$AA162)))</f>
        <v/>
      </c>
      <c r="P162" s="50" t="str">
        <f>IF(OR($J162="",$AA162=""),"",$J162*N(INDEX(Fertilisants!$K$8:$K$47,$AA162)))</f>
        <v/>
      </c>
      <c r="Q162" s="50" t="str">
        <f t="shared" si="29"/>
        <v/>
      </c>
      <c r="R162" s="44"/>
      <c r="S162" s="44"/>
      <c r="T162" s="51"/>
      <c r="U162" s="44"/>
      <c r="V162" s="43"/>
      <c r="W162" s="52" t="str">
        <f t="shared" si="30"/>
        <v/>
      </c>
      <c r="X162" s="44"/>
      <c r="Z162" s="53" t="str">
        <f>IF($D162="","",IFERROR(MATCH($D162,Îlots!$D$8:$D$57,0),""))</f>
        <v/>
      </c>
      <c r="AA162" s="53" t="str">
        <f>IF($G162="","",IFERROR(MATCH($G162,Fertilisants!$B$8:$B$47,0),""))</f>
        <v/>
      </c>
      <c r="AB162" s="53" t="str">
        <f>IF($Z162="","",INDEX(Îlots!$E$8:$E$57,$Z162))</f>
        <v/>
      </c>
      <c r="AC162" s="53" t="str">
        <f>IF($Z162="","",INDEX(Îlots!$G$8:$G$57,$Z162)&amp;"")</f>
        <v/>
      </c>
      <c r="AD162" s="53" t="str">
        <f>IF($Z162="","",IF($F162=ApportCouvert,OccCouvert,INDEX(Îlots!$O$8:$O$57,$Z162)&amp;""))</f>
        <v/>
      </c>
      <c r="AE162" s="53" t="str">
        <f t="shared" si="31"/>
        <v/>
      </c>
      <c r="AF162" s="53" t="str">
        <f t="shared" si="32"/>
        <v/>
      </c>
      <c r="AG162" s="53" t="str">
        <f t="shared" si="33"/>
        <v/>
      </c>
      <c r="AH162" s="53">
        <f t="shared" si="34"/>
        <v>0</v>
      </c>
      <c r="AI162" s="53">
        <f t="shared" si="35"/>
        <v>0</v>
      </c>
      <c r="AJ162" s="53">
        <f t="shared" si="36"/>
        <v>0</v>
      </c>
      <c r="AK162" s="53">
        <f t="shared" si="37"/>
        <v>0</v>
      </c>
      <c r="AL162" s="53">
        <f t="shared" si="38"/>
        <v>0</v>
      </c>
      <c r="AM162" s="53">
        <f>IF($AA162="",0,IF(INDEX(Fertilisants!$C$8:$C$47,$AA162)="Effluent d'élevage",1,0))</f>
        <v>0</v>
      </c>
      <c r="AN162" s="53" t="str">
        <f>IF($AA162="","",IF(INDEX(Fertilisants!$C$8:$C$47,$AA162)="Engrais minéral","Minéral","Organique"))</f>
        <v/>
      </c>
      <c r="AO162" s="53" t="str">
        <f t="shared" si="39"/>
        <v/>
      </c>
      <c r="AP162" s="53" t="str">
        <f t="shared" si="40"/>
        <v/>
      </c>
      <c r="AQ162" s="53" t="str">
        <f t="shared" si="41"/>
        <v/>
      </c>
      <c r="AR162" s="53" t="str">
        <f>IF(AND($D162&lt;&gt;"",$D162=FicheIlot),COUNTIF($D$8:$D162,FicheIlot),"")</f>
        <v/>
      </c>
    </row>
    <row r="163" spans="2:44" ht="18.95" customHeight="1" x14ac:dyDescent="0.25">
      <c r="B163" s="42" t="str">
        <f>IF(C163="","",COUNT($C$8:C163))</f>
        <v/>
      </c>
      <c r="C163" s="43"/>
      <c r="D163" s="44"/>
      <c r="E163" s="45" t="str">
        <f>IF($Z163="","",IF($F163=ApportCouvert,INDEX(Îlots!$I$8:$I$57,$Z163)&amp;"",INDEX(Îlots!$N$8:$N$57,$Z163)&amp;""))</f>
        <v/>
      </c>
      <c r="F163" s="44"/>
      <c r="G163" s="44"/>
      <c r="H163" s="46" t="str">
        <f>IF($AA163="","",INDEX(Fertilisants!$D$8:$D$47,$AA163)&amp;"")</f>
        <v/>
      </c>
      <c r="I163" s="47"/>
      <c r="J163" s="48"/>
      <c r="K163" s="46" t="str">
        <f>IF($AA163="","",INDEX(Fertilisants!$E$8:$E$47,$AA163)&amp;"")</f>
        <v/>
      </c>
      <c r="L163" s="49" t="str">
        <f t="shared" si="28"/>
        <v/>
      </c>
      <c r="M163" s="50" t="str">
        <f>IF(OR($J163="",$AA163=""),"",$J163*N(INDEX(Fertilisants!$G$8:$G$47,$AA163)))</f>
        <v/>
      </c>
      <c r="N163" s="50" t="str">
        <f>IF(OR($J163="",$AA163=""),"",$J163*N(INDEX(Fertilisants!$I$8:$I$47,$AA163)))</f>
        <v/>
      </c>
      <c r="O163" s="50" t="str">
        <f>IF(OR($J163="",$AA163=""),"",$J163*N(INDEX(Fertilisants!$J$8:$J$47,$AA163)))</f>
        <v/>
      </c>
      <c r="P163" s="50" t="str">
        <f>IF(OR($J163="",$AA163=""),"",$J163*N(INDEX(Fertilisants!$K$8:$K$47,$AA163)))</f>
        <v/>
      </c>
      <c r="Q163" s="50" t="str">
        <f t="shared" si="29"/>
        <v/>
      </c>
      <c r="R163" s="44"/>
      <c r="S163" s="44"/>
      <c r="T163" s="51"/>
      <c r="U163" s="44"/>
      <c r="V163" s="43"/>
      <c r="W163" s="52" t="str">
        <f t="shared" si="30"/>
        <v/>
      </c>
      <c r="X163" s="44"/>
      <c r="Z163" s="53" t="str">
        <f>IF($D163="","",IFERROR(MATCH($D163,Îlots!$D$8:$D$57,0),""))</f>
        <v/>
      </c>
      <c r="AA163" s="53" t="str">
        <f>IF($G163="","",IFERROR(MATCH($G163,Fertilisants!$B$8:$B$47,0),""))</f>
        <v/>
      </c>
      <c r="AB163" s="53" t="str">
        <f>IF($Z163="","",INDEX(Îlots!$E$8:$E$57,$Z163))</f>
        <v/>
      </c>
      <c r="AC163" s="53" t="str">
        <f>IF($Z163="","",INDEX(Îlots!$G$8:$G$57,$Z163)&amp;"")</f>
        <v/>
      </c>
      <c r="AD163" s="53" t="str">
        <f>IF($Z163="","",IF($F163=ApportCouvert,OccCouvert,INDEX(Îlots!$O$8:$O$57,$Z163)&amp;""))</f>
        <v/>
      </c>
      <c r="AE163" s="53" t="str">
        <f t="shared" si="31"/>
        <v/>
      </c>
      <c r="AF163" s="53" t="str">
        <f t="shared" si="32"/>
        <v/>
      </c>
      <c r="AG163" s="53" t="str">
        <f t="shared" si="33"/>
        <v/>
      </c>
      <c r="AH163" s="53">
        <f t="shared" si="34"/>
        <v>0</v>
      </c>
      <c r="AI163" s="53">
        <f t="shared" si="35"/>
        <v>0</v>
      </c>
      <c r="AJ163" s="53">
        <f t="shared" si="36"/>
        <v>0</v>
      </c>
      <c r="AK163" s="53">
        <f t="shared" si="37"/>
        <v>0</v>
      </c>
      <c r="AL163" s="53">
        <f t="shared" si="38"/>
        <v>0</v>
      </c>
      <c r="AM163" s="53">
        <f>IF($AA163="",0,IF(INDEX(Fertilisants!$C$8:$C$47,$AA163)="Effluent d'élevage",1,0))</f>
        <v>0</v>
      </c>
      <c r="AN163" s="53" t="str">
        <f>IF($AA163="","",IF(INDEX(Fertilisants!$C$8:$C$47,$AA163)="Engrais minéral","Minéral","Organique"))</f>
        <v/>
      </c>
      <c r="AO163" s="53" t="str">
        <f t="shared" si="39"/>
        <v/>
      </c>
      <c r="AP163" s="53" t="str">
        <f t="shared" si="40"/>
        <v/>
      </c>
      <c r="AQ163" s="53" t="str">
        <f t="shared" si="41"/>
        <v/>
      </c>
      <c r="AR163" s="53" t="str">
        <f>IF(AND($D163&lt;&gt;"",$D163=FicheIlot),COUNTIF($D$8:$D163,FicheIlot),"")</f>
        <v/>
      </c>
    </row>
    <row r="164" spans="2:44" ht="18.95" customHeight="1" x14ac:dyDescent="0.25">
      <c r="B164" s="42" t="str">
        <f>IF(C164="","",COUNT($C$8:C164))</f>
        <v/>
      </c>
      <c r="C164" s="43"/>
      <c r="D164" s="44"/>
      <c r="E164" s="45" t="str">
        <f>IF($Z164="","",IF($F164=ApportCouvert,INDEX(Îlots!$I$8:$I$57,$Z164)&amp;"",INDEX(Îlots!$N$8:$N$57,$Z164)&amp;""))</f>
        <v/>
      </c>
      <c r="F164" s="44"/>
      <c r="G164" s="44"/>
      <c r="H164" s="46" t="str">
        <f>IF($AA164="","",INDEX(Fertilisants!$D$8:$D$47,$AA164)&amp;"")</f>
        <v/>
      </c>
      <c r="I164" s="47"/>
      <c r="J164" s="48"/>
      <c r="K164" s="46" t="str">
        <f>IF($AA164="","",INDEX(Fertilisants!$E$8:$E$47,$AA164)&amp;"")</f>
        <v/>
      </c>
      <c r="L164" s="49" t="str">
        <f t="shared" si="28"/>
        <v/>
      </c>
      <c r="M164" s="50" t="str">
        <f>IF(OR($J164="",$AA164=""),"",$J164*N(INDEX(Fertilisants!$G$8:$G$47,$AA164)))</f>
        <v/>
      </c>
      <c r="N164" s="50" t="str">
        <f>IF(OR($J164="",$AA164=""),"",$J164*N(INDEX(Fertilisants!$I$8:$I$47,$AA164)))</f>
        <v/>
      </c>
      <c r="O164" s="50" t="str">
        <f>IF(OR($J164="",$AA164=""),"",$J164*N(INDEX(Fertilisants!$J$8:$J$47,$AA164)))</f>
        <v/>
      </c>
      <c r="P164" s="50" t="str">
        <f>IF(OR($J164="",$AA164=""),"",$J164*N(INDEX(Fertilisants!$K$8:$K$47,$AA164)))</f>
        <v/>
      </c>
      <c r="Q164" s="50" t="str">
        <f t="shared" si="29"/>
        <v/>
      </c>
      <c r="R164" s="44"/>
      <c r="S164" s="44"/>
      <c r="T164" s="51"/>
      <c r="U164" s="44"/>
      <c r="V164" s="43"/>
      <c r="W164" s="52" t="str">
        <f t="shared" si="30"/>
        <v/>
      </c>
      <c r="X164" s="44"/>
      <c r="Z164" s="53" t="str">
        <f>IF($D164="","",IFERROR(MATCH($D164,Îlots!$D$8:$D$57,0),""))</f>
        <v/>
      </c>
      <c r="AA164" s="53" t="str">
        <f>IF($G164="","",IFERROR(MATCH($G164,Fertilisants!$B$8:$B$47,0),""))</f>
        <v/>
      </c>
      <c r="AB164" s="53" t="str">
        <f>IF($Z164="","",INDEX(Îlots!$E$8:$E$57,$Z164))</f>
        <v/>
      </c>
      <c r="AC164" s="53" t="str">
        <f>IF($Z164="","",INDEX(Îlots!$G$8:$G$57,$Z164)&amp;"")</f>
        <v/>
      </c>
      <c r="AD164" s="53" t="str">
        <f>IF($Z164="","",IF($F164=ApportCouvert,OccCouvert,INDEX(Îlots!$O$8:$O$57,$Z164)&amp;""))</f>
        <v/>
      </c>
      <c r="AE164" s="53" t="str">
        <f t="shared" si="31"/>
        <v/>
      </c>
      <c r="AF164" s="53" t="str">
        <f t="shared" si="32"/>
        <v/>
      </c>
      <c r="AG164" s="53" t="str">
        <f t="shared" si="33"/>
        <v/>
      </c>
      <c r="AH164" s="53">
        <f t="shared" si="34"/>
        <v>0</v>
      </c>
      <c r="AI164" s="53">
        <f t="shared" si="35"/>
        <v>0</v>
      </c>
      <c r="AJ164" s="53">
        <f t="shared" si="36"/>
        <v>0</v>
      </c>
      <c r="AK164" s="53">
        <f t="shared" si="37"/>
        <v>0</v>
      </c>
      <c r="AL164" s="53">
        <f t="shared" si="38"/>
        <v>0</v>
      </c>
      <c r="AM164" s="53">
        <f>IF($AA164="",0,IF(INDEX(Fertilisants!$C$8:$C$47,$AA164)="Effluent d'élevage",1,0))</f>
        <v>0</v>
      </c>
      <c r="AN164" s="53" t="str">
        <f>IF($AA164="","",IF(INDEX(Fertilisants!$C$8:$C$47,$AA164)="Engrais minéral","Minéral","Organique"))</f>
        <v/>
      </c>
      <c r="AO164" s="53" t="str">
        <f t="shared" si="39"/>
        <v/>
      </c>
      <c r="AP164" s="53" t="str">
        <f t="shared" si="40"/>
        <v/>
      </c>
      <c r="AQ164" s="53" t="str">
        <f t="shared" si="41"/>
        <v/>
      </c>
      <c r="AR164" s="53" t="str">
        <f>IF(AND($D164&lt;&gt;"",$D164=FicheIlot),COUNTIF($D$8:$D164,FicheIlot),"")</f>
        <v/>
      </c>
    </row>
    <row r="165" spans="2:44" ht="18.95" customHeight="1" x14ac:dyDescent="0.25">
      <c r="B165" s="42" t="str">
        <f>IF(C165="","",COUNT($C$8:C165))</f>
        <v/>
      </c>
      <c r="C165" s="43"/>
      <c r="D165" s="44"/>
      <c r="E165" s="45" t="str">
        <f>IF($Z165="","",IF($F165=ApportCouvert,INDEX(Îlots!$I$8:$I$57,$Z165)&amp;"",INDEX(Îlots!$N$8:$N$57,$Z165)&amp;""))</f>
        <v/>
      </c>
      <c r="F165" s="44"/>
      <c r="G165" s="44"/>
      <c r="H165" s="46" t="str">
        <f>IF($AA165="","",INDEX(Fertilisants!$D$8:$D$47,$AA165)&amp;"")</f>
        <v/>
      </c>
      <c r="I165" s="47"/>
      <c r="J165" s="48"/>
      <c r="K165" s="46" t="str">
        <f>IF($AA165="","",INDEX(Fertilisants!$E$8:$E$47,$AA165)&amp;"")</f>
        <v/>
      </c>
      <c r="L165" s="49" t="str">
        <f t="shared" si="28"/>
        <v/>
      </c>
      <c r="M165" s="50" t="str">
        <f>IF(OR($J165="",$AA165=""),"",$J165*N(INDEX(Fertilisants!$G$8:$G$47,$AA165)))</f>
        <v/>
      </c>
      <c r="N165" s="50" t="str">
        <f>IF(OR($J165="",$AA165=""),"",$J165*N(INDEX(Fertilisants!$I$8:$I$47,$AA165)))</f>
        <v/>
      </c>
      <c r="O165" s="50" t="str">
        <f>IF(OR($J165="",$AA165=""),"",$J165*N(INDEX(Fertilisants!$J$8:$J$47,$AA165)))</f>
        <v/>
      </c>
      <c r="P165" s="50" t="str">
        <f>IF(OR($J165="",$AA165=""),"",$J165*N(INDEX(Fertilisants!$K$8:$K$47,$AA165)))</f>
        <v/>
      </c>
      <c r="Q165" s="50" t="str">
        <f t="shared" si="29"/>
        <v/>
      </c>
      <c r="R165" s="44"/>
      <c r="S165" s="44"/>
      <c r="T165" s="51"/>
      <c r="U165" s="44"/>
      <c r="V165" s="43"/>
      <c r="W165" s="52" t="str">
        <f t="shared" si="30"/>
        <v/>
      </c>
      <c r="X165" s="44"/>
      <c r="Z165" s="53" t="str">
        <f>IF($D165="","",IFERROR(MATCH($D165,Îlots!$D$8:$D$57,0),""))</f>
        <v/>
      </c>
      <c r="AA165" s="53" t="str">
        <f>IF($G165="","",IFERROR(MATCH($G165,Fertilisants!$B$8:$B$47,0),""))</f>
        <v/>
      </c>
      <c r="AB165" s="53" t="str">
        <f>IF($Z165="","",INDEX(Îlots!$E$8:$E$57,$Z165))</f>
        <v/>
      </c>
      <c r="AC165" s="53" t="str">
        <f>IF($Z165="","",INDEX(Îlots!$G$8:$G$57,$Z165)&amp;"")</f>
        <v/>
      </c>
      <c r="AD165" s="53" t="str">
        <f>IF($Z165="","",IF($F165=ApportCouvert,OccCouvert,INDEX(Îlots!$O$8:$O$57,$Z165)&amp;""))</f>
        <v/>
      </c>
      <c r="AE165" s="53" t="str">
        <f t="shared" si="31"/>
        <v/>
      </c>
      <c r="AF165" s="53" t="str">
        <f t="shared" si="32"/>
        <v/>
      </c>
      <c r="AG165" s="53" t="str">
        <f t="shared" si="33"/>
        <v/>
      </c>
      <c r="AH165" s="53">
        <f t="shared" si="34"/>
        <v>0</v>
      </c>
      <c r="AI165" s="53">
        <f t="shared" si="35"/>
        <v>0</v>
      </c>
      <c r="AJ165" s="53">
        <f t="shared" si="36"/>
        <v>0</v>
      </c>
      <c r="AK165" s="53">
        <f t="shared" si="37"/>
        <v>0</v>
      </c>
      <c r="AL165" s="53">
        <f t="shared" si="38"/>
        <v>0</v>
      </c>
      <c r="AM165" s="53">
        <f>IF($AA165="",0,IF(INDEX(Fertilisants!$C$8:$C$47,$AA165)="Effluent d'élevage",1,0))</f>
        <v>0</v>
      </c>
      <c r="AN165" s="53" t="str">
        <f>IF($AA165="","",IF(INDEX(Fertilisants!$C$8:$C$47,$AA165)="Engrais minéral","Minéral","Organique"))</f>
        <v/>
      </c>
      <c r="AO165" s="53" t="str">
        <f t="shared" si="39"/>
        <v/>
      </c>
      <c r="AP165" s="53" t="str">
        <f t="shared" si="40"/>
        <v/>
      </c>
      <c r="AQ165" s="53" t="str">
        <f t="shared" si="41"/>
        <v/>
      </c>
      <c r="AR165" s="53" t="str">
        <f>IF(AND($D165&lt;&gt;"",$D165=FicheIlot),COUNTIF($D$8:$D165,FicheIlot),"")</f>
        <v/>
      </c>
    </row>
    <row r="166" spans="2:44" ht="18.95" customHeight="1" x14ac:dyDescent="0.25">
      <c r="B166" s="42" t="str">
        <f>IF(C166="","",COUNT($C$8:C166))</f>
        <v/>
      </c>
      <c r="C166" s="43"/>
      <c r="D166" s="44"/>
      <c r="E166" s="45" t="str">
        <f>IF($Z166="","",IF($F166=ApportCouvert,INDEX(Îlots!$I$8:$I$57,$Z166)&amp;"",INDEX(Îlots!$N$8:$N$57,$Z166)&amp;""))</f>
        <v/>
      </c>
      <c r="F166" s="44"/>
      <c r="G166" s="44"/>
      <c r="H166" s="46" t="str">
        <f>IF($AA166="","",INDEX(Fertilisants!$D$8:$D$47,$AA166)&amp;"")</f>
        <v/>
      </c>
      <c r="I166" s="47"/>
      <c r="J166" s="48"/>
      <c r="K166" s="46" t="str">
        <f>IF($AA166="","",INDEX(Fertilisants!$E$8:$E$47,$AA166)&amp;"")</f>
        <v/>
      </c>
      <c r="L166" s="49" t="str">
        <f t="shared" si="28"/>
        <v/>
      </c>
      <c r="M166" s="50" t="str">
        <f>IF(OR($J166="",$AA166=""),"",$J166*N(INDEX(Fertilisants!$G$8:$G$47,$AA166)))</f>
        <v/>
      </c>
      <c r="N166" s="50" t="str">
        <f>IF(OR($J166="",$AA166=""),"",$J166*N(INDEX(Fertilisants!$I$8:$I$47,$AA166)))</f>
        <v/>
      </c>
      <c r="O166" s="50" t="str">
        <f>IF(OR($J166="",$AA166=""),"",$J166*N(INDEX(Fertilisants!$J$8:$J$47,$AA166)))</f>
        <v/>
      </c>
      <c r="P166" s="50" t="str">
        <f>IF(OR($J166="",$AA166=""),"",$J166*N(INDEX(Fertilisants!$K$8:$K$47,$AA166)))</f>
        <v/>
      </c>
      <c r="Q166" s="50" t="str">
        <f t="shared" si="29"/>
        <v/>
      </c>
      <c r="R166" s="44"/>
      <c r="S166" s="44"/>
      <c r="T166" s="51"/>
      <c r="U166" s="44"/>
      <c r="V166" s="43"/>
      <c r="W166" s="52" t="str">
        <f t="shared" si="30"/>
        <v/>
      </c>
      <c r="X166" s="44"/>
      <c r="Z166" s="53" t="str">
        <f>IF($D166="","",IFERROR(MATCH($D166,Îlots!$D$8:$D$57,0),""))</f>
        <v/>
      </c>
      <c r="AA166" s="53" t="str">
        <f>IF($G166="","",IFERROR(MATCH($G166,Fertilisants!$B$8:$B$47,0),""))</f>
        <v/>
      </c>
      <c r="AB166" s="53" t="str">
        <f>IF($Z166="","",INDEX(Îlots!$E$8:$E$57,$Z166))</f>
        <v/>
      </c>
      <c r="AC166" s="53" t="str">
        <f>IF($Z166="","",INDEX(Îlots!$G$8:$G$57,$Z166)&amp;"")</f>
        <v/>
      </c>
      <c r="AD166" s="53" t="str">
        <f>IF($Z166="","",IF($F166=ApportCouvert,OccCouvert,INDEX(Îlots!$O$8:$O$57,$Z166)&amp;""))</f>
        <v/>
      </c>
      <c r="AE166" s="53" t="str">
        <f t="shared" si="31"/>
        <v/>
      </c>
      <c r="AF166" s="53" t="str">
        <f t="shared" si="32"/>
        <v/>
      </c>
      <c r="AG166" s="53" t="str">
        <f t="shared" si="33"/>
        <v/>
      </c>
      <c r="AH166" s="53">
        <f t="shared" si="34"/>
        <v>0</v>
      </c>
      <c r="AI166" s="53">
        <f t="shared" si="35"/>
        <v>0</v>
      </c>
      <c r="AJ166" s="53">
        <f t="shared" si="36"/>
        <v>0</v>
      </c>
      <c r="AK166" s="53">
        <f t="shared" si="37"/>
        <v>0</v>
      </c>
      <c r="AL166" s="53">
        <f t="shared" si="38"/>
        <v>0</v>
      </c>
      <c r="AM166" s="53">
        <f>IF($AA166="",0,IF(INDEX(Fertilisants!$C$8:$C$47,$AA166)="Effluent d'élevage",1,0))</f>
        <v>0</v>
      </c>
      <c r="AN166" s="53" t="str">
        <f>IF($AA166="","",IF(INDEX(Fertilisants!$C$8:$C$47,$AA166)="Engrais minéral","Minéral","Organique"))</f>
        <v/>
      </c>
      <c r="AO166" s="53" t="str">
        <f t="shared" si="39"/>
        <v/>
      </c>
      <c r="AP166" s="53" t="str">
        <f t="shared" si="40"/>
        <v/>
      </c>
      <c r="AQ166" s="53" t="str">
        <f t="shared" si="41"/>
        <v/>
      </c>
      <c r="AR166" s="53" t="str">
        <f>IF(AND($D166&lt;&gt;"",$D166=FicheIlot),COUNTIF($D$8:$D166,FicheIlot),"")</f>
        <v/>
      </c>
    </row>
    <row r="167" spans="2:44" ht="18.95" customHeight="1" x14ac:dyDescent="0.25">
      <c r="B167" s="42" t="str">
        <f>IF(C167="","",COUNT($C$8:C167))</f>
        <v/>
      </c>
      <c r="C167" s="43"/>
      <c r="D167" s="44"/>
      <c r="E167" s="45" t="str">
        <f>IF($Z167="","",IF($F167=ApportCouvert,INDEX(Îlots!$I$8:$I$57,$Z167)&amp;"",INDEX(Îlots!$N$8:$N$57,$Z167)&amp;""))</f>
        <v/>
      </c>
      <c r="F167" s="44"/>
      <c r="G167" s="44"/>
      <c r="H167" s="46" t="str">
        <f>IF($AA167="","",INDEX(Fertilisants!$D$8:$D$47,$AA167)&amp;"")</f>
        <v/>
      </c>
      <c r="I167" s="47"/>
      <c r="J167" s="48"/>
      <c r="K167" s="46" t="str">
        <f>IF($AA167="","",INDEX(Fertilisants!$E$8:$E$47,$AA167)&amp;"")</f>
        <v/>
      </c>
      <c r="L167" s="49" t="str">
        <f t="shared" si="28"/>
        <v/>
      </c>
      <c r="M167" s="50" t="str">
        <f>IF(OR($J167="",$AA167=""),"",$J167*N(INDEX(Fertilisants!$G$8:$G$47,$AA167)))</f>
        <v/>
      </c>
      <c r="N167" s="50" t="str">
        <f>IF(OR($J167="",$AA167=""),"",$J167*N(INDEX(Fertilisants!$I$8:$I$47,$AA167)))</f>
        <v/>
      </c>
      <c r="O167" s="50" t="str">
        <f>IF(OR($J167="",$AA167=""),"",$J167*N(INDEX(Fertilisants!$J$8:$J$47,$AA167)))</f>
        <v/>
      </c>
      <c r="P167" s="50" t="str">
        <f>IF(OR($J167="",$AA167=""),"",$J167*N(INDEX(Fertilisants!$K$8:$K$47,$AA167)))</f>
        <v/>
      </c>
      <c r="Q167" s="50" t="str">
        <f t="shared" si="29"/>
        <v/>
      </c>
      <c r="R167" s="44"/>
      <c r="S167" s="44"/>
      <c r="T167" s="51"/>
      <c r="U167" s="44"/>
      <c r="V167" s="43"/>
      <c r="W167" s="52" t="str">
        <f t="shared" si="30"/>
        <v/>
      </c>
      <c r="X167" s="44"/>
      <c r="Z167" s="53" t="str">
        <f>IF($D167="","",IFERROR(MATCH($D167,Îlots!$D$8:$D$57,0),""))</f>
        <v/>
      </c>
      <c r="AA167" s="53" t="str">
        <f>IF($G167="","",IFERROR(MATCH($G167,Fertilisants!$B$8:$B$47,0),""))</f>
        <v/>
      </c>
      <c r="AB167" s="53" t="str">
        <f>IF($Z167="","",INDEX(Îlots!$E$8:$E$57,$Z167))</f>
        <v/>
      </c>
      <c r="AC167" s="53" t="str">
        <f>IF($Z167="","",INDEX(Îlots!$G$8:$G$57,$Z167)&amp;"")</f>
        <v/>
      </c>
      <c r="AD167" s="53" t="str">
        <f>IF($Z167="","",IF($F167=ApportCouvert,OccCouvert,INDEX(Îlots!$O$8:$O$57,$Z167)&amp;""))</f>
        <v/>
      </c>
      <c r="AE167" s="53" t="str">
        <f t="shared" si="31"/>
        <v/>
      </c>
      <c r="AF167" s="53" t="str">
        <f t="shared" si="32"/>
        <v/>
      </c>
      <c r="AG167" s="53" t="str">
        <f t="shared" si="33"/>
        <v/>
      </c>
      <c r="AH167" s="53">
        <f t="shared" si="34"/>
        <v>0</v>
      </c>
      <c r="AI167" s="53">
        <f t="shared" si="35"/>
        <v>0</v>
      </c>
      <c r="AJ167" s="53">
        <f t="shared" si="36"/>
        <v>0</v>
      </c>
      <c r="AK167" s="53">
        <f t="shared" si="37"/>
        <v>0</v>
      </c>
      <c r="AL167" s="53">
        <f t="shared" si="38"/>
        <v>0</v>
      </c>
      <c r="AM167" s="53">
        <f>IF($AA167="",0,IF(INDEX(Fertilisants!$C$8:$C$47,$AA167)="Effluent d'élevage",1,0))</f>
        <v>0</v>
      </c>
      <c r="AN167" s="53" t="str">
        <f>IF($AA167="","",IF(INDEX(Fertilisants!$C$8:$C$47,$AA167)="Engrais minéral","Minéral","Organique"))</f>
        <v/>
      </c>
      <c r="AO167" s="53" t="str">
        <f t="shared" si="39"/>
        <v/>
      </c>
      <c r="AP167" s="53" t="str">
        <f t="shared" si="40"/>
        <v/>
      </c>
      <c r="AQ167" s="53" t="str">
        <f t="shared" si="41"/>
        <v/>
      </c>
      <c r="AR167" s="53" t="str">
        <f>IF(AND($D167&lt;&gt;"",$D167=FicheIlot),COUNTIF($D$8:$D167,FicheIlot),"")</f>
        <v/>
      </c>
    </row>
    <row r="168" spans="2:44" ht="18.95" customHeight="1" x14ac:dyDescent="0.25">
      <c r="B168" s="42" t="str">
        <f>IF(C168="","",COUNT($C$8:C168))</f>
        <v/>
      </c>
      <c r="C168" s="43"/>
      <c r="D168" s="44"/>
      <c r="E168" s="45" t="str">
        <f>IF($Z168="","",IF($F168=ApportCouvert,INDEX(Îlots!$I$8:$I$57,$Z168)&amp;"",INDEX(Îlots!$N$8:$N$57,$Z168)&amp;""))</f>
        <v/>
      </c>
      <c r="F168" s="44"/>
      <c r="G168" s="44"/>
      <c r="H168" s="46" t="str">
        <f>IF($AA168="","",INDEX(Fertilisants!$D$8:$D$47,$AA168)&amp;"")</f>
        <v/>
      </c>
      <c r="I168" s="47"/>
      <c r="J168" s="48"/>
      <c r="K168" s="46" t="str">
        <f>IF($AA168="","",INDEX(Fertilisants!$E$8:$E$47,$AA168)&amp;"")</f>
        <v/>
      </c>
      <c r="L168" s="49" t="str">
        <f t="shared" si="28"/>
        <v/>
      </c>
      <c r="M168" s="50" t="str">
        <f>IF(OR($J168="",$AA168=""),"",$J168*N(INDEX(Fertilisants!$G$8:$G$47,$AA168)))</f>
        <v/>
      </c>
      <c r="N168" s="50" t="str">
        <f>IF(OR($J168="",$AA168=""),"",$J168*N(INDEX(Fertilisants!$I$8:$I$47,$AA168)))</f>
        <v/>
      </c>
      <c r="O168" s="50" t="str">
        <f>IF(OR($J168="",$AA168=""),"",$J168*N(INDEX(Fertilisants!$J$8:$J$47,$AA168)))</f>
        <v/>
      </c>
      <c r="P168" s="50" t="str">
        <f>IF(OR($J168="",$AA168=""),"",$J168*N(INDEX(Fertilisants!$K$8:$K$47,$AA168)))</f>
        <v/>
      </c>
      <c r="Q168" s="50" t="str">
        <f t="shared" si="29"/>
        <v/>
      </c>
      <c r="R168" s="44"/>
      <c r="S168" s="44"/>
      <c r="T168" s="51"/>
      <c r="U168" s="44"/>
      <c r="V168" s="43"/>
      <c r="W168" s="52" t="str">
        <f t="shared" si="30"/>
        <v/>
      </c>
      <c r="X168" s="44"/>
      <c r="Z168" s="53" t="str">
        <f>IF($D168="","",IFERROR(MATCH($D168,Îlots!$D$8:$D$57,0),""))</f>
        <v/>
      </c>
      <c r="AA168" s="53" t="str">
        <f>IF($G168="","",IFERROR(MATCH($G168,Fertilisants!$B$8:$B$47,0),""))</f>
        <v/>
      </c>
      <c r="AB168" s="53" t="str">
        <f>IF($Z168="","",INDEX(Îlots!$E$8:$E$57,$Z168))</f>
        <v/>
      </c>
      <c r="AC168" s="53" t="str">
        <f>IF($Z168="","",INDEX(Îlots!$G$8:$G$57,$Z168)&amp;"")</f>
        <v/>
      </c>
      <c r="AD168" s="53" t="str">
        <f>IF($Z168="","",IF($F168=ApportCouvert,OccCouvert,INDEX(Îlots!$O$8:$O$57,$Z168)&amp;""))</f>
        <v/>
      </c>
      <c r="AE168" s="53" t="str">
        <f t="shared" si="31"/>
        <v/>
      </c>
      <c r="AF168" s="53" t="str">
        <f t="shared" si="32"/>
        <v/>
      </c>
      <c r="AG168" s="53" t="str">
        <f t="shared" si="33"/>
        <v/>
      </c>
      <c r="AH168" s="53">
        <f t="shared" si="34"/>
        <v>0</v>
      </c>
      <c r="AI168" s="53">
        <f t="shared" si="35"/>
        <v>0</v>
      </c>
      <c r="AJ168" s="53">
        <f t="shared" si="36"/>
        <v>0</v>
      </c>
      <c r="AK168" s="53">
        <f t="shared" si="37"/>
        <v>0</v>
      </c>
      <c r="AL168" s="53">
        <f t="shared" si="38"/>
        <v>0</v>
      </c>
      <c r="AM168" s="53">
        <f>IF($AA168="",0,IF(INDEX(Fertilisants!$C$8:$C$47,$AA168)="Effluent d'élevage",1,0))</f>
        <v>0</v>
      </c>
      <c r="AN168" s="53" t="str">
        <f>IF($AA168="","",IF(INDEX(Fertilisants!$C$8:$C$47,$AA168)="Engrais minéral","Minéral","Organique"))</f>
        <v/>
      </c>
      <c r="AO168" s="53" t="str">
        <f t="shared" si="39"/>
        <v/>
      </c>
      <c r="AP168" s="53" t="str">
        <f t="shared" si="40"/>
        <v/>
      </c>
      <c r="AQ168" s="53" t="str">
        <f t="shared" si="41"/>
        <v/>
      </c>
      <c r="AR168" s="53" t="str">
        <f>IF(AND($D168&lt;&gt;"",$D168=FicheIlot),COUNTIF($D$8:$D168,FicheIlot),"")</f>
        <v/>
      </c>
    </row>
    <row r="169" spans="2:44" ht="18.95" customHeight="1" x14ac:dyDescent="0.25">
      <c r="B169" s="42" t="str">
        <f>IF(C169="","",COUNT($C$8:C169))</f>
        <v/>
      </c>
      <c r="C169" s="43"/>
      <c r="D169" s="44"/>
      <c r="E169" s="45" t="str">
        <f>IF($Z169="","",IF($F169=ApportCouvert,INDEX(Îlots!$I$8:$I$57,$Z169)&amp;"",INDEX(Îlots!$N$8:$N$57,$Z169)&amp;""))</f>
        <v/>
      </c>
      <c r="F169" s="44"/>
      <c r="G169" s="44"/>
      <c r="H169" s="46" t="str">
        <f>IF($AA169="","",INDEX(Fertilisants!$D$8:$D$47,$AA169)&amp;"")</f>
        <v/>
      </c>
      <c r="I169" s="47"/>
      <c r="J169" s="48"/>
      <c r="K169" s="46" t="str">
        <f>IF($AA169="","",INDEX(Fertilisants!$E$8:$E$47,$AA169)&amp;"")</f>
        <v/>
      </c>
      <c r="L169" s="49" t="str">
        <f t="shared" si="28"/>
        <v/>
      </c>
      <c r="M169" s="50" t="str">
        <f>IF(OR($J169="",$AA169=""),"",$J169*N(INDEX(Fertilisants!$G$8:$G$47,$AA169)))</f>
        <v/>
      </c>
      <c r="N169" s="50" t="str">
        <f>IF(OR($J169="",$AA169=""),"",$J169*N(INDEX(Fertilisants!$I$8:$I$47,$AA169)))</f>
        <v/>
      </c>
      <c r="O169" s="50" t="str">
        <f>IF(OR($J169="",$AA169=""),"",$J169*N(INDEX(Fertilisants!$J$8:$J$47,$AA169)))</f>
        <v/>
      </c>
      <c r="P169" s="50" t="str">
        <f>IF(OR($J169="",$AA169=""),"",$J169*N(INDEX(Fertilisants!$K$8:$K$47,$AA169)))</f>
        <v/>
      </c>
      <c r="Q169" s="50" t="str">
        <f t="shared" si="29"/>
        <v/>
      </c>
      <c r="R169" s="44"/>
      <c r="S169" s="44"/>
      <c r="T169" s="51"/>
      <c r="U169" s="44"/>
      <c r="V169" s="43"/>
      <c r="W169" s="52" t="str">
        <f t="shared" si="30"/>
        <v/>
      </c>
      <c r="X169" s="44"/>
      <c r="Z169" s="53" t="str">
        <f>IF($D169="","",IFERROR(MATCH($D169,Îlots!$D$8:$D$57,0),""))</f>
        <v/>
      </c>
      <c r="AA169" s="53" t="str">
        <f>IF($G169="","",IFERROR(MATCH($G169,Fertilisants!$B$8:$B$47,0),""))</f>
        <v/>
      </c>
      <c r="AB169" s="53" t="str">
        <f>IF($Z169="","",INDEX(Îlots!$E$8:$E$57,$Z169))</f>
        <v/>
      </c>
      <c r="AC169" s="53" t="str">
        <f>IF($Z169="","",INDEX(Îlots!$G$8:$G$57,$Z169)&amp;"")</f>
        <v/>
      </c>
      <c r="AD169" s="53" t="str">
        <f>IF($Z169="","",IF($F169=ApportCouvert,OccCouvert,INDEX(Îlots!$O$8:$O$57,$Z169)&amp;""))</f>
        <v/>
      </c>
      <c r="AE169" s="53" t="str">
        <f t="shared" si="31"/>
        <v/>
      </c>
      <c r="AF169" s="53" t="str">
        <f t="shared" si="32"/>
        <v/>
      </c>
      <c r="AG169" s="53" t="str">
        <f t="shared" si="33"/>
        <v/>
      </c>
      <c r="AH169" s="53">
        <f t="shared" si="34"/>
        <v>0</v>
      </c>
      <c r="AI169" s="53">
        <f t="shared" si="35"/>
        <v>0</v>
      </c>
      <c r="AJ169" s="53">
        <f t="shared" si="36"/>
        <v>0</v>
      </c>
      <c r="AK169" s="53">
        <f t="shared" si="37"/>
        <v>0</v>
      </c>
      <c r="AL169" s="53">
        <f t="shared" si="38"/>
        <v>0</v>
      </c>
      <c r="AM169" s="53">
        <f>IF($AA169="",0,IF(INDEX(Fertilisants!$C$8:$C$47,$AA169)="Effluent d'élevage",1,0))</f>
        <v>0</v>
      </c>
      <c r="AN169" s="53" t="str">
        <f>IF($AA169="","",IF(INDEX(Fertilisants!$C$8:$C$47,$AA169)="Engrais minéral","Minéral","Organique"))</f>
        <v/>
      </c>
      <c r="AO169" s="53" t="str">
        <f t="shared" si="39"/>
        <v/>
      </c>
      <c r="AP169" s="53" t="str">
        <f t="shared" si="40"/>
        <v/>
      </c>
      <c r="AQ169" s="53" t="str">
        <f t="shared" si="41"/>
        <v/>
      </c>
      <c r="AR169" s="53" t="str">
        <f>IF(AND($D169&lt;&gt;"",$D169=FicheIlot),COUNTIF($D$8:$D169,FicheIlot),"")</f>
        <v/>
      </c>
    </row>
    <row r="170" spans="2:44" ht="18.95" customHeight="1" x14ac:dyDescent="0.25">
      <c r="B170" s="42" t="str">
        <f>IF(C170="","",COUNT($C$8:C170))</f>
        <v/>
      </c>
      <c r="C170" s="43"/>
      <c r="D170" s="44"/>
      <c r="E170" s="45" t="str">
        <f>IF($Z170="","",IF($F170=ApportCouvert,INDEX(Îlots!$I$8:$I$57,$Z170)&amp;"",INDEX(Îlots!$N$8:$N$57,$Z170)&amp;""))</f>
        <v/>
      </c>
      <c r="F170" s="44"/>
      <c r="G170" s="44"/>
      <c r="H170" s="46" t="str">
        <f>IF($AA170="","",INDEX(Fertilisants!$D$8:$D$47,$AA170)&amp;"")</f>
        <v/>
      </c>
      <c r="I170" s="47"/>
      <c r="J170" s="48"/>
      <c r="K170" s="46" t="str">
        <f>IF($AA170="","",INDEX(Fertilisants!$E$8:$E$47,$AA170)&amp;"")</f>
        <v/>
      </c>
      <c r="L170" s="49" t="str">
        <f t="shared" si="28"/>
        <v/>
      </c>
      <c r="M170" s="50" t="str">
        <f>IF(OR($J170="",$AA170=""),"",$J170*N(INDEX(Fertilisants!$G$8:$G$47,$AA170)))</f>
        <v/>
      </c>
      <c r="N170" s="50" t="str">
        <f>IF(OR($J170="",$AA170=""),"",$J170*N(INDEX(Fertilisants!$I$8:$I$47,$AA170)))</f>
        <v/>
      </c>
      <c r="O170" s="50" t="str">
        <f>IF(OR($J170="",$AA170=""),"",$J170*N(INDEX(Fertilisants!$J$8:$J$47,$AA170)))</f>
        <v/>
      </c>
      <c r="P170" s="50" t="str">
        <f>IF(OR($J170="",$AA170=""),"",$J170*N(INDEX(Fertilisants!$K$8:$K$47,$AA170)))</f>
        <v/>
      </c>
      <c r="Q170" s="50" t="str">
        <f t="shared" si="29"/>
        <v/>
      </c>
      <c r="R170" s="44"/>
      <c r="S170" s="44"/>
      <c r="T170" s="51"/>
      <c r="U170" s="44"/>
      <c r="V170" s="43"/>
      <c r="W170" s="52" t="str">
        <f t="shared" si="30"/>
        <v/>
      </c>
      <c r="X170" s="44"/>
      <c r="Z170" s="53" t="str">
        <f>IF($D170="","",IFERROR(MATCH($D170,Îlots!$D$8:$D$57,0),""))</f>
        <v/>
      </c>
      <c r="AA170" s="53" t="str">
        <f>IF($G170="","",IFERROR(MATCH($G170,Fertilisants!$B$8:$B$47,0),""))</f>
        <v/>
      </c>
      <c r="AB170" s="53" t="str">
        <f>IF($Z170="","",INDEX(Îlots!$E$8:$E$57,$Z170))</f>
        <v/>
      </c>
      <c r="AC170" s="53" t="str">
        <f>IF($Z170="","",INDEX(Îlots!$G$8:$G$57,$Z170)&amp;"")</f>
        <v/>
      </c>
      <c r="AD170" s="53" t="str">
        <f>IF($Z170="","",IF($F170=ApportCouvert,OccCouvert,INDEX(Îlots!$O$8:$O$57,$Z170)&amp;""))</f>
        <v/>
      </c>
      <c r="AE170" s="53" t="str">
        <f t="shared" si="31"/>
        <v/>
      </c>
      <c r="AF170" s="53" t="str">
        <f t="shared" si="32"/>
        <v/>
      </c>
      <c r="AG170" s="53" t="str">
        <f t="shared" si="33"/>
        <v/>
      </c>
      <c r="AH170" s="53">
        <f t="shared" si="34"/>
        <v>0</v>
      </c>
      <c r="AI170" s="53">
        <f t="shared" si="35"/>
        <v>0</v>
      </c>
      <c r="AJ170" s="53">
        <f t="shared" si="36"/>
        <v>0</v>
      </c>
      <c r="AK170" s="53">
        <f t="shared" si="37"/>
        <v>0</v>
      </c>
      <c r="AL170" s="53">
        <f t="shared" si="38"/>
        <v>0</v>
      </c>
      <c r="AM170" s="53">
        <f>IF($AA170="",0,IF(INDEX(Fertilisants!$C$8:$C$47,$AA170)="Effluent d'élevage",1,0))</f>
        <v>0</v>
      </c>
      <c r="AN170" s="53" t="str">
        <f>IF($AA170="","",IF(INDEX(Fertilisants!$C$8:$C$47,$AA170)="Engrais minéral","Minéral","Organique"))</f>
        <v/>
      </c>
      <c r="AO170" s="53" t="str">
        <f t="shared" si="39"/>
        <v/>
      </c>
      <c r="AP170" s="53" t="str">
        <f t="shared" si="40"/>
        <v/>
      </c>
      <c r="AQ170" s="53" t="str">
        <f t="shared" si="41"/>
        <v/>
      </c>
      <c r="AR170" s="53" t="str">
        <f>IF(AND($D170&lt;&gt;"",$D170=FicheIlot),COUNTIF($D$8:$D170,FicheIlot),"")</f>
        <v/>
      </c>
    </row>
    <row r="171" spans="2:44" ht="18.95" customHeight="1" x14ac:dyDescent="0.25">
      <c r="B171" s="42" t="str">
        <f>IF(C171="","",COUNT($C$8:C171))</f>
        <v/>
      </c>
      <c r="C171" s="43"/>
      <c r="D171" s="44"/>
      <c r="E171" s="45" t="str">
        <f>IF($Z171="","",IF($F171=ApportCouvert,INDEX(Îlots!$I$8:$I$57,$Z171)&amp;"",INDEX(Îlots!$N$8:$N$57,$Z171)&amp;""))</f>
        <v/>
      </c>
      <c r="F171" s="44"/>
      <c r="G171" s="44"/>
      <c r="H171" s="46" t="str">
        <f>IF($AA171="","",INDEX(Fertilisants!$D$8:$D$47,$AA171)&amp;"")</f>
        <v/>
      </c>
      <c r="I171" s="47"/>
      <c r="J171" s="48"/>
      <c r="K171" s="46" t="str">
        <f>IF($AA171="","",INDEX(Fertilisants!$E$8:$E$47,$AA171)&amp;"")</f>
        <v/>
      </c>
      <c r="L171" s="49" t="str">
        <f t="shared" si="28"/>
        <v/>
      </c>
      <c r="M171" s="50" t="str">
        <f>IF(OR($J171="",$AA171=""),"",$J171*N(INDEX(Fertilisants!$G$8:$G$47,$AA171)))</f>
        <v/>
      </c>
      <c r="N171" s="50" t="str">
        <f>IF(OR($J171="",$AA171=""),"",$J171*N(INDEX(Fertilisants!$I$8:$I$47,$AA171)))</f>
        <v/>
      </c>
      <c r="O171" s="50" t="str">
        <f>IF(OR($J171="",$AA171=""),"",$J171*N(INDEX(Fertilisants!$J$8:$J$47,$AA171)))</f>
        <v/>
      </c>
      <c r="P171" s="50" t="str">
        <f>IF(OR($J171="",$AA171=""),"",$J171*N(INDEX(Fertilisants!$K$8:$K$47,$AA171)))</f>
        <v/>
      </c>
      <c r="Q171" s="50" t="str">
        <f t="shared" si="29"/>
        <v/>
      </c>
      <c r="R171" s="44"/>
      <c r="S171" s="44"/>
      <c r="T171" s="51"/>
      <c r="U171" s="44"/>
      <c r="V171" s="43"/>
      <c r="W171" s="52" t="str">
        <f t="shared" si="30"/>
        <v/>
      </c>
      <c r="X171" s="44"/>
      <c r="Z171" s="53" t="str">
        <f>IF($D171="","",IFERROR(MATCH($D171,Îlots!$D$8:$D$57,0),""))</f>
        <v/>
      </c>
      <c r="AA171" s="53" t="str">
        <f>IF($G171="","",IFERROR(MATCH($G171,Fertilisants!$B$8:$B$47,0),""))</f>
        <v/>
      </c>
      <c r="AB171" s="53" t="str">
        <f>IF($Z171="","",INDEX(Îlots!$E$8:$E$57,$Z171))</f>
        <v/>
      </c>
      <c r="AC171" s="53" t="str">
        <f>IF($Z171="","",INDEX(Îlots!$G$8:$G$57,$Z171)&amp;"")</f>
        <v/>
      </c>
      <c r="AD171" s="53" t="str">
        <f>IF($Z171="","",IF($F171=ApportCouvert,OccCouvert,INDEX(Îlots!$O$8:$O$57,$Z171)&amp;""))</f>
        <v/>
      </c>
      <c r="AE171" s="53" t="str">
        <f t="shared" si="31"/>
        <v/>
      </c>
      <c r="AF171" s="53" t="str">
        <f t="shared" si="32"/>
        <v/>
      </c>
      <c r="AG171" s="53" t="str">
        <f t="shared" si="33"/>
        <v/>
      </c>
      <c r="AH171" s="53">
        <f t="shared" si="34"/>
        <v>0</v>
      </c>
      <c r="AI171" s="53">
        <f t="shared" si="35"/>
        <v>0</v>
      </c>
      <c r="AJ171" s="53">
        <f t="shared" si="36"/>
        <v>0</v>
      </c>
      <c r="AK171" s="53">
        <f t="shared" si="37"/>
        <v>0</v>
      </c>
      <c r="AL171" s="53">
        <f t="shared" si="38"/>
        <v>0</v>
      </c>
      <c r="AM171" s="53">
        <f>IF($AA171="",0,IF(INDEX(Fertilisants!$C$8:$C$47,$AA171)="Effluent d'élevage",1,0))</f>
        <v>0</v>
      </c>
      <c r="AN171" s="53" t="str">
        <f>IF($AA171="","",IF(INDEX(Fertilisants!$C$8:$C$47,$AA171)="Engrais minéral","Minéral","Organique"))</f>
        <v/>
      </c>
      <c r="AO171" s="53" t="str">
        <f t="shared" si="39"/>
        <v/>
      </c>
      <c r="AP171" s="53" t="str">
        <f t="shared" si="40"/>
        <v/>
      </c>
      <c r="AQ171" s="53" t="str">
        <f t="shared" si="41"/>
        <v/>
      </c>
      <c r="AR171" s="53" t="str">
        <f>IF(AND($D171&lt;&gt;"",$D171=FicheIlot),COUNTIF($D$8:$D171,FicheIlot),"")</f>
        <v/>
      </c>
    </row>
    <row r="172" spans="2:44" ht="18.95" customHeight="1" x14ac:dyDescent="0.25">
      <c r="B172" s="42" t="str">
        <f>IF(C172="","",COUNT($C$8:C172))</f>
        <v/>
      </c>
      <c r="C172" s="43"/>
      <c r="D172" s="44"/>
      <c r="E172" s="45" t="str">
        <f>IF($Z172="","",IF($F172=ApportCouvert,INDEX(Îlots!$I$8:$I$57,$Z172)&amp;"",INDEX(Îlots!$N$8:$N$57,$Z172)&amp;""))</f>
        <v/>
      </c>
      <c r="F172" s="44"/>
      <c r="G172" s="44"/>
      <c r="H172" s="46" t="str">
        <f>IF($AA172="","",INDEX(Fertilisants!$D$8:$D$47,$AA172)&amp;"")</f>
        <v/>
      </c>
      <c r="I172" s="47"/>
      <c r="J172" s="48"/>
      <c r="K172" s="46" t="str">
        <f>IF($AA172="","",INDEX(Fertilisants!$E$8:$E$47,$AA172)&amp;"")</f>
        <v/>
      </c>
      <c r="L172" s="49" t="str">
        <f t="shared" si="28"/>
        <v/>
      </c>
      <c r="M172" s="50" t="str">
        <f>IF(OR($J172="",$AA172=""),"",$J172*N(INDEX(Fertilisants!$G$8:$G$47,$AA172)))</f>
        <v/>
      </c>
      <c r="N172" s="50" t="str">
        <f>IF(OR($J172="",$AA172=""),"",$J172*N(INDEX(Fertilisants!$I$8:$I$47,$AA172)))</f>
        <v/>
      </c>
      <c r="O172" s="50" t="str">
        <f>IF(OR($J172="",$AA172=""),"",$J172*N(INDEX(Fertilisants!$J$8:$J$47,$AA172)))</f>
        <v/>
      </c>
      <c r="P172" s="50" t="str">
        <f>IF(OR($J172="",$AA172=""),"",$J172*N(INDEX(Fertilisants!$K$8:$K$47,$AA172)))</f>
        <v/>
      </c>
      <c r="Q172" s="50" t="str">
        <f t="shared" si="29"/>
        <v/>
      </c>
      <c r="R172" s="44"/>
      <c r="S172" s="44"/>
      <c r="T172" s="51"/>
      <c r="U172" s="44"/>
      <c r="V172" s="43"/>
      <c r="W172" s="52" t="str">
        <f t="shared" si="30"/>
        <v/>
      </c>
      <c r="X172" s="44"/>
      <c r="Z172" s="53" t="str">
        <f>IF($D172="","",IFERROR(MATCH($D172,Îlots!$D$8:$D$57,0),""))</f>
        <v/>
      </c>
      <c r="AA172" s="53" t="str">
        <f>IF($G172="","",IFERROR(MATCH($G172,Fertilisants!$B$8:$B$47,0),""))</f>
        <v/>
      </c>
      <c r="AB172" s="53" t="str">
        <f>IF($Z172="","",INDEX(Îlots!$E$8:$E$57,$Z172))</f>
        <v/>
      </c>
      <c r="AC172" s="53" t="str">
        <f>IF($Z172="","",INDEX(Îlots!$G$8:$G$57,$Z172)&amp;"")</f>
        <v/>
      </c>
      <c r="AD172" s="53" t="str">
        <f>IF($Z172="","",IF($F172=ApportCouvert,OccCouvert,INDEX(Îlots!$O$8:$O$57,$Z172)&amp;""))</f>
        <v/>
      </c>
      <c r="AE172" s="53" t="str">
        <f t="shared" si="31"/>
        <v/>
      </c>
      <c r="AF172" s="53" t="str">
        <f t="shared" si="32"/>
        <v/>
      </c>
      <c r="AG172" s="53" t="str">
        <f t="shared" si="33"/>
        <v/>
      </c>
      <c r="AH172" s="53">
        <f t="shared" si="34"/>
        <v>0</v>
      </c>
      <c r="AI172" s="53">
        <f t="shared" si="35"/>
        <v>0</v>
      </c>
      <c r="AJ172" s="53">
        <f t="shared" si="36"/>
        <v>0</v>
      </c>
      <c r="AK172" s="53">
        <f t="shared" si="37"/>
        <v>0</v>
      </c>
      <c r="AL172" s="53">
        <f t="shared" si="38"/>
        <v>0</v>
      </c>
      <c r="AM172" s="53">
        <f>IF($AA172="",0,IF(INDEX(Fertilisants!$C$8:$C$47,$AA172)="Effluent d'élevage",1,0))</f>
        <v>0</v>
      </c>
      <c r="AN172" s="53" t="str">
        <f>IF($AA172="","",IF(INDEX(Fertilisants!$C$8:$C$47,$AA172)="Engrais minéral","Minéral","Organique"))</f>
        <v/>
      </c>
      <c r="AO172" s="53" t="str">
        <f t="shared" si="39"/>
        <v/>
      </c>
      <c r="AP172" s="53" t="str">
        <f t="shared" si="40"/>
        <v/>
      </c>
      <c r="AQ172" s="53" t="str">
        <f t="shared" si="41"/>
        <v/>
      </c>
      <c r="AR172" s="53" t="str">
        <f>IF(AND($D172&lt;&gt;"",$D172=FicheIlot),COUNTIF($D$8:$D172,FicheIlot),"")</f>
        <v/>
      </c>
    </row>
    <row r="173" spans="2:44" ht="18.95" customHeight="1" x14ac:dyDescent="0.25">
      <c r="B173" s="42" t="str">
        <f>IF(C173="","",COUNT($C$8:C173))</f>
        <v/>
      </c>
      <c r="C173" s="43"/>
      <c r="D173" s="44"/>
      <c r="E173" s="45" t="str">
        <f>IF($Z173="","",IF($F173=ApportCouvert,INDEX(Îlots!$I$8:$I$57,$Z173)&amp;"",INDEX(Îlots!$N$8:$N$57,$Z173)&amp;""))</f>
        <v/>
      </c>
      <c r="F173" s="44"/>
      <c r="G173" s="44"/>
      <c r="H173" s="46" t="str">
        <f>IF($AA173="","",INDEX(Fertilisants!$D$8:$D$47,$AA173)&amp;"")</f>
        <v/>
      </c>
      <c r="I173" s="47"/>
      <c r="J173" s="48"/>
      <c r="K173" s="46" t="str">
        <f>IF($AA173="","",INDEX(Fertilisants!$E$8:$E$47,$AA173)&amp;"")</f>
        <v/>
      </c>
      <c r="L173" s="49" t="str">
        <f t="shared" si="28"/>
        <v/>
      </c>
      <c r="M173" s="50" t="str">
        <f>IF(OR($J173="",$AA173=""),"",$J173*N(INDEX(Fertilisants!$G$8:$G$47,$AA173)))</f>
        <v/>
      </c>
      <c r="N173" s="50" t="str">
        <f>IF(OR($J173="",$AA173=""),"",$J173*N(INDEX(Fertilisants!$I$8:$I$47,$AA173)))</f>
        <v/>
      </c>
      <c r="O173" s="50" t="str">
        <f>IF(OR($J173="",$AA173=""),"",$J173*N(INDEX(Fertilisants!$J$8:$J$47,$AA173)))</f>
        <v/>
      </c>
      <c r="P173" s="50" t="str">
        <f>IF(OR($J173="",$AA173=""),"",$J173*N(INDEX(Fertilisants!$K$8:$K$47,$AA173)))</f>
        <v/>
      </c>
      <c r="Q173" s="50" t="str">
        <f t="shared" si="29"/>
        <v/>
      </c>
      <c r="R173" s="44"/>
      <c r="S173" s="44"/>
      <c r="T173" s="51"/>
      <c r="U173" s="44"/>
      <c r="V173" s="43"/>
      <c r="W173" s="52" t="str">
        <f t="shared" si="30"/>
        <v/>
      </c>
      <c r="X173" s="44"/>
      <c r="Z173" s="53" t="str">
        <f>IF($D173="","",IFERROR(MATCH($D173,Îlots!$D$8:$D$57,0),""))</f>
        <v/>
      </c>
      <c r="AA173" s="53" t="str">
        <f>IF($G173="","",IFERROR(MATCH($G173,Fertilisants!$B$8:$B$47,0),""))</f>
        <v/>
      </c>
      <c r="AB173" s="53" t="str">
        <f>IF($Z173="","",INDEX(Îlots!$E$8:$E$57,$Z173))</f>
        <v/>
      </c>
      <c r="AC173" s="53" t="str">
        <f>IF($Z173="","",INDEX(Îlots!$G$8:$G$57,$Z173)&amp;"")</f>
        <v/>
      </c>
      <c r="AD173" s="53" t="str">
        <f>IF($Z173="","",IF($F173=ApportCouvert,OccCouvert,INDEX(Îlots!$O$8:$O$57,$Z173)&amp;""))</f>
        <v/>
      </c>
      <c r="AE173" s="53" t="str">
        <f t="shared" si="31"/>
        <v/>
      </c>
      <c r="AF173" s="53" t="str">
        <f t="shared" si="32"/>
        <v/>
      </c>
      <c r="AG173" s="53" t="str">
        <f t="shared" si="33"/>
        <v/>
      </c>
      <c r="AH173" s="53">
        <f t="shared" si="34"/>
        <v>0</v>
      </c>
      <c r="AI173" s="53">
        <f t="shared" si="35"/>
        <v>0</v>
      </c>
      <c r="AJ173" s="53">
        <f t="shared" si="36"/>
        <v>0</v>
      </c>
      <c r="AK173" s="53">
        <f t="shared" si="37"/>
        <v>0</v>
      </c>
      <c r="AL173" s="53">
        <f t="shared" si="38"/>
        <v>0</v>
      </c>
      <c r="AM173" s="53">
        <f>IF($AA173="",0,IF(INDEX(Fertilisants!$C$8:$C$47,$AA173)="Effluent d'élevage",1,0))</f>
        <v>0</v>
      </c>
      <c r="AN173" s="53" t="str">
        <f>IF($AA173="","",IF(INDEX(Fertilisants!$C$8:$C$47,$AA173)="Engrais minéral","Minéral","Organique"))</f>
        <v/>
      </c>
      <c r="AO173" s="53" t="str">
        <f t="shared" si="39"/>
        <v/>
      </c>
      <c r="AP173" s="53" t="str">
        <f t="shared" si="40"/>
        <v/>
      </c>
      <c r="AQ173" s="53" t="str">
        <f t="shared" si="41"/>
        <v/>
      </c>
      <c r="AR173" s="53" t="str">
        <f>IF(AND($D173&lt;&gt;"",$D173=FicheIlot),COUNTIF($D$8:$D173,FicheIlot),"")</f>
        <v/>
      </c>
    </row>
    <row r="174" spans="2:44" ht="18.95" customHeight="1" x14ac:dyDescent="0.25">
      <c r="B174" s="42" t="str">
        <f>IF(C174="","",COUNT($C$8:C174))</f>
        <v/>
      </c>
      <c r="C174" s="43"/>
      <c r="D174" s="44"/>
      <c r="E174" s="45" t="str">
        <f>IF($Z174="","",IF($F174=ApportCouvert,INDEX(Îlots!$I$8:$I$57,$Z174)&amp;"",INDEX(Îlots!$N$8:$N$57,$Z174)&amp;""))</f>
        <v/>
      </c>
      <c r="F174" s="44"/>
      <c r="G174" s="44"/>
      <c r="H174" s="46" t="str">
        <f>IF($AA174="","",INDEX(Fertilisants!$D$8:$D$47,$AA174)&amp;"")</f>
        <v/>
      </c>
      <c r="I174" s="47"/>
      <c r="J174" s="48"/>
      <c r="K174" s="46" t="str">
        <f>IF($AA174="","",INDEX(Fertilisants!$E$8:$E$47,$AA174)&amp;"")</f>
        <v/>
      </c>
      <c r="L174" s="49" t="str">
        <f t="shared" si="28"/>
        <v/>
      </c>
      <c r="M174" s="50" t="str">
        <f>IF(OR($J174="",$AA174=""),"",$J174*N(INDEX(Fertilisants!$G$8:$G$47,$AA174)))</f>
        <v/>
      </c>
      <c r="N174" s="50" t="str">
        <f>IF(OR($J174="",$AA174=""),"",$J174*N(INDEX(Fertilisants!$I$8:$I$47,$AA174)))</f>
        <v/>
      </c>
      <c r="O174" s="50" t="str">
        <f>IF(OR($J174="",$AA174=""),"",$J174*N(INDEX(Fertilisants!$J$8:$J$47,$AA174)))</f>
        <v/>
      </c>
      <c r="P174" s="50" t="str">
        <f>IF(OR($J174="",$AA174=""),"",$J174*N(INDEX(Fertilisants!$K$8:$K$47,$AA174)))</f>
        <v/>
      </c>
      <c r="Q174" s="50" t="str">
        <f t="shared" si="29"/>
        <v/>
      </c>
      <c r="R174" s="44"/>
      <c r="S174" s="44"/>
      <c r="T174" s="51"/>
      <c r="U174" s="44"/>
      <c r="V174" s="43"/>
      <c r="W174" s="52" t="str">
        <f t="shared" si="30"/>
        <v/>
      </c>
      <c r="X174" s="44"/>
      <c r="Z174" s="53" t="str">
        <f>IF($D174="","",IFERROR(MATCH($D174,Îlots!$D$8:$D$57,0),""))</f>
        <v/>
      </c>
      <c r="AA174" s="53" t="str">
        <f>IF($G174="","",IFERROR(MATCH($G174,Fertilisants!$B$8:$B$47,0),""))</f>
        <v/>
      </c>
      <c r="AB174" s="53" t="str">
        <f>IF($Z174="","",INDEX(Îlots!$E$8:$E$57,$Z174))</f>
        <v/>
      </c>
      <c r="AC174" s="53" t="str">
        <f>IF($Z174="","",INDEX(Îlots!$G$8:$G$57,$Z174)&amp;"")</f>
        <v/>
      </c>
      <c r="AD174" s="53" t="str">
        <f>IF($Z174="","",IF($F174=ApportCouvert,OccCouvert,INDEX(Îlots!$O$8:$O$57,$Z174)&amp;""))</f>
        <v/>
      </c>
      <c r="AE174" s="53" t="str">
        <f t="shared" si="31"/>
        <v/>
      </c>
      <c r="AF174" s="53" t="str">
        <f t="shared" si="32"/>
        <v/>
      </c>
      <c r="AG174" s="53" t="str">
        <f t="shared" si="33"/>
        <v/>
      </c>
      <c r="AH174" s="53">
        <f t="shared" si="34"/>
        <v>0</v>
      </c>
      <c r="AI174" s="53">
        <f t="shared" si="35"/>
        <v>0</v>
      </c>
      <c r="AJ174" s="53">
        <f t="shared" si="36"/>
        <v>0</v>
      </c>
      <c r="AK174" s="53">
        <f t="shared" si="37"/>
        <v>0</v>
      </c>
      <c r="AL174" s="53">
        <f t="shared" si="38"/>
        <v>0</v>
      </c>
      <c r="AM174" s="53">
        <f>IF($AA174="",0,IF(INDEX(Fertilisants!$C$8:$C$47,$AA174)="Effluent d'élevage",1,0))</f>
        <v>0</v>
      </c>
      <c r="AN174" s="53" t="str">
        <f>IF($AA174="","",IF(INDEX(Fertilisants!$C$8:$C$47,$AA174)="Engrais minéral","Minéral","Organique"))</f>
        <v/>
      </c>
      <c r="AO174" s="53" t="str">
        <f t="shared" si="39"/>
        <v/>
      </c>
      <c r="AP174" s="53" t="str">
        <f t="shared" si="40"/>
        <v/>
      </c>
      <c r="AQ174" s="53" t="str">
        <f t="shared" si="41"/>
        <v/>
      </c>
      <c r="AR174" s="53" t="str">
        <f>IF(AND($D174&lt;&gt;"",$D174=FicheIlot),COUNTIF($D$8:$D174,FicheIlot),"")</f>
        <v/>
      </c>
    </row>
    <row r="175" spans="2:44" ht="18.95" customHeight="1" x14ac:dyDescent="0.25">
      <c r="B175" s="42" t="str">
        <f>IF(C175="","",COUNT($C$8:C175))</f>
        <v/>
      </c>
      <c r="C175" s="43"/>
      <c r="D175" s="44"/>
      <c r="E175" s="45" t="str">
        <f>IF($Z175="","",IF($F175=ApportCouvert,INDEX(Îlots!$I$8:$I$57,$Z175)&amp;"",INDEX(Îlots!$N$8:$N$57,$Z175)&amp;""))</f>
        <v/>
      </c>
      <c r="F175" s="44"/>
      <c r="G175" s="44"/>
      <c r="H175" s="46" t="str">
        <f>IF($AA175="","",INDEX(Fertilisants!$D$8:$D$47,$AA175)&amp;"")</f>
        <v/>
      </c>
      <c r="I175" s="47"/>
      <c r="J175" s="48"/>
      <c r="K175" s="46" t="str">
        <f>IF($AA175="","",INDEX(Fertilisants!$E$8:$E$47,$AA175)&amp;"")</f>
        <v/>
      </c>
      <c r="L175" s="49" t="str">
        <f t="shared" si="28"/>
        <v/>
      </c>
      <c r="M175" s="50" t="str">
        <f>IF(OR($J175="",$AA175=""),"",$J175*N(INDEX(Fertilisants!$G$8:$G$47,$AA175)))</f>
        <v/>
      </c>
      <c r="N175" s="50" t="str">
        <f>IF(OR($J175="",$AA175=""),"",$J175*N(INDEX(Fertilisants!$I$8:$I$47,$AA175)))</f>
        <v/>
      </c>
      <c r="O175" s="50" t="str">
        <f>IF(OR($J175="",$AA175=""),"",$J175*N(INDEX(Fertilisants!$J$8:$J$47,$AA175)))</f>
        <v/>
      </c>
      <c r="P175" s="50" t="str">
        <f>IF(OR($J175="",$AA175=""),"",$J175*N(INDEX(Fertilisants!$K$8:$K$47,$AA175)))</f>
        <v/>
      </c>
      <c r="Q175" s="50" t="str">
        <f t="shared" si="29"/>
        <v/>
      </c>
      <c r="R175" s="44"/>
      <c r="S175" s="44"/>
      <c r="T175" s="51"/>
      <c r="U175" s="44"/>
      <c r="V175" s="43"/>
      <c r="W175" s="52" t="str">
        <f t="shared" si="30"/>
        <v/>
      </c>
      <c r="X175" s="44"/>
      <c r="Z175" s="53" t="str">
        <f>IF($D175="","",IFERROR(MATCH($D175,Îlots!$D$8:$D$57,0),""))</f>
        <v/>
      </c>
      <c r="AA175" s="53" t="str">
        <f>IF($G175="","",IFERROR(MATCH($G175,Fertilisants!$B$8:$B$47,0),""))</f>
        <v/>
      </c>
      <c r="AB175" s="53" t="str">
        <f>IF($Z175="","",INDEX(Îlots!$E$8:$E$57,$Z175))</f>
        <v/>
      </c>
      <c r="AC175" s="53" t="str">
        <f>IF($Z175="","",INDEX(Îlots!$G$8:$G$57,$Z175)&amp;"")</f>
        <v/>
      </c>
      <c r="AD175" s="53" t="str">
        <f>IF($Z175="","",IF($F175=ApportCouvert,OccCouvert,INDEX(Îlots!$O$8:$O$57,$Z175)&amp;""))</f>
        <v/>
      </c>
      <c r="AE175" s="53" t="str">
        <f t="shared" si="31"/>
        <v/>
      </c>
      <c r="AF175" s="53" t="str">
        <f t="shared" si="32"/>
        <v/>
      </c>
      <c r="AG175" s="53" t="str">
        <f t="shared" si="33"/>
        <v/>
      </c>
      <c r="AH175" s="53">
        <f t="shared" si="34"/>
        <v>0</v>
      </c>
      <c r="AI175" s="53">
        <f t="shared" si="35"/>
        <v>0</v>
      </c>
      <c r="AJ175" s="53">
        <f t="shared" si="36"/>
        <v>0</v>
      </c>
      <c r="AK175" s="53">
        <f t="shared" si="37"/>
        <v>0</v>
      </c>
      <c r="AL175" s="53">
        <f t="shared" si="38"/>
        <v>0</v>
      </c>
      <c r="AM175" s="53">
        <f>IF($AA175="",0,IF(INDEX(Fertilisants!$C$8:$C$47,$AA175)="Effluent d'élevage",1,0))</f>
        <v>0</v>
      </c>
      <c r="AN175" s="53" t="str">
        <f>IF($AA175="","",IF(INDEX(Fertilisants!$C$8:$C$47,$AA175)="Engrais minéral","Minéral","Organique"))</f>
        <v/>
      </c>
      <c r="AO175" s="53" t="str">
        <f t="shared" si="39"/>
        <v/>
      </c>
      <c r="AP175" s="53" t="str">
        <f t="shared" si="40"/>
        <v/>
      </c>
      <c r="AQ175" s="53" t="str">
        <f t="shared" si="41"/>
        <v/>
      </c>
      <c r="AR175" s="53" t="str">
        <f>IF(AND($D175&lt;&gt;"",$D175=FicheIlot),COUNTIF($D$8:$D175,FicheIlot),"")</f>
        <v/>
      </c>
    </row>
    <row r="176" spans="2:44" ht="18.95" customHeight="1" x14ac:dyDescent="0.25">
      <c r="B176" s="42" t="str">
        <f>IF(C176="","",COUNT($C$8:C176))</f>
        <v/>
      </c>
      <c r="C176" s="43"/>
      <c r="D176" s="44"/>
      <c r="E176" s="45" t="str">
        <f>IF($Z176="","",IF($F176=ApportCouvert,INDEX(Îlots!$I$8:$I$57,$Z176)&amp;"",INDEX(Îlots!$N$8:$N$57,$Z176)&amp;""))</f>
        <v/>
      </c>
      <c r="F176" s="44"/>
      <c r="G176" s="44"/>
      <c r="H176" s="46" t="str">
        <f>IF($AA176="","",INDEX(Fertilisants!$D$8:$D$47,$AA176)&amp;"")</f>
        <v/>
      </c>
      <c r="I176" s="47"/>
      <c r="J176" s="48"/>
      <c r="K176" s="46" t="str">
        <f>IF($AA176="","",INDEX(Fertilisants!$E$8:$E$47,$AA176)&amp;"")</f>
        <v/>
      </c>
      <c r="L176" s="49" t="str">
        <f t="shared" si="28"/>
        <v/>
      </c>
      <c r="M176" s="50" t="str">
        <f>IF(OR($J176="",$AA176=""),"",$J176*N(INDEX(Fertilisants!$G$8:$G$47,$AA176)))</f>
        <v/>
      </c>
      <c r="N176" s="50" t="str">
        <f>IF(OR($J176="",$AA176=""),"",$J176*N(INDEX(Fertilisants!$I$8:$I$47,$AA176)))</f>
        <v/>
      </c>
      <c r="O176" s="50" t="str">
        <f>IF(OR($J176="",$AA176=""),"",$J176*N(INDEX(Fertilisants!$J$8:$J$47,$AA176)))</f>
        <v/>
      </c>
      <c r="P176" s="50" t="str">
        <f>IF(OR($J176="",$AA176=""),"",$J176*N(INDEX(Fertilisants!$K$8:$K$47,$AA176)))</f>
        <v/>
      </c>
      <c r="Q176" s="50" t="str">
        <f t="shared" si="29"/>
        <v/>
      </c>
      <c r="R176" s="44"/>
      <c r="S176" s="44"/>
      <c r="T176" s="51"/>
      <c r="U176" s="44"/>
      <c r="V176" s="43"/>
      <c r="W176" s="52" t="str">
        <f t="shared" si="30"/>
        <v/>
      </c>
      <c r="X176" s="44"/>
      <c r="Z176" s="53" t="str">
        <f>IF($D176="","",IFERROR(MATCH($D176,Îlots!$D$8:$D$57,0),""))</f>
        <v/>
      </c>
      <c r="AA176" s="53" t="str">
        <f>IF($G176="","",IFERROR(MATCH($G176,Fertilisants!$B$8:$B$47,0),""))</f>
        <v/>
      </c>
      <c r="AB176" s="53" t="str">
        <f>IF($Z176="","",INDEX(Îlots!$E$8:$E$57,$Z176))</f>
        <v/>
      </c>
      <c r="AC176" s="53" t="str">
        <f>IF($Z176="","",INDEX(Îlots!$G$8:$G$57,$Z176)&amp;"")</f>
        <v/>
      </c>
      <c r="AD176" s="53" t="str">
        <f>IF($Z176="","",IF($F176=ApportCouvert,OccCouvert,INDEX(Îlots!$O$8:$O$57,$Z176)&amp;""))</f>
        <v/>
      </c>
      <c r="AE176" s="53" t="str">
        <f t="shared" si="31"/>
        <v/>
      </c>
      <c r="AF176" s="53" t="str">
        <f t="shared" si="32"/>
        <v/>
      </c>
      <c r="AG176" s="53" t="str">
        <f t="shared" si="33"/>
        <v/>
      </c>
      <c r="AH176" s="53">
        <f t="shared" si="34"/>
        <v>0</v>
      </c>
      <c r="AI176" s="53">
        <f t="shared" si="35"/>
        <v>0</v>
      </c>
      <c r="AJ176" s="53">
        <f t="shared" si="36"/>
        <v>0</v>
      </c>
      <c r="AK176" s="53">
        <f t="shared" si="37"/>
        <v>0</v>
      </c>
      <c r="AL176" s="53">
        <f t="shared" si="38"/>
        <v>0</v>
      </c>
      <c r="AM176" s="53">
        <f>IF($AA176="",0,IF(INDEX(Fertilisants!$C$8:$C$47,$AA176)="Effluent d'élevage",1,0))</f>
        <v>0</v>
      </c>
      <c r="AN176" s="53" t="str">
        <f>IF($AA176="","",IF(INDEX(Fertilisants!$C$8:$C$47,$AA176)="Engrais minéral","Minéral","Organique"))</f>
        <v/>
      </c>
      <c r="AO176" s="53" t="str">
        <f t="shared" si="39"/>
        <v/>
      </c>
      <c r="AP176" s="53" t="str">
        <f t="shared" si="40"/>
        <v/>
      </c>
      <c r="AQ176" s="53" t="str">
        <f t="shared" si="41"/>
        <v/>
      </c>
      <c r="AR176" s="53" t="str">
        <f>IF(AND($D176&lt;&gt;"",$D176=FicheIlot),COUNTIF($D$8:$D176,FicheIlot),"")</f>
        <v/>
      </c>
    </row>
    <row r="177" spans="2:44" ht="18.95" customHeight="1" x14ac:dyDescent="0.25">
      <c r="B177" s="42" t="str">
        <f>IF(C177="","",COUNT($C$8:C177))</f>
        <v/>
      </c>
      <c r="C177" s="43"/>
      <c r="D177" s="44"/>
      <c r="E177" s="45" t="str">
        <f>IF($Z177="","",IF($F177=ApportCouvert,INDEX(Îlots!$I$8:$I$57,$Z177)&amp;"",INDEX(Îlots!$N$8:$N$57,$Z177)&amp;""))</f>
        <v/>
      </c>
      <c r="F177" s="44"/>
      <c r="G177" s="44"/>
      <c r="H177" s="46" t="str">
        <f>IF($AA177="","",INDEX(Fertilisants!$D$8:$D$47,$AA177)&amp;"")</f>
        <v/>
      </c>
      <c r="I177" s="47"/>
      <c r="J177" s="48"/>
      <c r="K177" s="46" t="str">
        <f>IF($AA177="","",INDEX(Fertilisants!$E$8:$E$47,$AA177)&amp;"")</f>
        <v/>
      </c>
      <c r="L177" s="49" t="str">
        <f t="shared" si="28"/>
        <v/>
      </c>
      <c r="M177" s="50" t="str">
        <f>IF(OR($J177="",$AA177=""),"",$J177*N(INDEX(Fertilisants!$G$8:$G$47,$AA177)))</f>
        <v/>
      </c>
      <c r="N177" s="50" t="str">
        <f>IF(OR($J177="",$AA177=""),"",$J177*N(INDEX(Fertilisants!$I$8:$I$47,$AA177)))</f>
        <v/>
      </c>
      <c r="O177" s="50" t="str">
        <f>IF(OR($J177="",$AA177=""),"",$J177*N(INDEX(Fertilisants!$J$8:$J$47,$AA177)))</f>
        <v/>
      </c>
      <c r="P177" s="50" t="str">
        <f>IF(OR($J177="",$AA177=""),"",$J177*N(INDEX(Fertilisants!$K$8:$K$47,$AA177)))</f>
        <v/>
      </c>
      <c r="Q177" s="50" t="str">
        <f t="shared" si="29"/>
        <v/>
      </c>
      <c r="R177" s="44"/>
      <c r="S177" s="44"/>
      <c r="T177" s="51"/>
      <c r="U177" s="44"/>
      <c r="V177" s="43"/>
      <c r="W177" s="52" t="str">
        <f t="shared" si="30"/>
        <v/>
      </c>
      <c r="X177" s="44"/>
      <c r="Z177" s="53" t="str">
        <f>IF($D177="","",IFERROR(MATCH($D177,Îlots!$D$8:$D$57,0),""))</f>
        <v/>
      </c>
      <c r="AA177" s="53" t="str">
        <f>IF($G177="","",IFERROR(MATCH($G177,Fertilisants!$B$8:$B$47,0),""))</f>
        <v/>
      </c>
      <c r="AB177" s="53" t="str">
        <f>IF($Z177="","",INDEX(Îlots!$E$8:$E$57,$Z177))</f>
        <v/>
      </c>
      <c r="AC177" s="53" t="str">
        <f>IF($Z177="","",INDEX(Îlots!$G$8:$G$57,$Z177)&amp;"")</f>
        <v/>
      </c>
      <c r="AD177" s="53" t="str">
        <f>IF($Z177="","",IF($F177=ApportCouvert,OccCouvert,INDEX(Îlots!$O$8:$O$57,$Z177)&amp;""))</f>
        <v/>
      </c>
      <c r="AE177" s="53" t="str">
        <f t="shared" si="31"/>
        <v/>
      </c>
      <c r="AF177" s="53" t="str">
        <f t="shared" si="32"/>
        <v/>
      </c>
      <c r="AG177" s="53" t="str">
        <f t="shared" si="33"/>
        <v/>
      </c>
      <c r="AH177" s="53">
        <f t="shared" si="34"/>
        <v>0</v>
      </c>
      <c r="AI177" s="53">
        <f t="shared" si="35"/>
        <v>0</v>
      </c>
      <c r="AJ177" s="53">
        <f t="shared" si="36"/>
        <v>0</v>
      </c>
      <c r="AK177" s="53">
        <f t="shared" si="37"/>
        <v>0</v>
      </c>
      <c r="AL177" s="53">
        <f t="shared" si="38"/>
        <v>0</v>
      </c>
      <c r="AM177" s="53">
        <f>IF($AA177="",0,IF(INDEX(Fertilisants!$C$8:$C$47,$AA177)="Effluent d'élevage",1,0))</f>
        <v>0</v>
      </c>
      <c r="AN177" s="53" t="str">
        <f>IF($AA177="","",IF(INDEX(Fertilisants!$C$8:$C$47,$AA177)="Engrais minéral","Minéral","Organique"))</f>
        <v/>
      </c>
      <c r="AO177" s="53" t="str">
        <f t="shared" si="39"/>
        <v/>
      </c>
      <c r="AP177" s="53" t="str">
        <f t="shared" si="40"/>
        <v/>
      </c>
      <c r="AQ177" s="53" t="str">
        <f t="shared" si="41"/>
        <v/>
      </c>
      <c r="AR177" s="53" t="str">
        <f>IF(AND($D177&lt;&gt;"",$D177=FicheIlot),COUNTIF($D$8:$D177,FicheIlot),"")</f>
        <v/>
      </c>
    </row>
    <row r="178" spans="2:44" ht="18.95" customHeight="1" x14ac:dyDescent="0.25">
      <c r="B178" s="42" t="str">
        <f>IF(C178="","",COUNT($C$8:C178))</f>
        <v/>
      </c>
      <c r="C178" s="43"/>
      <c r="D178" s="44"/>
      <c r="E178" s="45" t="str">
        <f>IF($Z178="","",IF($F178=ApportCouvert,INDEX(Îlots!$I$8:$I$57,$Z178)&amp;"",INDEX(Îlots!$N$8:$N$57,$Z178)&amp;""))</f>
        <v/>
      </c>
      <c r="F178" s="44"/>
      <c r="G178" s="44"/>
      <c r="H178" s="46" t="str">
        <f>IF($AA178="","",INDEX(Fertilisants!$D$8:$D$47,$AA178)&amp;"")</f>
        <v/>
      </c>
      <c r="I178" s="47"/>
      <c r="J178" s="48"/>
      <c r="K178" s="46" t="str">
        <f>IF($AA178="","",INDEX(Fertilisants!$E$8:$E$47,$AA178)&amp;"")</f>
        <v/>
      </c>
      <c r="L178" s="49" t="str">
        <f t="shared" si="28"/>
        <v/>
      </c>
      <c r="M178" s="50" t="str">
        <f>IF(OR($J178="",$AA178=""),"",$J178*N(INDEX(Fertilisants!$G$8:$G$47,$AA178)))</f>
        <v/>
      </c>
      <c r="N178" s="50" t="str">
        <f>IF(OR($J178="",$AA178=""),"",$J178*N(INDEX(Fertilisants!$I$8:$I$47,$AA178)))</f>
        <v/>
      </c>
      <c r="O178" s="50" t="str">
        <f>IF(OR($J178="",$AA178=""),"",$J178*N(INDEX(Fertilisants!$J$8:$J$47,$AA178)))</f>
        <v/>
      </c>
      <c r="P178" s="50" t="str">
        <f>IF(OR($J178="",$AA178=""),"",$J178*N(INDEX(Fertilisants!$K$8:$K$47,$AA178)))</f>
        <v/>
      </c>
      <c r="Q178" s="50" t="str">
        <f t="shared" si="29"/>
        <v/>
      </c>
      <c r="R178" s="44"/>
      <c r="S178" s="44"/>
      <c r="T178" s="51"/>
      <c r="U178" s="44"/>
      <c r="V178" s="43"/>
      <c r="W178" s="52" t="str">
        <f t="shared" si="30"/>
        <v/>
      </c>
      <c r="X178" s="44"/>
      <c r="Z178" s="53" t="str">
        <f>IF($D178="","",IFERROR(MATCH($D178,Îlots!$D$8:$D$57,0),""))</f>
        <v/>
      </c>
      <c r="AA178" s="53" t="str">
        <f>IF($G178="","",IFERROR(MATCH($G178,Fertilisants!$B$8:$B$47,0),""))</f>
        <v/>
      </c>
      <c r="AB178" s="53" t="str">
        <f>IF($Z178="","",INDEX(Îlots!$E$8:$E$57,$Z178))</f>
        <v/>
      </c>
      <c r="AC178" s="53" t="str">
        <f>IF($Z178="","",INDEX(Îlots!$G$8:$G$57,$Z178)&amp;"")</f>
        <v/>
      </c>
      <c r="AD178" s="53" t="str">
        <f>IF($Z178="","",IF($F178=ApportCouvert,OccCouvert,INDEX(Îlots!$O$8:$O$57,$Z178)&amp;""))</f>
        <v/>
      </c>
      <c r="AE178" s="53" t="str">
        <f t="shared" si="31"/>
        <v/>
      </c>
      <c r="AF178" s="53" t="str">
        <f t="shared" si="32"/>
        <v/>
      </c>
      <c r="AG178" s="53" t="str">
        <f t="shared" si="33"/>
        <v/>
      </c>
      <c r="AH178" s="53">
        <f t="shared" si="34"/>
        <v>0</v>
      </c>
      <c r="AI178" s="53">
        <f t="shared" si="35"/>
        <v>0</v>
      </c>
      <c r="AJ178" s="53">
        <f t="shared" si="36"/>
        <v>0</v>
      </c>
      <c r="AK178" s="53">
        <f t="shared" si="37"/>
        <v>0</v>
      </c>
      <c r="AL178" s="53">
        <f t="shared" si="38"/>
        <v>0</v>
      </c>
      <c r="AM178" s="53">
        <f>IF($AA178="",0,IF(INDEX(Fertilisants!$C$8:$C$47,$AA178)="Effluent d'élevage",1,0))</f>
        <v>0</v>
      </c>
      <c r="AN178" s="53" t="str">
        <f>IF($AA178="","",IF(INDEX(Fertilisants!$C$8:$C$47,$AA178)="Engrais minéral","Minéral","Organique"))</f>
        <v/>
      </c>
      <c r="AO178" s="53" t="str">
        <f t="shared" si="39"/>
        <v/>
      </c>
      <c r="AP178" s="53" t="str">
        <f t="shared" si="40"/>
        <v/>
      </c>
      <c r="AQ178" s="53" t="str">
        <f t="shared" si="41"/>
        <v/>
      </c>
      <c r="AR178" s="53" t="str">
        <f>IF(AND($D178&lt;&gt;"",$D178=FicheIlot),COUNTIF($D$8:$D178,FicheIlot),"")</f>
        <v/>
      </c>
    </row>
    <row r="179" spans="2:44" ht="18.95" customHeight="1" x14ac:dyDescent="0.25">
      <c r="B179" s="42" t="str">
        <f>IF(C179="","",COUNT($C$8:C179))</f>
        <v/>
      </c>
      <c r="C179" s="43"/>
      <c r="D179" s="44"/>
      <c r="E179" s="45" t="str">
        <f>IF($Z179="","",IF($F179=ApportCouvert,INDEX(Îlots!$I$8:$I$57,$Z179)&amp;"",INDEX(Îlots!$N$8:$N$57,$Z179)&amp;""))</f>
        <v/>
      </c>
      <c r="F179" s="44"/>
      <c r="G179" s="44"/>
      <c r="H179" s="46" t="str">
        <f>IF($AA179="","",INDEX(Fertilisants!$D$8:$D$47,$AA179)&amp;"")</f>
        <v/>
      </c>
      <c r="I179" s="47"/>
      <c r="J179" s="48"/>
      <c r="K179" s="46" t="str">
        <f>IF($AA179="","",INDEX(Fertilisants!$E$8:$E$47,$AA179)&amp;"")</f>
        <v/>
      </c>
      <c r="L179" s="49" t="str">
        <f t="shared" si="28"/>
        <v/>
      </c>
      <c r="M179" s="50" t="str">
        <f>IF(OR($J179="",$AA179=""),"",$J179*N(INDEX(Fertilisants!$G$8:$G$47,$AA179)))</f>
        <v/>
      </c>
      <c r="N179" s="50" t="str">
        <f>IF(OR($J179="",$AA179=""),"",$J179*N(INDEX(Fertilisants!$I$8:$I$47,$AA179)))</f>
        <v/>
      </c>
      <c r="O179" s="50" t="str">
        <f>IF(OR($J179="",$AA179=""),"",$J179*N(INDEX(Fertilisants!$J$8:$J$47,$AA179)))</f>
        <v/>
      </c>
      <c r="P179" s="50" t="str">
        <f>IF(OR($J179="",$AA179=""),"",$J179*N(INDEX(Fertilisants!$K$8:$K$47,$AA179)))</f>
        <v/>
      </c>
      <c r="Q179" s="50" t="str">
        <f t="shared" si="29"/>
        <v/>
      </c>
      <c r="R179" s="44"/>
      <c r="S179" s="44"/>
      <c r="T179" s="51"/>
      <c r="U179" s="44"/>
      <c r="V179" s="43"/>
      <c r="W179" s="52" t="str">
        <f t="shared" si="30"/>
        <v/>
      </c>
      <c r="X179" s="44"/>
      <c r="Z179" s="53" t="str">
        <f>IF($D179="","",IFERROR(MATCH($D179,Îlots!$D$8:$D$57,0),""))</f>
        <v/>
      </c>
      <c r="AA179" s="53" t="str">
        <f>IF($G179="","",IFERROR(MATCH($G179,Fertilisants!$B$8:$B$47,0),""))</f>
        <v/>
      </c>
      <c r="AB179" s="53" t="str">
        <f>IF($Z179="","",INDEX(Îlots!$E$8:$E$57,$Z179))</f>
        <v/>
      </c>
      <c r="AC179" s="53" t="str">
        <f>IF($Z179="","",INDEX(Îlots!$G$8:$G$57,$Z179)&amp;"")</f>
        <v/>
      </c>
      <c r="AD179" s="53" t="str">
        <f>IF($Z179="","",IF($F179=ApportCouvert,OccCouvert,INDEX(Îlots!$O$8:$O$57,$Z179)&amp;""))</f>
        <v/>
      </c>
      <c r="AE179" s="53" t="str">
        <f t="shared" si="31"/>
        <v/>
      </c>
      <c r="AF179" s="53" t="str">
        <f t="shared" si="32"/>
        <v/>
      </c>
      <c r="AG179" s="53" t="str">
        <f t="shared" si="33"/>
        <v/>
      </c>
      <c r="AH179" s="53">
        <f t="shared" si="34"/>
        <v>0</v>
      </c>
      <c r="AI179" s="53">
        <f t="shared" si="35"/>
        <v>0</v>
      </c>
      <c r="AJ179" s="53">
        <f t="shared" si="36"/>
        <v>0</v>
      </c>
      <c r="AK179" s="53">
        <f t="shared" si="37"/>
        <v>0</v>
      </c>
      <c r="AL179" s="53">
        <f t="shared" si="38"/>
        <v>0</v>
      </c>
      <c r="AM179" s="53">
        <f>IF($AA179="",0,IF(INDEX(Fertilisants!$C$8:$C$47,$AA179)="Effluent d'élevage",1,0))</f>
        <v>0</v>
      </c>
      <c r="AN179" s="53" t="str">
        <f>IF($AA179="","",IF(INDEX(Fertilisants!$C$8:$C$47,$AA179)="Engrais minéral","Minéral","Organique"))</f>
        <v/>
      </c>
      <c r="AO179" s="53" t="str">
        <f t="shared" si="39"/>
        <v/>
      </c>
      <c r="AP179" s="53" t="str">
        <f t="shared" si="40"/>
        <v/>
      </c>
      <c r="AQ179" s="53" t="str">
        <f t="shared" si="41"/>
        <v/>
      </c>
      <c r="AR179" s="53" t="str">
        <f>IF(AND($D179&lt;&gt;"",$D179=FicheIlot),COUNTIF($D$8:$D179,FicheIlot),"")</f>
        <v/>
      </c>
    </row>
    <row r="180" spans="2:44" ht="18.95" customHeight="1" x14ac:dyDescent="0.25">
      <c r="B180" s="42" t="str">
        <f>IF(C180="","",COUNT($C$8:C180))</f>
        <v/>
      </c>
      <c r="C180" s="43"/>
      <c r="D180" s="44"/>
      <c r="E180" s="45" t="str">
        <f>IF($Z180="","",IF($F180=ApportCouvert,INDEX(Îlots!$I$8:$I$57,$Z180)&amp;"",INDEX(Îlots!$N$8:$N$57,$Z180)&amp;""))</f>
        <v/>
      </c>
      <c r="F180" s="44"/>
      <c r="G180" s="44"/>
      <c r="H180" s="46" t="str">
        <f>IF($AA180="","",INDEX(Fertilisants!$D$8:$D$47,$AA180)&amp;"")</f>
        <v/>
      </c>
      <c r="I180" s="47"/>
      <c r="J180" s="48"/>
      <c r="K180" s="46" t="str">
        <f>IF($AA180="","",INDEX(Fertilisants!$E$8:$E$47,$AA180)&amp;"")</f>
        <v/>
      </c>
      <c r="L180" s="49" t="str">
        <f t="shared" si="28"/>
        <v/>
      </c>
      <c r="M180" s="50" t="str">
        <f>IF(OR($J180="",$AA180=""),"",$J180*N(INDEX(Fertilisants!$G$8:$G$47,$AA180)))</f>
        <v/>
      </c>
      <c r="N180" s="50" t="str">
        <f>IF(OR($J180="",$AA180=""),"",$J180*N(INDEX(Fertilisants!$I$8:$I$47,$AA180)))</f>
        <v/>
      </c>
      <c r="O180" s="50" t="str">
        <f>IF(OR($J180="",$AA180=""),"",$J180*N(INDEX(Fertilisants!$J$8:$J$47,$AA180)))</f>
        <v/>
      </c>
      <c r="P180" s="50" t="str">
        <f>IF(OR($J180="",$AA180=""),"",$J180*N(INDEX(Fertilisants!$K$8:$K$47,$AA180)))</f>
        <v/>
      </c>
      <c r="Q180" s="50" t="str">
        <f t="shared" si="29"/>
        <v/>
      </c>
      <c r="R180" s="44"/>
      <c r="S180" s="44"/>
      <c r="T180" s="51"/>
      <c r="U180" s="44"/>
      <c r="V180" s="43"/>
      <c r="W180" s="52" t="str">
        <f t="shared" si="30"/>
        <v/>
      </c>
      <c r="X180" s="44"/>
      <c r="Z180" s="53" t="str">
        <f>IF($D180="","",IFERROR(MATCH($D180,Îlots!$D$8:$D$57,0),""))</f>
        <v/>
      </c>
      <c r="AA180" s="53" t="str">
        <f>IF($G180="","",IFERROR(MATCH($G180,Fertilisants!$B$8:$B$47,0),""))</f>
        <v/>
      </c>
      <c r="AB180" s="53" t="str">
        <f>IF($Z180="","",INDEX(Îlots!$E$8:$E$57,$Z180))</f>
        <v/>
      </c>
      <c r="AC180" s="53" t="str">
        <f>IF($Z180="","",INDEX(Îlots!$G$8:$G$57,$Z180)&amp;"")</f>
        <v/>
      </c>
      <c r="AD180" s="53" t="str">
        <f>IF($Z180="","",IF($F180=ApportCouvert,OccCouvert,INDEX(Îlots!$O$8:$O$57,$Z180)&amp;""))</f>
        <v/>
      </c>
      <c r="AE180" s="53" t="str">
        <f t="shared" si="31"/>
        <v/>
      </c>
      <c r="AF180" s="53" t="str">
        <f t="shared" si="32"/>
        <v/>
      </c>
      <c r="AG180" s="53" t="str">
        <f t="shared" si="33"/>
        <v/>
      </c>
      <c r="AH180" s="53">
        <f t="shared" si="34"/>
        <v>0</v>
      </c>
      <c r="AI180" s="53">
        <f t="shared" si="35"/>
        <v>0</v>
      </c>
      <c r="AJ180" s="53">
        <f t="shared" si="36"/>
        <v>0</v>
      </c>
      <c r="AK180" s="53">
        <f t="shared" si="37"/>
        <v>0</v>
      </c>
      <c r="AL180" s="53">
        <f t="shared" si="38"/>
        <v>0</v>
      </c>
      <c r="AM180" s="53">
        <f>IF($AA180="",0,IF(INDEX(Fertilisants!$C$8:$C$47,$AA180)="Effluent d'élevage",1,0))</f>
        <v>0</v>
      </c>
      <c r="AN180" s="53" t="str">
        <f>IF($AA180="","",IF(INDEX(Fertilisants!$C$8:$C$47,$AA180)="Engrais minéral","Minéral","Organique"))</f>
        <v/>
      </c>
      <c r="AO180" s="53" t="str">
        <f t="shared" si="39"/>
        <v/>
      </c>
      <c r="AP180" s="53" t="str">
        <f t="shared" si="40"/>
        <v/>
      </c>
      <c r="AQ180" s="53" t="str">
        <f t="shared" si="41"/>
        <v/>
      </c>
      <c r="AR180" s="53" t="str">
        <f>IF(AND($D180&lt;&gt;"",$D180=FicheIlot),COUNTIF($D$8:$D180,FicheIlot),"")</f>
        <v/>
      </c>
    </row>
    <row r="181" spans="2:44" ht="18.95" customHeight="1" x14ac:dyDescent="0.25">
      <c r="B181" s="42" t="str">
        <f>IF(C181="","",COUNT($C$8:C181))</f>
        <v/>
      </c>
      <c r="C181" s="43"/>
      <c r="D181" s="44"/>
      <c r="E181" s="45" t="str">
        <f>IF($Z181="","",IF($F181=ApportCouvert,INDEX(Îlots!$I$8:$I$57,$Z181)&amp;"",INDEX(Îlots!$N$8:$N$57,$Z181)&amp;""))</f>
        <v/>
      </c>
      <c r="F181" s="44"/>
      <c r="G181" s="44"/>
      <c r="H181" s="46" t="str">
        <f>IF($AA181="","",INDEX(Fertilisants!$D$8:$D$47,$AA181)&amp;"")</f>
        <v/>
      </c>
      <c r="I181" s="47"/>
      <c r="J181" s="48"/>
      <c r="K181" s="46" t="str">
        <f>IF($AA181="","",INDEX(Fertilisants!$E$8:$E$47,$AA181)&amp;"")</f>
        <v/>
      </c>
      <c r="L181" s="49" t="str">
        <f t="shared" si="28"/>
        <v/>
      </c>
      <c r="M181" s="50" t="str">
        <f>IF(OR($J181="",$AA181=""),"",$J181*N(INDEX(Fertilisants!$G$8:$G$47,$AA181)))</f>
        <v/>
      </c>
      <c r="N181" s="50" t="str">
        <f>IF(OR($J181="",$AA181=""),"",$J181*N(INDEX(Fertilisants!$I$8:$I$47,$AA181)))</f>
        <v/>
      </c>
      <c r="O181" s="50" t="str">
        <f>IF(OR($J181="",$AA181=""),"",$J181*N(INDEX(Fertilisants!$J$8:$J$47,$AA181)))</f>
        <v/>
      </c>
      <c r="P181" s="50" t="str">
        <f>IF(OR($J181="",$AA181=""),"",$J181*N(INDEX(Fertilisants!$K$8:$K$47,$AA181)))</f>
        <v/>
      </c>
      <c r="Q181" s="50" t="str">
        <f t="shared" si="29"/>
        <v/>
      </c>
      <c r="R181" s="44"/>
      <c r="S181" s="44"/>
      <c r="T181" s="51"/>
      <c r="U181" s="44"/>
      <c r="V181" s="43"/>
      <c r="W181" s="52" t="str">
        <f t="shared" si="30"/>
        <v/>
      </c>
      <c r="X181" s="44"/>
      <c r="Z181" s="53" t="str">
        <f>IF($D181="","",IFERROR(MATCH($D181,Îlots!$D$8:$D$57,0),""))</f>
        <v/>
      </c>
      <c r="AA181" s="53" t="str">
        <f>IF($G181="","",IFERROR(MATCH($G181,Fertilisants!$B$8:$B$47,0),""))</f>
        <v/>
      </c>
      <c r="AB181" s="53" t="str">
        <f>IF($Z181="","",INDEX(Îlots!$E$8:$E$57,$Z181))</f>
        <v/>
      </c>
      <c r="AC181" s="53" t="str">
        <f>IF($Z181="","",INDEX(Îlots!$G$8:$G$57,$Z181)&amp;"")</f>
        <v/>
      </c>
      <c r="AD181" s="53" t="str">
        <f>IF($Z181="","",IF($F181=ApportCouvert,OccCouvert,INDEX(Îlots!$O$8:$O$57,$Z181)&amp;""))</f>
        <v/>
      </c>
      <c r="AE181" s="53" t="str">
        <f t="shared" si="31"/>
        <v/>
      </c>
      <c r="AF181" s="53" t="str">
        <f t="shared" si="32"/>
        <v/>
      </c>
      <c r="AG181" s="53" t="str">
        <f t="shared" si="33"/>
        <v/>
      </c>
      <c r="AH181" s="53">
        <f t="shared" si="34"/>
        <v>0</v>
      </c>
      <c r="AI181" s="53">
        <f t="shared" si="35"/>
        <v>0</v>
      </c>
      <c r="AJ181" s="53">
        <f t="shared" si="36"/>
        <v>0</v>
      </c>
      <c r="AK181" s="53">
        <f t="shared" si="37"/>
        <v>0</v>
      </c>
      <c r="AL181" s="53">
        <f t="shared" si="38"/>
        <v>0</v>
      </c>
      <c r="AM181" s="53">
        <f>IF($AA181="",0,IF(INDEX(Fertilisants!$C$8:$C$47,$AA181)="Effluent d'élevage",1,0))</f>
        <v>0</v>
      </c>
      <c r="AN181" s="53" t="str">
        <f>IF($AA181="","",IF(INDEX(Fertilisants!$C$8:$C$47,$AA181)="Engrais minéral","Minéral","Organique"))</f>
        <v/>
      </c>
      <c r="AO181" s="53" t="str">
        <f t="shared" si="39"/>
        <v/>
      </c>
      <c r="AP181" s="53" t="str">
        <f t="shared" si="40"/>
        <v/>
      </c>
      <c r="AQ181" s="53" t="str">
        <f t="shared" si="41"/>
        <v/>
      </c>
      <c r="AR181" s="53" t="str">
        <f>IF(AND($D181&lt;&gt;"",$D181=FicheIlot),COUNTIF($D$8:$D181,FicheIlot),"")</f>
        <v/>
      </c>
    </row>
    <row r="182" spans="2:44" ht="18.95" customHeight="1" x14ac:dyDescent="0.25">
      <c r="B182" s="42" t="str">
        <f>IF(C182="","",COUNT($C$8:C182))</f>
        <v/>
      </c>
      <c r="C182" s="43"/>
      <c r="D182" s="44"/>
      <c r="E182" s="45" t="str">
        <f>IF($Z182="","",IF($F182=ApportCouvert,INDEX(Îlots!$I$8:$I$57,$Z182)&amp;"",INDEX(Îlots!$N$8:$N$57,$Z182)&amp;""))</f>
        <v/>
      </c>
      <c r="F182" s="44"/>
      <c r="G182" s="44"/>
      <c r="H182" s="46" t="str">
        <f>IF($AA182="","",INDEX(Fertilisants!$D$8:$D$47,$AA182)&amp;"")</f>
        <v/>
      </c>
      <c r="I182" s="47"/>
      <c r="J182" s="48"/>
      <c r="K182" s="46" t="str">
        <f>IF($AA182="","",INDEX(Fertilisants!$E$8:$E$47,$AA182)&amp;"")</f>
        <v/>
      </c>
      <c r="L182" s="49" t="str">
        <f t="shared" si="28"/>
        <v/>
      </c>
      <c r="M182" s="50" t="str">
        <f>IF(OR($J182="",$AA182=""),"",$J182*N(INDEX(Fertilisants!$G$8:$G$47,$AA182)))</f>
        <v/>
      </c>
      <c r="N182" s="50" t="str">
        <f>IF(OR($J182="",$AA182=""),"",$J182*N(INDEX(Fertilisants!$I$8:$I$47,$AA182)))</f>
        <v/>
      </c>
      <c r="O182" s="50" t="str">
        <f>IF(OR($J182="",$AA182=""),"",$J182*N(INDEX(Fertilisants!$J$8:$J$47,$AA182)))</f>
        <v/>
      </c>
      <c r="P182" s="50" t="str">
        <f>IF(OR($J182="",$AA182=""),"",$J182*N(INDEX(Fertilisants!$K$8:$K$47,$AA182)))</f>
        <v/>
      </c>
      <c r="Q182" s="50" t="str">
        <f t="shared" si="29"/>
        <v/>
      </c>
      <c r="R182" s="44"/>
      <c r="S182" s="44"/>
      <c r="T182" s="51"/>
      <c r="U182" s="44"/>
      <c r="V182" s="43"/>
      <c r="W182" s="52" t="str">
        <f t="shared" si="30"/>
        <v/>
      </c>
      <c r="X182" s="44"/>
      <c r="Z182" s="53" t="str">
        <f>IF($D182="","",IFERROR(MATCH($D182,Îlots!$D$8:$D$57,0),""))</f>
        <v/>
      </c>
      <c r="AA182" s="53" t="str">
        <f>IF($G182="","",IFERROR(MATCH($G182,Fertilisants!$B$8:$B$47,0),""))</f>
        <v/>
      </c>
      <c r="AB182" s="53" t="str">
        <f>IF($Z182="","",INDEX(Îlots!$E$8:$E$57,$Z182))</f>
        <v/>
      </c>
      <c r="AC182" s="53" t="str">
        <f>IF($Z182="","",INDEX(Îlots!$G$8:$G$57,$Z182)&amp;"")</f>
        <v/>
      </c>
      <c r="AD182" s="53" t="str">
        <f>IF($Z182="","",IF($F182=ApportCouvert,OccCouvert,INDEX(Îlots!$O$8:$O$57,$Z182)&amp;""))</f>
        <v/>
      </c>
      <c r="AE182" s="53" t="str">
        <f t="shared" si="31"/>
        <v/>
      </c>
      <c r="AF182" s="53" t="str">
        <f t="shared" si="32"/>
        <v/>
      </c>
      <c r="AG182" s="53" t="str">
        <f t="shared" si="33"/>
        <v/>
      </c>
      <c r="AH182" s="53">
        <f t="shared" si="34"/>
        <v>0</v>
      </c>
      <c r="AI182" s="53">
        <f t="shared" si="35"/>
        <v>0</v>
      </c>
      <c r="AJ182" s="53">
        <f t="shared" si="36"/>
        <v>0</v>
      </c>
      <c r="AK182" s="53">
        <f t="shared" si="37"/>
        <v>0</v>
      </c>
      <c r="AL182" s="53">
        <f t="shared" si="38"/>
        <v>0</v>
      </c>
      <c r="AM182" s="53">
        <f>IF($AA182="",0,IF(INDEX(Fertilisants!$C$8:$C$47,$AA182)="Effluent d'élevage",1,0))</f>
        <v>0</v>
      </c>
      <c r="AN182" s="53" t="str">
        <f>IF($AA182="","",IF(INDEX(Fertilisants!$C$8:$C$47,$AA182)="Engrais minéral","Minéral","Organique"))</f>
        <v/>
      </c>
      <c r="AO182" s="53" t="str">
        <f t="shared" si="39"/>
        <v/>
      </c>
      <c r="AP182" s="53" t="str">
        <f t="shared" si="40"/>
        <v/>
      </c>
      <c r="AQ182" s="53" t="str">
        <f t="shared" si="41"/>
        <v/>
      </c>
      <c r="AR182" s="53" t="str">
        <f>IF(AND($D182&lt;&gt;"",$D182=FicheIlot),COUNTIF($D$8:$D182,FicheIlot),"")</f>
        <v/>
      </c>
    </row>
    <row r="183" spans="2:44" ht="18.95" customHeight="1" x14ac:dyDescent="0.25">
      <c r="B183" s="42" t="str">
        <f>IF(C183="","",COUNT($C$8:C183))</f>
        <v/>
      </c>
      <c r="C183" s="43"/>
      <c r="D183" s="44"/>
      <c r="E183" s="45" t="str">
        <f>IF($Z183="","",IF($F183=ApportCouvert,INDEX(Îlots!$I$8:$I$57,$Z183)&amp;"",INDEX(Îlots!$N$8:$N$57,$Z183)&amp;""))</f>
        <v/>
      </c>
      <c r="F183" s="44"/>
      <c r="G183" s="44"/>
      <c r="H183" s="46" t="str">
        <f>IF($AA183="","",INDEX(Fertilisants!$D$8:$D$47,$AA183)&amp;"")</f>
        <v/>
      </c>
      <c r="I183" s="47"/>
      <c r="J183" s="48"/>
      <c r="K183" s="46" t="str">
        <f>IF($AA183="","",INDEX(Fertilisants!$E$8:$E$47,$AA183)&amp;"")</f>
        <v/>
      </c>
      <c r="L183" s="49" t="str">
        <f t="shared" si="28"/>
        <v/>
      </c>
      <c r="M183" s="50" t="str">
        <f>IF(OR($J183="",$AA183=""),"",$J183*N(INDEX(Fertilisants!$G$8:$G$47,$AA183)))</f>
        <v/>
      </c>
      <c r="N183" s="50" t="str">
        <f>IF(OR($J183="",$AA183=""),"",$J183*N(INDEX(Fertilisants!$I$8:$I$47,$AA183)))</f>
        <v/>
      </c>
      <c r="O183" s="50" t="str">
        <f>IF(OR($J183="",$AA183=""),"",$J183*N(INDEX(Fertilisants!$J$8:$J$47,$AA183)))</f>
        <v/>
      </c>
      <c r="P183" s="50" t="str">
        <f>IF(OR($J183="",$AA183=""),"",$J183*N(INDEX(Fertilisants!$K$8:$K$47,$AA183)))</f>
        <v/>
      </c>
      <c r="Q183" s="50" t="str">
        <f t="shared" si="29"/>
        <v/>
      </c>
      <c r="R183" s="44"/>
      <c r="S183" s="44"/>
      <c r="T183" s="51"/>
      <c r="U183" s="44"/>
      <c r="V183" s="43"/>
      <c r="W183" s="52" t="str">
        <f t="shared" si="30"/>
        <v/>
      </c>
      <c r="X183" s="44"/>
      <c r="Z183" s="53" t="str">
        <f>IF($D183="","",IFERROR(MATCH($D183,Îlots!$D$8:$D$57,0),""))</f>
        <v/>
      </c>
      <c r="AA183" s="53" t="str">
        <f>IF($G183="","",IFERROR(MATCH($G183,Fertilisants!$B$8:$B$47,0),""))</f>
        <v/>
      </c>
      <c r="AB183" s="53" t="str">
        <f>IF($Z183="","",INDEX(Îlots!$E$8:$E$57,$Z183))</f>
        <v/>
      </c>
      <c r="AC183" s="53" t="str">
        <f>IF($Z183="","",INDEX(Îlots!$G$8:$G$57,$Z183)&amp;"")</f>
        <v/>
      </c>
      <c r="AD183" s="53" t="str">
        <f>IF($Z183="","",IF($F183=ApportCouvert,OccCouvert,INDEX(Îlots!$O$8:$O$57,$Z183)&amp;""))</f>
        <v/>
      </c>
      <c r="AE183" s="53" t="str">
        <f t="shared" si="31"/>
        <v/>
      </c>
      <c r="AF183" s="53" t="str">
        <f t="shared" si="32"/>
        <v/>
      </c>
      <c r="AG183" s="53" t="str">
        <f t="shared" si="33"/>
        <v/>
      </c>
      <c r="AH183" s="53">
        <f t="shared" si="34"/>
        <v>0</v>
      </c>
      <c r="AI183" s="53">
        <f t="shared" si="35"/>
        <v>0</v>
      </c>
      <c r="AJ183" s="53">
        <f t="shared" si="36"/>
        <v>0</v>
      </c>
      <c r="AK183" s="53">
        <f t="shared" si="37"/>
        <v>0</v>
      </c>
      <c r="AL183" s="53">
        <f t="shared" si="38"/>
        <v>0</v>
      </c>
      <c r="AM183" s="53">
        <f>IF($AA183="",0,IF(INDEX(Fertilisants!$C$8:$C$47,$AA183)="Effluent d'élevage",1,0))</f>
        <v>0</v>
      </c>
      <c r="AN183" s="53" t="str">
        <f>IF($AA183="","",IF(INDEX(Fertilisants!$C$8:$C$47,$AA183)="Engrais minéral","Minéral","Organique"))</f>
        <v/>
      </c>
      <c r="AO183" s="53" t="str">
        <f t="shared" si="39"/>
        <v/>
      </c>
      <c r="AP183" s="53" t="str">
        <f t="shared" si="40"/>
        <v/>
      </c>
      <c r="AQ183" s="53" t="str">
        <f t="shared" si="41"/>
        <v/>
      </c>
      <c r="AR183" s="53" t="str">
        <f>IF(AND($D183&lt;&gt;"",$D183=FicheIlot),COUNTIF($D$8:$D183,FicheIlot),"")</f>
        <v/>
      </c>
    </row>
    <row r="184" spans="2:44" ht="18.95" customHeight="1" x14ac:dyDescent="0.25">
      <c r="B184" s="42" t="str">
        <f>IF(C184="","",COUNT($C$8:C184))</f>
        <v/>
      </c>
      <c r="C184" s="43"/>
      <c r="D184" s="44"/>
      <c r="E184" s="45" t="str">
        <f>IF($Z184="","",IF($F184=ApportCouvert,INDEX(Îlots!$I$8:$I$57,$Z184)&amp;"",INDEX(Îlots!$N$8:$N$57,$Z184)&amp;""))</f>
        <v/>
      </c>
      <c r="F184" s="44"/>
      <c r="G184" s="44"/>
      <c r="H184" s="46" t="str">
        <f>IF($AA184="","",INDEX(Fertilisants!$D$8:$D$47,$AA184)&amp;"")</f>
        <v/>
      </c>
      <c r="I184" s="47"/>
      <c r="J184" s="48"/>
      <c r="K184" s="46" t="str">
        <f>IF($AA184="","",INDEX(Fertilisants!$E$8:$E$47,$AA184)&amp;"")</f>
        <v/>
      </c>
      <c r="L184" s="49" t="str">
        <f t="shared" si="28"/>
        <v/>
      </c>
      <c r="M184" s="50" t="str">
        <f>IF(OR($J184="",$AA184=""),"",$J184*N(INDEX(Fertilisants!$G$8:$G$47,$AA184)))</f>
        <v/>
      </c>
      <c r="N184" s="50" t="str">
        <f>IF(OR($J184="",$AA184=""),"",$J184*N(INDEX(Fertilisants!$I$8:$I$47,$AA184)))</f>
        <v/>
      </c>
      <c r="O184" s="50" t="str">
        <f>IF(OR($J184="",$AA184=""),"",$J184*N(INDEX(Fertilisants!$J$8:$J$47,$AA184)))</f>
        <v/>
      </c>
      <c r="P184" s="50" t="str">
        <f>IF(OR($J184="",$AA184=""),"",$J184*N(INDEX(Fertilisants!$K$8:$K$47,$AA184)))</f>
        <v/>
      </c>
      <c r="Q184" s="50" t="str">
        <f t="shared" si="29"/>
        <v/>
      </c>
      <c r="R184" s="44"/>
      <c r="S184" s="44"/>
      <c r="T184" s="51"/>
      <c r="U184" s="44"/>
      <c r="V184" s="43"/>
      <c r="W184" s="52" t="str">
        <f t="shared" si="30"/>
        <v/>
      </c>
      <c r="X184" s="44"/>
      <c r="Z184" s="53" t="str">
        <f>IF($D184="","",IFERROR(MATCH($D184,Îlots!$D$8:$D$57,0),""))</f>
        <v/>
      </c>
      <c r="AA184" s="53" t="str">
        <f>IF($G184="","",IFERROR(MATCH($G184,Fertilisants!$B$8:$B$47,0),""))</f>
        <v/>
      </c>
      <c r="AB184" s="53" t="str">
        <f>IF($Z184="","",INDEX(Îlots!$E$8:$E$57,$Z184))</f>
        <v/>
      </c>
      <c r="AC184" s="53" t="str">
        <f>IF($Z184="","",INDEX(Îlots!$G$8:$G$57,$Z184)&amp;"")</f>
        <v/>
      </c>
      <c r="AD184" s="53" t="str">
        <f>IF($Z184="","",IF($F184=ApportCouvert,OccCouvert,INDEX(Îlots!$O$8:$O$57,$Z184)&amp;""))</f>
        <v/>
      </c>
      <c r="AE184" s="53" t="str">
        <f t="shared" si="31"/>
        <v/>
      </c>
      <c r="AF184" s="53" t="str">
        <f t="shared" si="32"/>
        <v/>
      </c>
      <c r="AG184" s="53" t="str">
        <f t="shared" si="33"/>
        <v/>
      </c>
      <c r="AH184" s="53">
        <f t="shared" si="34"/>
        <v>0</v>
      </c>
      <c r="AI184" s="53">
        <f t="shared" si="35"/>
        <v>0</v>
      </c>
      <c r="AJ184" s="53">
        <f t="shared" si="36"/>
        <v>0</v>
      </c>
      <c r="AK184" s="53">
        <f t="shared" si="37"/>
        <v>0</v>
      </c>
      <c r="AL184" s="53">
        <f t="shared" si="38"/>
        <v>0</v>
      </c>
      <c r="AM184" s="53">
        <f>IF($AA184="",0,IF(INDEX(Fertilisants!$C$8:$C$47,$AA184)="Effluent d'élevage",1,0))</f>
        <v>0</v>
      </c>
      <c r="AN184" s="53" t="str">
        <f>IF($AA184="","",IF(INDEX(Fertilisants!$C$8:$C$47,$AA184)="Engrais minéral","Minéral","Organique"))</f>
        <v/>
      </c>
      <c r="AO184" s="53" t="str">
        <f t="shared" si="39"/>
        <v/>
      </c>
      <c r="AP184" s="53" t="str">
        <f t="shared" si="40"/>
        <v/>
      </c>
      <c r="AQ184" s="53" t="str">
        <f t="shared" si="41"/>
        <v/>
      </c>
      <c r="AR184" s="53" t="str">
        <f>IF(AND($D184&lt;&gt;"",$D184=FicheIlot),COUNTIF($D$8:$D184,FicheIlot),"")</f>
        <v/>
      </c>
    </row>
    <row r="185" spans="2:44" ht="18.95" customHeight="1" x14ac:dyDescent="0.25">
      <c r="B185" s="42" t="str">
        <f>IF(C185="","",COUNT($C$8:C185))</f>
        <v/>
      </c>
      <c r="C185" s="43"/>
      <c r="D185" s="44"/>
      <c r="E185" s="45" t="str">
        <f>IF($Z185="","",IF($F185=ApportCouvert,INDEX(Îlots!$I$8:$I$57,$Z185)&amp;"",INDEX(Îlots!$N$8:$N$57,$Z185)&amp;""))</f>
        <v/>
      </c>
      <c r="F185" s="44"/>
      <c r="G185" s="44"/>
      <c r="H185" s="46" t="str">
        <f>IF($AA185="","",INDEX(Fertilisants!$D$8:$D$47,$AA185)&amp;"")</f>
        <v/>
      </c>
      <c r="I185" s="47"/>
      <c r="J185" s="48"/>
      <c r="K185" s="46" t="str">
        <f>IF($AA185="","",INDEX(Fertilisants!$E$8:$E$47,$AA185)&amp;"")</f>
        <v/>
      </c>
      <c r="L185" s="49" t="str">
        <f t="shared" si="28"/>
        <v/>
      </c>
      <c r="M185" s="50" t="str">
        <f>IF(OR($J185="",$AA185=""),"",$J185*N(INDEX(Fertilisants!$G$8:$G$47,$AA185)))</f>
        <v/>
      </c>
      <c r="N185" s="50" t="str">
        <f>IF(OR($J185="",$AA185=""),"",$J185*N(INDEX(Fertilisants!$I$8:$I$47,$AA185)))</f>
        <v/>
      </c>
      <c r="O185" s="50" t="str">
        <f>IF(OR($J185="",$AA185=""),"",$J185*N(INDEX(Fertilisants!$J$8:$J$47,$AA185)))</f>
        <v/>
      </c>
      <c r="P185" s="50" t="str">
        <f>IF(OR($J185="",$AA185=""),"",$J185*N(INDEX(Fertilisants!$K$8:$K$47,$AA185)))</f>
        <v/>
      </c>
      <c r="Q185" s="50" t="str">
        <f t="shared" si="29"/>
        <v/>
      </c>
      <c r="R185" s="44"/>
      <c r="S185" s="44"/>
      <c r="T185" s="51"/>
      <c r="U185" s="44"/>
      <c r="V185" s="43"/>
      <c r="W185" s="52" t="str">
        <f t="shared" si="30"/>
        <v/>
      </c>
      <c r="X185" s="44"/>
      <c r="Z185" s="53" t="str">
        <f>IF($D185="","",IFERROR(MATCH($D185,Îlots!$D$8:$D$57,0),""))</f>
        <v/>
      </c>
      <c r="AA185" s="53" t="str">
        <f>IF($G185="","",IFERROR(MATCH($G185,Fertilisants!$B$8:$B$47,0),""))</f>
        <v/>
      </c>
      <c r="AB185" s="53" t="str">
        <f>IF($Z185="","",INDEX(Îlots!$E$8:$E$57,$Z185))</f>
        <v/>
      </c>
      <c r="AC185" s="53" t="str">
        <f>IF($Z185="","",INDEX(Îlots!$G$8:$G$57,$Z185)&amp;"")</f>
        <v/>
      </c>
      <c r="AD185" s="53" t="str">
        <f>IF($Z185="","",IF($F185=ApportCouvert,OccCouvert,INDEX(Îlots!$O$8:$O$57,$Z185)&amp;""))</f>
        <v/>
      </c>
      <c r="AE185" s="53" t="str">
        <f t="shared" si="31"/>
        <v/>
      </c>
      <c r="AF185" s="53" t="str">
        <f t="shared" si="32"/>
        <v/>
      </c>
      <c r="AG185" s="53" t="str">
        <f t="shared" si="33"/>
        <v/>
      </c>
      <c r="AH185" s="53">
        <f t="shared" si="34"/>
        <v>0</v>
      </c>
      <c r="AI185" s="53">
        <f t="shared" si="35"/>
        <v>0</v>
      </c>
      <c r="AJ185" s="53">
        <f t="shared" si="36"/>
        <v>0</v>
      </c>
      <c r="AK185" s="53">
        <f t="shared" si="37"/>
        <v>0</v>
      </c>
      <c r="AL185" s="53">
        <f t="shared" si="38"/>
        <v>0</v>
      </c>
      <c r="AM185" s="53">
        <f>IF($AA185="",0,IF(INDEX(Fertilisants!$C$8:$C$47,$AA185)="Effluent d'élevage",1,0))</f>
        <v>0</v>
      </c>
      <c r="AN185" s="53" t="str">
        <f>IF($AA185="","",IF(INDEX(Fertilisants!$C$8:$C$47,$AA185)="Engrais minéral","Minéral","Organique"))</f>
        <v/>
      </c>
      <c r="AO185" s="53" t="str">
        <f t="shared" si="39"/>
        <v/>
      </c>
      <c r="AP185" s="53" t="str">
        <f t="shared" si="40"/>
        <v/>
      </c>
      <c r="AQ185" s="53" t="str">
        <f t="shared" si="41"/>
        <v/>
      </c>
      <c r="AR185" s="53" t="str">
        <f>IF(AND($D185&lt;&gt;"",$D185=FicheIlot),COUNTIF($D$8:$D185,FicheIlot),"")</f>
        <v/>
      </c>
    </row>
    <row r="186" spans="2:44" ht="18.95" customHeight="1" x14ac:dyDescent="0.25">
      <c r="B186" s="42" t="str">
        <f>IF(C186="","",COUNT($C$8:C186))</f>
        <v/>
      </c>
      <c r="C186" s="43"/>
      <c r="D186" s="44"/>
      <c r="E186" s="45" t="str">
        <f>IF($Z186="","",IF($F186=ApportCouvert,INDEX(Îlots!$I$8:$I$57,$Z186)&amp;"",INDEX(Îlots!$N$8:$N$57,$Z186)&amp;""))</f>
        <v/>
      </c>
      <c r="F186" s="44"/>
      <c r="G186" s="44"/>
      <c r="H186" s="46" t="str">
        <f>IF($AA186="","",INDEX(Fertilisants!$D$8:$D$47,$AA186)&amp;"")</f>
        <v/>
      </c>
      <c r="I186" s="47"/>
      <c r="J186" s="48"/>
      <c r="K186" s="46" t="str">
        <f>IF($AA186="","",INDEX(Fertilisants!$E$8:$E$47,$AA186)&amp;"")</f>
        <v/>
      </c>
      <c r="L186" s="49" t="str">
        <f t="shared" si="28"/>
        <v/>
      </c>
      <c r="M186" s="50" t="str">
        <f>IF(OR($J186="",$AA186=""),"",$J186*N(INDEX(Fertilisants!$G$8:$G$47,$AA186)))</f>
        <v/>
      </c>
      <c r="N186" s="50" t="str">
        <f>IF(OR($J186="",$AA186=""),"",$J186*N(INDEX(Fertilisants!$I$8:$I$47,$AA186)))</f>
        <v/>
      </c>
      <c r="O186" s="50" t="str">
        <f>IF(OR($J186="",$AA186=""),"",$J186*N(INDEX(Fertilisants!$J$8:$J$47,$AA186)))</f>
        <v/>
      </c>
      <c r="P186" s="50" t="str">
        <f>IF(OR($J186="",$AA186=""),"",$J186*N(INDEX(Fertilisants!$K$8:$K$47,$AA186)))</f>
        <v/>
      </c>
      <c r="Q186" s="50" t="str">
        <f t="shared" si="29"/>
        <v/>
      </c>
      <c r="R186" s="44"/>
      <c r="S186" s="44"/>
      <c r="T186" s="51"/>
      <c r="U186" s="44"/>
      <c r="V186" s="43"/>
      <c r="W186" s="52" t="str">
        <f t="shared" si="30"/>
        <v/>
      </c>
      <c r="X186" s="44"/>
      <c r="Z186" s="53" t="str">
        <f>IF($D186="","",IFERROR(MATCH($D186,Îlots!$D$8:$D$57,0),""))</f>
        <v/>
      </c>
      <c r="AA186" s="53" t="str">
        <f>IF($G186="","",IFERROR(MATCH($G186,Fertilisants!$B$8:$B$47,0),""))</f>
        <v/>
      </c>
      <c r="AB186" s="53" t="str">
        <f>IF($Z186="","",INDEX(Îlots!$E$8:$E$57,$Z186))</f>
        <v/>
      </c>
      <c r="AC186" s="53" t="str">
        <f>IF($Z186="","",INDEX(Îlots!$G$8:$G$57,$Z186)&amp;"")</f>
        <v/>
      </c>
      <c r="AD186" s="53" t="str">
        <f>IF($Z186="","",IF($F186=ApportCouvert,OccCouvert,INDEX(Îlots!$O$8:$O$57,$Z186)&amp;""))</f>
        <v/>
      </c>
      <c r="AE186" s="53" t="str">
        <f t="shared" si="31"/>
        <v/>
      </c>
      <c r="AF186" s="53" t="str">
        <f t="shared" si="32"/>
        <v/>
      </c>
      <c r="AG186" s="53" t="str">
        <f t="shared" si="33"/>
        <v/>
      </c>
      <c r="AH186" s="53">
        <f t="shared" si="34"/>
        <v>0</v>
      </c>
      <c r="AI186" s="53">
        <f t="shared" si="35"/>
        <v>0</v>
      </c>
      <c r="AJ186" s="53">
        <f t="shared" si="36"/>
        <v>0</v>
      </c>
      <c r="AK186" s="53">
        <f t="shared" si="37"/>
        <v>0</v>
      </c>
      <c r="AL186" s="53">
        <f t="shared" si="38"/>
        <v>0</v>
      </c>
      <c r="AM186" s="53">
        <f>IF($AA186="",0,IF(INDEX(Fertilisants!$C$8:$C$47,$AA186)="Effluent d'élevage",1,0))</f>
        <v>0</v>
      </c>
      <c r="AN186" s="53" t="str">
        <f>IF($AA186="","",IF(INDEX(Fertilisants!$C$8:$C$47,$AA186)="Engrais minéral","Minéral","Organique"))</f>
        <v/>
      </c>
      <c r="AO186" s="53" t="str">
        <f t="shared" si="39"/>
        <v/>
      </c>
      <c r="AP186" s="53" t="str">
        <f t="shared" si="40"/>
        <v/>
      </c>
      <c r="AQ186" s="53" t="str">
        <f t="shared" si="41"/>
        <v/>
      </c>
      <c r="AR186" s="53" t="str">
        <f>IF(AND($D186&lt;&gt;"",$D186=FicheIlot),COUNTIF($D$8:$D186,FicheIlot),"")</f>
        <v/>
      </c>
    </row>
    <row r="187" spans="2:44" ht="18.95" customHeight="1" x14ac:dyDescent="0.25">
      <c r="B187" s="42" t="str">
        <f>IF(C187="","",COUNT($C$8:C187))</f>
        <v/>
      </c>
      <c r="C187" s="43"/>
      <c r="D187" s="44"/>
      <c r="E187" s="45" t="str">
        <f>IF($Z187="","",IF($F187=ApportCouvert,INDEX(Îlots!$I$8:$I$57,$Z187)&amp;"",INDEX(Îlots!$N$8:$N$57,$Z187)&amp;""))</f>
        <v/>
      </c>
      <c r="F187" s="44"/>
      <c r="G187" s="44"/>
      <c r="H187" s="46" t="str">
        <f>IF($AA187="","",INDEX(Fertilisants!$D$8:$D$47,$AA187)&amp;"")</f>
        <v/>
      </c>
      <c r="I187" s="47"/>
      <c r="J187" s="48"/>
      <c r="K187" s="46" t="str">
        <f>IF($AA187="","",INDEX(Fertilisants!$E$8:$E$47,$AA187)&amp;"")</f>
        <v/>
      </c>
      <c r="L187" s="49" t="str">
        <f t="shared" si="28"/>
        <v/>
      </c>
      <c r="M187" s="50" t="str">
        <f>IF(OR($J187="",$AA187=""),"",$J187*N(INDEX(Fertilisants!$G$8:$G$47,$AA187)))</f>
        <v/>
      </c>
      <c r="N187" s="50" t="str">
        <f>IF(OR($J187="",$AA187=""),"",$J187*N(INDEX(Fertilisants!$I$8:$I$47,$AA187)))</f>
        <v/>
      </c>
      <c r="O187" s="50" t="str">
        <f>IF(OR($J187="",$AA187=""),"",$J187*N(INDEX(Fertilisants!$J$8:$J$47,$AA187)))</f>
        <v/>
      </c>
      <c r="P187" s="50" t="str">
        <f>IF(OR($J187="",$AA187=""),"",$J187*N(INDEX(Fertilisants!$K$8:$K$47,$AA187)))</f>
        <v/>
      </c>
      <c r="Q187" s="50" t="str">
        <f t="shared" si="29"/>
        <v/>
      </c>
      <c r="R187" s="44"/>
      <c r="S187" s="44"/>
      <c r="T187" s="51"/>
      <c r="U187" s="44"/>
      <c r="V187" s="43"/>
      <c r="W187" s="52" t="str">
        <f t="shared" si="30"/>
        <v/>
      </c>
      <c r="X187" s="44"/>
      <c r="Z187" s="53" t="str">
        <f>IF($D187="","",IFERROR(MATCH($D187,Îlots!$D$8:$D$57,0),""))</f>
        <v/>
      </c>
      <c r="AA187" s="53" t="str">
        <f>IF($G187="","",IFERROR(MATCH($G187,Fertilisants!$B$8:$B$47,0),""))</f>
        <v/>
      </c>
      <c r="AB187" s="53" t="str">
        <f>IF($Z187="","",INDEX(Îlots!$E$8:$E$57,$Z187))</f>
        <v/>
      </c>
      <c r="AC187" s="53" t="str">
        <f>IF($Z187="","",INDEX(Îlots!$G$8:$G$57,$Z187)&amp;"")</f>
        <v/>
      </c>
      <c r="AD187" s="53" t="str">
        <f>IF($Z187="","",IF($F187=ApportCouvert,OccCouvert,INDEX(Îlots!$O$8:$O$57,$Z187)&amp;""))</f>
        <v/>
      </c>
      <c r="AE187" s="53" t="str">
        <f t="shared" si="31"/>
        <v/>
      </c>
      <c r="AF187" s="53" t="str">
        <f t="shared" si="32"/>
        <v/>
      </c>
      <c r="AG187" s="53" t="str">
        <f t="shared" si="33"/>
        <v/>
      </c>
      <c r="AH187" s="53">
        <f t="shared" si="34"/>
        <v>0</v>
      </c>
      <c r="AI187" s="53">
        <f t="shared" si="35"/>
        <v>0</v>
      </c>
      <c r="AJ187" s="53">
        <f t="shared" si="36"/>
        <v>0</v>
      </c>
      <c r="AK187" s="53">
        <f t="shared" si="37"/>
        <v>0</v>
      </c>
      <c r="AL187" s="53">
        <f t="shared" si="38"/>
        <v>0</v>
      </c>
      <c r="AM187" s="53">
        <f>IF($AA187="",0,IF(INDEX(Fertilisants!$C$8:$C$47,$AA187)="Effluent d'élevage",1,0))</f>
        <v>0</v>
      </c>
      <c r="AN187" s="53" t="str">
        <f>IF($AA187="","",IF(INDEX(Fertilisants!$C$8:$C$47,$AA187)="Engrais minéral","Minéral","Organique"))</f>
        <v/>
      </c>
      <c r="AO187" s="53" t="str">
        <f t="shared" si="39"/>
        <v/>
      </c>
      <c r="AP187" s="53" t="str">
        <f t="shared" si="40"/>
        <v/>
      </c>
      <c r="AQ187" s="53" t="str">
        <f t="shared" si="41"/>
        <v/>
      </c>
      <c r="AR187" s="53" t="str">
        <f>IF(AND($D187&lt;&gt;"",$D187=FicheIlot),COUNTIF($D$8:$D187,FicheIlot),"")</f>
        <v/>
      </c>
    </row>
    <row r="188" spans="2:44" ht="18.95" customHeight="1" x14ac:dyDescent="0.25">
      <c r="B188" s="42" t="str">
        <f>IF(C188="","",COUNT($C$8:C188))</f>
        <v/>
      </c>
      <c r="C188" s="43"/>
      <c r="D188" s="44"/>
      <c r="E188" s="45" t="str">
        <f>IF($Z188="","",IF($F188=ApportCouvert,INDEX(Îlots!$I$8:$I$57,$Z188)&amp;"",INDEX(Îlots!$N$8:$N$57,$Z188)&amp;""))</f>
        <v/>
      </c>
      <c r="F188" s="44"/>
      <c r="G188" s="44"/>
      <c r="H188" s="46" t="str">
        <f>IF($AA188="","",INDEX(Fertilisants!$D$8:$D$47,$AA188)&amp;"")</f>
        <v/>
      </c>
      <c r="I188" s="47"/>
      <c r="J188" s="48"/>
      <c r="K188" s="46" t="str">
        <f>IF($AA188="","",INDEX(Fertilisants!$E$8:$E$47,$AA188)&amp;"")</f>
        <v/>
      </c>
      <c r="L188" s="49" t="str">
        <f t="shared" si="28"/>
        <v/>
      </c>
      <c r="M188" s="50" t="str">
        <f>IF(OR($J188="",$AA188=""),"",$J188*N(INDEX(Fertilisants!$G$8:$G$47,$AA188)))</f>
        <v/>
      </c>
      <c r="N188" s="50" t="str">
        <f>IF(OR($J188="",$AA188=""),"",$J188*N(INDEX(Fertilisants!$I$8:$I$47,$AA188)))</f>
        <v/>
      </c>
      <c r="O188" s="50" t="str">
        <f>IF(OR($J188="",$AA188=""),"",$J188*N(INDEX(Fertilisants!$J$8:$J$47,$AA188)))</f>
        <v/>
      </c>
      <c r="P188" s="50" t="str">
        <f>IF(OR($J188="",$AA188=""),"",$J188*N(INDEX(Fertilisants!$K$8:$K$47,$AA188)))</f>
        <v/>
      </c>
      <c r="Q188" s="50" t="str">
        <f t="shared" si="29"/>
        <v/>
      </c>
      <c r="R188" s="44"/>
      <c r="S188" s="44"/>
      <c r="T188" s="51"/>
      <c r="U188" s="44"/>
      <c r="V188" s="43"/>
      <c r="W188" s="52" t="str">
        <f t="shared" si="30"/>
        <v/>
      </c>
      <c r="X188" s="44"/>
      <c r="Z188" s="53" t="str">
        <f>IF($D188="","",IFERROR(MATCH($D188,Îlots!$D$8:$D$57,0),""))</f>
        <v/>
      </c>
      <c r="AA188" s="53" t="str">
        <f>IF($G188="","",IFERROR(MATCH($G188,Fertilisants!$B$8:$B$47,0),""))</f>
        <v/>
      </c>
      <c r="AB188" s="53" t="str">
        <f>IF($Z188="","",INDEX(Îlots!$E$8:$E$57,$Z188))</f>
        <v/>
      </c>
      <c r="AC188" s="53" t="str">
        <f>IF($Z188="","",INDEX(Îlots!$G$8:$G$57,$Z188)&amp;"")</f>
        <v/>
      </c>
      <c r="AD188" s="53" t="str">
        <f>IF($Z188="","",IF($F188=ApportCouvert,OccCouvert,INDEX(Îlots!$O$8:$O$57,$Z188)&amp;""))</f>
        <v/>
      </c>
      <c r="AE188" s="53" t="str">
        <f t="shared" si="31"/>
        <v/>
      </c>
      <c r="AF188" s="53" t="str">
        <f t="shared" si="32"/>
        <v/>
      </c>
      <c r="AG188" s="53" t="str">
        <f t="shared" si="33"/>
        <v/>
      </c>
      <c r="AH188" s="53">
        <f t="shared" si="34"/>
        <v>0</v>
      </c>
      <c r="AI188" s="53">
        <f t="shared" si="35"/>
        <v>0</v>
      </c>
      <c r="AJ188" s="53">
        <f t="shared" si="36"/>
        <v>0</v>
      </c>
      <c r="AK188" s="53">
        <f t="shared" si="37"/>
        <v>0</v>
      </c>
      <c r="AL188" s="53">
        <f t="shared" si="38"/>
        <v>0</v>
      </c>
      <c r="AM188" s="53">
        <f>IF($AA188="",0,IF(INDEX(Fertilisants!$C$8:$C$47,$AA188)="Effluent d'élevage",1,0))</f>
        <v>0</v>
      </c>
      <c r="AN188" s="53" t="str">
        <f>IF($AA188="","",IF(INDEX(Fertilisants!$C$8:$C$47,$AA188)="Engrais minéral","Minéral","Organique"))</f>
        <v/>
      </c>
      <c r="AO188" s="53" t="str">
        <f t="shared" si="39"/>
        <v/>
      </c>
      <c r="AP188" s="53" t="str">
        <f t="shared" si="40"/>
        <v/>
      </c>
      <c r="AQ188" s="53" t="str">
        <f t="shared" si="41"/>
        <v/>
      </c>
      <c r="AR188" s="53" t="str">
        <f>IF(AND($D188&lt;&gt;"",$D188=FicheIlot),COUNTIF($D$8:$D188,FicheIlot),"")</f>
        <v/>
      </c>
    </row>
    <row r="189" spans="2:44" ht="18.95" customHeight="1" x14ac:dyDescent="0.25">
      <c r="B189" s="42" t="str">
        <f>IF(C189="","",COUNT($C$8:C189))</f>
        <v/>
      </c>
      <c r="C189" s="43"/>
      <c r="D189" s="44"/>
      <c r="E189" s="45" t="str">
        <f>IF($Z189="","",IF($F189=ApportCouvert,INDEX(Îlots!$I$8:$I$57,$Z189)&amp;"",INDEX(Îlots!$N$8:$N$57,$Z189)&amp;""))</f>
        <v/>
      </c>
      <c r="F189" s="44"/>
      <c r="G189" s="44"/>
      <c r="H189" s="46" t="str">
        <f>IF($AA189="","",INDEX(Fertilisants!$D$8:$D$47,$AA189)&amp;"")</f>
        <v/>
      </c>
      <c r="I189" s="47"/>
      <c r="J189" s="48"/>
      <c r="K189" s="46" t="str">
        <f>IF($AA189="","",INDEX(Fertilisants!$E$8:$E$47,$AA189)&amp;"")</f>
        <v/>
      </c>
      <c r="L189" s="49" t="str">
        <f t="shared" si="28"/>
        <v/>
      </c>
      <c r="M189" s="50" t="str">
        <f>IF(OR($J189="",$AA189=""),"",$J189*N(INDEX(Fertilisants!$G$8:$G$47,$AA189)))</f>
        <v/>
      </c>
      <c r="N189" s="50" t="str">
        <f>IF(OR($J189="",$AA189=""),"",$J189*N(INDEX(Fertilisants!$I$8:$I$47,$AA189)))</f>
        <v/>
      </c>
      <c r="O189" s="50" t="str">
        <f>IF(OR($J189="",$AA189=""),"",$J189*N(INDEX(Fertilisants!$J$8:$J$47,$AA189)))</f>
        <v/>
      </c>
      <c r="P189" s="50" t="str">
        <f>IF(OR($J189="",$AA189=""),"",$J189*N(INDEX(Fertilisants!$K$8:$K$47,$AA189)))</f>
        <v/>
      </c>
      <c r="Q189" s="50" t="str">
        <f t="shared" si="29"/>
        <v/>
      </c>
      <c r="R189" s="44"/>
      <c r="S189" s="44"/>
      <c r="T189" s="51"/>
      <c r="U189" s="44"/>
      <c r="V189" s="43"/>
      <c r="W189" s="52" t="str">
        <f t="shared" si="30"/>
        <v/>
      </c>
      <c r="X189" s="44"/>
      <c r="Z189" s="53" t="str">
        <f>IF($D189="","",IFERROR(MATCH($D189,Îlots!$D$8:$D$57,0),""))</f>
        <v/>
      </c>
      <c r="AA189" s="53" t="str">
        <f>IF($G189="","",IFERROR(MATCH($G189,Fertilisants!$B$8:$B$47,0),""))</f>
        <v/>
      </c>
      <c r="AB189" s="53" t="str">
        <f>IF($Z189="","",INDEX(Îlots!$E$8:$E$57,$Z189))</f>
        <v/>
      </c>
      <c r="AC189" s="53" t="str">
        <f>IF($Z189="","",INDEX(Îlots!$G$8:$G$57,$Z189)&amp;"")</f>
        <v/>
      </c>
      <c r="AD189" s="53" t="str">
        <f>IF($Z189="","",IF($F189=ApportCouvert,OccCouvert,INDEX(Îlots!$O$8:$O$57,$Z189)&amp;""))</f>
        <v/>
      </c>
      <c r="AE189" s="53" t="str">
        <f t="shared" si="31"/>
        <v/>
      </c>
      <c r="AF189" s="53" t="str">
        <f t="shared" si="32"/>
        <v/>
      </c>
      <c r="AG189" s="53" t="str">
        <f t="shared" si="33"/>
        <v/>
      </c>
      <c r="AH189" s="53">
        <f t="shared" si="34"/>
        <v>0</v>
      </c>
      <c r="AI189" s="53">
        <f t="shared" si="35"/>
        <v>0</v>
      </c>
      <c r="AJ189" s="53">
        <f t="shared" si="36"/>
        <v>0</v>
      </c>
      <c r="AK189" s="53">
        <f t="shared" si="37"/>
        <v>0</v>
      </c>
      <c r="AL189" s="53">
        <f t="shared" si="38"/>
        <v>0</v>
      </c>
      <c r="AM189" s="53">
        <f>IF($AA189="",0,IF(INDEX(Fertilisants!$C$8:$C$47,$AA189)="Effluent d'élevage",1,0))</f>
        <v>0</v>
      </c>
      <c r="AN189" s="53" t="str">
        <f>IF($AA189="","",IF(INDEX(Fertilisants!$C$8:$C$47,$AA189)="Engrais minéral","Minéral","Organique"))</f>
        <v/>
      </c>
      <c r="AO189" s="53" t="str">
        <f t="shared" si="39"/>
        <v/>
      </c>
      <c r="AP189" s="53" t="str">
        <f t="shared" si="40"/>
        <v/>
      </c>
      <c r="AQ189" s="53" t="str">
        <f t="shared" si="41"/>
        <v/>
      </c>
      <c r="AR189" s="53" t="str">
        <f>IF(AND($D189&lt;&gt;"",$D189=FicheIlot),COUNTIF($D$8:$D189,FicheIlot),"")</f>
        <v/>
      </c>
    </row>
    <row r="190" spans="2:44" ht="18.95" customHeight="1" x14ac:dyDescent="0.25">
      <c r="B190" s="42" t="str">
        <f>IF(C190="","",COUNT($C$8:C190))</f>
        <v/>
      </c>
      <c r="C190" s="43"/>
      <c r="D190" s="44"/>
      <c r="E190" s="45" t="str">
        <f>IF($Z190="","",IF($F190=ApportCouvert,INDEX(Îlots!$I$8:$I$57,$Z190)&amp;"",INDEX(Îlots!$N$8:$N$57,$Z190)&amp;""))</f>
        <v/>
      </c>
      <c r="F190" s="44"/>
      <c r="G190" s="44"/>
      <c r="H190" s="46" t="str">
        <f>IF($AA190="","",INDEX(Fertilisants!$D$8:$D$47,$AA190)&amp;"")</f>
        <v/>
      </c>
      <c r="I190" s="47"/>
      <c r="J190" s="48"/>
      <c r="K190" s="46" t="str">
        <f>IF($AA190="","",INDEX(Fertilisants!$E$8:$E$47,$AA190)&amp;"")</f>
        <v/>
      </c>
      <c r="L190" s="49" t="str">
        <f t="shared" si="28"/>
        <v/>
      </c>
      <c r="M190" s="50" t="str">
        <f>IF(OR($J190="",$AA190=""),"",$J190*N(INDEX(Fertilisants!$G$8:$G$47,$AA190)))</f>
        <v/>
      </c>
      <c r="N190" s="50" t="str">
        <f>IF(OR($J190="",$AA190=""),"",$J190*N(INDEX(Fertilisants!$I$8:$I$47,$AA190)))</f>
        <v/>
      </c>
      <c r="O190" s="50" t="str">
        <f>IF(OR($J190="",$AA190=""),"",$J190*N(INDEX(Fertilisants!$J$8:$J$47,$AA190)))</f>
        <v/>
      </c>
      <c r="P190" s="50" t="str">
        <f>IF(OR($J190="",$AA190=""),"",$J190*N(INDEX(Fertilisants!$K$8:$K$47,$AA190)))</f>
        <v/>
      </c>
      <c r="Q190" s="50" t="str">
        <f t="shared" si="29"/>
        <v/>
      </c>
      <c r="R190" s="44"/>
      <c r="S190" s="44"/>
      <c r="T190" s="51"/>
      <c r="U190" s="44"/>
      <c r="V190" s="43"/>
      <c r="W190" s="52" t="str">
        <f t="shared" si="30"/>
        <v/>
      </c>
      <c r="X190" s="44"/>
      <c r="Z190" s="53" t="str">
        <f>IF($D190="","",IFERROR(MATCH($D190,Îlots!$D$8:$D$57,0),""))</f>
        <v/>
      </c>
      <c r="AA190" s="53" t="str">
        <f>IF($G190="","",IFERROR(MATCH($G190,Fertilisants!$B$8:$B$47,0),""))</f>
        <v/>
      </c>
      <c r="AB190" s="53" t="str">
        <f>IF($Z190="","",INDEX(Îlots!$E$8:$E$57,$Z190))</f>
        <v/>
      </c>
      <c r="AC190" s="53" t="str">
        <f>IF($Z190="","",INDEX(Îlots!$G$8:$G$57,$Z190)&amp;"")</f>
        <v/>
      </c>
      <c r="AD190" s="53" t="str">
        <f>IF($Z190="","",IF($F190=ApportCouvert,OccCouvert,INDEX(Îlots!$O$8:$O$57,$Z190)&amp;""))</f>
        <v/>
      </c>
      <c r="AE190" s="53" t="str">
        <f t="shared" si="31"/>
        <v/>
      </c>
      <c r="AF190" s="53" t="str">
        <f t="shared" si="32"/>
        <v/>
      </c>
      <c r="AG190" s="53" t="str">
        <f t="shared" si="33"/>
        <v/>
      </c>
      <c r="AH190" s="53">
        <f t="shared" si="34"/>
        <v>0</v>
      </c>
      <c r="AI190" s="53">
        <f t="shared" si="35"/>
        <v>0</v>
      </c>
      <c r="AJ190" s="53">
        <f t="shared" si="36"/>
        <v>0</v>
      </c>
      <c r="AK190" s="53">
        <f t="shared" si="37"/>
        <v>0</v>
      </c>
      <c r="AL190" s="53">
        <f t="shared" si="38"/>
        <v>0</v>
      </c>
      <c r="AM190" s="53">
        <f>IF($AA190="",0,IF(INDEX(Fertilisants!$C$8:$C$47,$AA190)="Effluent d'élevage",1,0))</f>
        <v>0</v>
      </c>
      <c r="AN190" s="53" t="str">
        <f>IF($AA190="","",IF(INDEX(Fertilisants!$C$8:$C$47,$AA190)="Engrais minéral","Minéral","Organique"))</f>
        <v/>
      </c>
      <c r="AO190" s="53" t="str">
        <f t="shared" si="39"/>
        <v/>
      </c>
      <c r="AP190" s="53" t="str">
        <f t="shared" si="40"/>
        <v/>
      </c>
      <c r="AQ190" s="53" t="str">
        <f t="shared" si="41"/>
        <v/>
      </c>
      <c r="AR190" s="53" t="str">
        <f>IF(AND($D190&lt;&gt;"",$D190=FicheIlot),COUNTIF($D$8:$D190,FicheIlot),"")</f>
        <v/>
      </c>
    </row>
    <row r="191" spans="2:44" ht="18.95" customHeight="1" x14ac:dyDescent="0.25">
      <c r="B191" s="42" t="str">
        <f>IF(C191="","",COUNT($C$8:C191))</f>
        <v/>
      </c>
      <c r="C191" s="43"/>
      <c r="D191" s="44"/>
      <c r="E191" s="45" t="str">
        <f>IF($Z191="","",IF($F191=ApportCouvert,INDEX(Îlots!$I$8:$I$57,$Z191)&amp;"",INDEX(Îlots!$N$8:$N$57,$Z191)&amp;""))</f>
        <v/>
      </c>
      <c r="F191" s="44"/>
      <c r="G191" s="44"/>
      <c r="H191" s="46" t="str">
        <f>IF($AA191="","",INDEX(Fertilisants!$D$8:$D$47,$AA191)&amp;"")</f>
        <v/>
      </c>
      <c r="I191" s="47"/>
      <c r="J191" s="48"/>
      <c r="K191" s="46" t="str">
        <f>IF($AA191="","",INDEX(Fertilisants!$E$8:$E$47,$AA191)&amp;"")</f>
        <v/>
      </c>
      <c r="L191" s="49" t="str">
        <f t="shared" si="28"/>
        <v/>
      </c>
      <c r="M191" s="50" t="str">
        <f>IF(OR($J191="",$AA191=""),"",$J191*N(INDEX(Fertilisants!$G$8:$G$47,$AA191)))</f>
        <v/>
      </c>
      <c r="N191" s="50" t="str">
        <f>IF(OR($J191="",$AA191=""),"",$J191*N(INDEX(Fertilisants!$I$8:$I$47,$AA191)))</f>
        <v/>
      </c>
      <c r="O191" s="50" t="str">
        <f>IF(OR($J191="",$AA191=""),"",$J191*N(INDEX(Fertilisants!$J$8:$J$47,$AA191)))</f>
        <v/>
      </c>
      <c r="P191" s="50" t="str">
        <f>IF(OR($J191="",$AA191=""),"",$J191*N(INDEX(Fertilisants!$K$8:$K$47,$AA191)))</f>
        <v/>
      </c>
      <c r="Q191" s="50" t="str">
        <f t="shared" si="29"/>
        <v/>
      </c>
      <c r="R191" s="44"/>
      <c r="S191" s="44"/>
      <c r="T191" s="51"/>
      <c r="U191" s="44"/>
      <c r="V191" s="43"/>
      <c r="W191" s="52" t="str">
        <f t="shared" si="30"/>
        <v/>
      </c>
      <c r="X191" s="44"/>
      <c r="Z191" s="53" t="str">
        <f>IF($D191="","",IFERROR(MATCH($D191,Îlots!$D$8:$D$57,0),""))</f>
        <v/>
      </c>
      <c r="AA191" s="53" t="str">
        <f>IF($G191="","",IFERROR(MATCH($G191,Fertilisants!$B$8:$B$47,0),""))</f>
        <v/>
      </c>
      <c r="AB191" s="53" t="str">
        <f>IF($Z191="","",INDEX(Îlots!$E$8:$E$57,$Z191))</f>
        <v/>
      </c>
      <c r="AC191" s="53" t="str">
        <f>IF($Z191="","",INDEX(Îlots!$G$8:$G$57,$Z191)&amp;"")</f>
        <v/>
      </c>
      <c r="AD191" s="53" t="str">
        <f>IF($Z191="","",IF($F191=ApportCouvert,OccCouvert,INDEX(Îlots!$O$8:$O$57,$Z191)&amp;""))</f>
        <v/>
      </c>
      <c r="AE191" s="53" t="str">
        <f t="shared" si="31"/>
        <v/>
      </c>
      <c r="AF191" s="53" t="str">
        <f t="shared" si="32"/>
        <v/>
      </c>
      <c r="AG191" s="53" t="str">
        <f t="shared" si="33"/>
        <v/>
      </c>
      <c r="AH191" s="53">
        <f t="shared" si="34"/>
        <v>0</v>
      </c>
      <c r="AI191" s="53">
        <f t="shared" si="35"/>
        <v>0</v>
      </c>
      <c r="AJ191" s="53">
        <f t="shared" si="36"/>
        <v>0</v>
      </c>
      <c r="AK191" s="53">
        <f t="shared" si="37"/>
        <v>0</v>
      </c>
      <c r="AL191" s="53">
        <f t="shared" si="38"/>
        <v>0</v>
      </c>
      <c r="AM191" s="53">
        <f>IF($AA191="",0,IF(INDEX(Fertilisants!$C$8:$C$47,$AA191)="Effluent d'élevage",1,0))</f>
        <v>0</v>
      </c>
      <c r="AN191" s="53" t="str">
        <f>IF($AA191="","",IF(INDEX(Fertilisants!$C$8:$C$47,$AA191)="Engrais minéral","Minéral","Organique"))</f>
        <v/>
      </c>
      <c r="AO191" s="53" t="str">
        <f t="shared" si="39"/>
        <v/>
      </c>
      <c r="AP191" s="53" t="str">
        <f t="shared" si="40"/>
        <v/>
      </c>
      <c r="AQ191" s="53" t="str">
        <f t="shared" si="41"/>
        <v/>
      </c>
      <c r="AR191" s="53" t="str">
        <f>IF(AND($D191&lt;&gt;"",$D191=FicheIlot),COUNTIF($D$8:$D191,FicheIlot),"")</f>
        <v/>
      </c>
    </row>
    <row r="192" spans="2:44" ht="18.95" customHeight="1" x14ac:dyDescent="0.25">
      <c r="B192" s="42" t="str">
        <f>IF(C192="","",COUNT($C$8:C192))</f>
        <v/>
      </c>
      <c r="C192" s="43"/>
      <c r="D192" s="44"/>
      <c r="E192" s="45" t="str">
        <f>IF($Z192="","",IF($F192=ApportCouvert,INDEX(Îlots!$I$8:$I$57,$Z192)&amp;"",INDEX(Îlots!$N$8:$N$57,$Z192)&amp;""))</f>
        <v/>
      </c>
      <c r="F192" s="44"/>
      <c r="G192" s="44"/>
      <c r="H192" s="46" t="str">
        <f>IF($AA192="","",INDEX(Fertilisants!$D$8:$D$47,$AA192)&amp;"")</f>
        <v/>
      </c>
      <c r="I192" s="47"/>
      <c r="J192" s="48"/>
      <c r="K192" s="46" t="str">
        <f>IF($AA192="","",INDEX(Fertilisants!$E$8:$E$47,$AA192)&amp;"")</f>
        <v/>
      </c>
      <c r="L192" s="49" t="str">
        <f t="shared" si="28"/>
        <v/>
      </c>
      <c r="M192" s="50" t="str">
        <f>IF(OR($J192="",$AA192=""),"",$J192*N(INDEX(Fertilisants!$G$8:$G$47,$AA192)))</f>
        <v/>
      </c>
      <c r="N192" s="50" t="str">
        <f>IF(OR($J192="",$AA192=""),"",$J192*N(INDEX(Fertilisants!$I$8:$I$47,$AA192)))</f>
        <v/>
      </c>
      <c r="O192" s="50" t="str">
        <f>IF(OR($J192="",$AA192=""),"",$J192*N(INDEX(Fertilisants!$J$8:$J$47,$AA192)))</f>
        <v/>
      </c>
      <c r="P192" s="50" t="str">
        <f>IF(OR($J192="",$AA192=""),"",$J192*N(INDEX(Fertilisants!$K$8:$K$47,$AA192)))</f>
        <v/>
      </c>
      <c r="Q192" s="50" t="str">
        <f t="shared" si="29"/>
        <v/>
      </c>
      <c r="R192" s="44"/>
      <c r="S192" s="44"/>
      <c r="T192" s="51"/>
      <c r="U192" s="44"/>
      <c r="V192" s="43"/>
      <c r="W192" s="52" t="str">
        <f t="shared" si="30"/>
        <v/>
      </c>
      <c r="X192" s="44"/>
      <c r="Z192" s="53" t="str">
        <f>IF($D192="","",IFERROR(MATCH($D192,Îlots!$D$8:$D$57,0),""))</f>
        <v/>
      </c>
      <c r="AA192" s="53" t="str">
        <f>IF($G192="","",IFERROR(MATCH($G192,Fertilisants!$B$8:$B$47,0),""))</f>
        <v/>
      </c>
      <c r="AB192" s="53" t="str">
        <f>IF($Z192="","",INDEX(Îlots!$E$8:$E$57,$Z192))</f>
        <v/>
      </c>
      <c r="AC192" s="53" t="str">
        <f>IF($Z192="","",INDEX(Îlots!$G$8:$G$57,$Z192)&amp;"")</f>
        <v/>
      </c>
      <c r="AD192" s="53" t="str">
        <f>IF($Z192="","",IF($F192=ApportCouvert,OccCouvert,INDEX(Îlots!$O$8:$O$57,$Z192)&amp;""))</f>
        <v/>
      </c>
      <c r="AE192" s="53" t="str">
        <f t="shared" si="31"/>
        <v/>
      </c>
      <c r="AF192" s="53" t="str">
        <f t="shared" si="32"/>
        <v/>
      </c>
      <c r="AG192" s="53" t="str">
        <f t="shared" si="33"/>
        <v/>
      </c>
      <c r="AH192" s="53">
        <f t="shared" si="34"/>
        <v>0</v>
      </c>
      <c r="AI192" s="53">
        <f t="shared" si="35"/>
        <v>0</v>
      </c>
      <c r="AJ192" s="53">
        <f t="shared" si="36"/>
        <v>0</v>
      </c>
      <c r="AK192" s="53">
        <f t="shared" si="37"/>
        <v>0</v>
      </c>
      <c r="AL192" s="53">
        <f t="shared" si="38"/>
        <v>0</v>
      </c>
      <c r="AM192" s="53">
        <f>IF($AA192="",0,IF(INDEX(Fertilisants!$C$8:$C$47,$AA192)="Effluent d'élevage",1,0))</f>
        <v>0</v>
      </c>
      <c r="AN192" s="53" t="str">
        <f>IF($AA192="","",IF(INDEX(Fertilisants!$C$8:$C$47,$AA192)="Engrais minéral","Minéral","Organique"))</f>
        <v/>
      </c>
      <c r="AO192" s="53" t="str">
        <f t="shared" si="39"/>
        <v/>
      </c>
      <c r="AP192" s="53" t="str">
        <f t="shared" si="40"/>
        <v/>
      </c>
      <c r="AQ192" s="53" t="str">
        <f t="shared" si="41"/>
        <v/>
      </c>
      <c r="AR192" s="53" t="str">
        <f>IF(AND($D192&lt;&gt;"",$D192=FicheIlot),COUNTIF($D$8:$D192,FicheIlot),"")</f>
        <v/>
      </c>
    </row>
    <row r="193" spans="2:44" ht="18.95" customHeight="1" x14ac:dyDescent="0.25">
      <c r="B193" s="42" t="str">
        <f>IF(C193="","",COUNT($C$8:C193))</f>
        <v/>
      </c>
      <c r="C193" s="43"/>
      <c r="D193" s="44"/>
      <c r="E193" s="45" t="str">
        <f>IF($Z193="","",IF($F193=ApportCouvert,INDEX(Îlots!$I$8:$I$57,$Z193)&amp;"",INDEX(Îlots!$N$8:$N$57,$Z193)&amp;""))</f>
        <v/>
      </c>
      <c r="F193" s="44"/>
      <c r="G193" s="44"/>
      <c r="H193" s="46" t="str">
        <f>IF($AA193="","",INDEX(Fertilisants!$D$8:$D$47,$AA193)&amp;"")</f>
        <v/>
      </c>
      <c r="I193" s="47"/>
      <c r="J193" s="48"/>
      <c r="K193" s="46" t="str">
        <f>IF($AA193="","",INDEX(Fertilisants!$E$8:$E$47,$AA193)&amp;"")</f>
        <v/>
      </c>
      <c r="L193" s="49" t="str">
        <f t="shared" si="28"/>
        <v/>
      </c>
      <c r="M193" s="50" t="str">
        <f>IF(OR($J193="",$AA193=""),"",$J193*N(INDEX(Fertilisants!$G$8:$G$47,$AA193)))</f>
        <v/>
      </c>
      <c r="N193" s="50" t="str">
        <f>IF(OR($J193="",$AA193=""),"",$J193*N(INDEX(Fertilisants!$I$8:$I$47,$AA193)))</f>
        <v/>
      </c>
      <c r="O193" s="50" t="str">
        <f>IF(OR($J193="",$AA193=""),"",$J193*N(INDEX(Fertilisants!$J$8:$J$47,$AA193)))</f>
        <v/>
      </c>
      <c r="P193" s="50" t="str">
        <f>IF(OR($J193="",$AA193=""),"",$J193*N(INDEX(Fertilisants!$K$8:$K$47,$AA193)))</f>
        <v/>
      </c>
      <c r="Q193" s="50" t="str">
        <f t="shared" si="29"/>
        <v/>
      </c>
      <c r="R193" s="44"/>
      <c r="S193" s="44"/>
      <c r="T193" s="51"/>
      <c r="U193" s="44"/>
      <c r="V193" s="43"/>
      <c r="W193" s="52" t="str">
        <f t="shared" si="30"/>
        <v/>
      </c>
      <c r="X193" s="44"/>
      <c r="Z193" s="53" t="str">
        <f>IF($D193="","",IFERROR(MATCH($D193,Îlots!$D$8:$D$57,0),""))</f>
        <v/>
      </c>
      <c r="AA193" s="53" t="str">
        <f>IF($G193="","",IFERROR(MATCH($G193,Fertilisants!$B$8:$B$47,0),""))</f>
        <v/>
      </c>
      <c r="AB193" s="53" t="str">
        <f>IF($Z193="","",INDEX(Îlots!$E$8:$E$57,$Z193))</f>
        <v/>
      </c>
      <c r="AC193" s="53" t="str">
        <f>IF($Z193="","",INDEX(Îlots!$G$8:$G$57,$Z193)&amp;"")</f>
        <v/>
      </c>
      <c r="AD193" s="53" t="str">
        <f>IF($Z193="","",IF($F193=ApportCouvert,OccCouvert,INDEX(Îlots!$O$8:$O$57,$Z193)&amp;""))</f>
        <v/>
      </c>
      <c r="AE193" s="53" t="str">
        <f t="shared" si="31"/>
        <v/>
      </c>
      <c r="AF193" s="53" t="str">
        <f t="shared" si="32"/>
        <v/>
      </c>
      <c r="AG193" s="53" t="str">
        <f t="shared" si="33"/>
        <v/>
      </c>
      <c r="AH193" s="53">
        <f t="shared" si="34"/>
        <v>0</v>
      </c>
      <c r="AI193" s="53">
        <f t="shared" si="35"/>
        <v>0</v>
      </c>
      <c r="AJ193" s="53">
        <f t="shared" si="36"/>
        <v>0</v>
      </c>
      <c r="AK193" s="53">
        <f t="shared" si="37"/>
        <v>0</v>
      </c>
      <c r="AL193" s="53">
        <f t="shared" si="38"/>
        <v>0</v>
      </c>
      <c r="AM193" s="53">
        <f>IF($AA193="",0,IF(INDEX(Fertilisants!$C$8:$C$47,$AA193)="Effluent d'élevage",1,0))</f>
        <v>0</v>
      </c>
      <c r="AN193" s="53" t="str">
        <f>IF($AA193="","",IF(INDEX(Fertilisants!$C$8:$C$47,$AA193)="Engrais minéral","Minéral","Organique"))</f>
        <v/>
      </c>
      <c r="AO193" s="53" t="str">
        <f t="shared" si="39"/>
        <v/>
      </c>
      <c r="AP193" s="53" t="str">
        <f t="shared" si="40"/>
        <v/>
      </c>
      <c r="AQ193" s="53" t="str">
        <f t="shared" si="41"/>
        <v/>
      </c>
      <c r="AR193" s="53" t="str">
        <f>IF(AND($D193&lt;&gt;"",$D193=FicheIlot),COUNTIF($D$8:$D193,FicheIlot),"")</f>
        <v/>
      </c>
    </row>
    <row r="194" spans="2:44" ht="18.95" customHeight="1" x14ac:dyDescent="0.25">
      <c r="B194" s="42" t="str">
        <f>IF(C194="","",COUNT($C$8:C194))</f>
        <v/>
      </c>
      <c r="C194" s="43"/>
      <c r="D194" s="44"/>
      <c r="E194" s="45" t="str">
        <f>IF($Z194="","",IF($F194=ApportCouvert,INDEX(Îlots!$I$8:$I$57,$Z194)&amp;"",INDEX(Îlots!$N$8:$N$57,$Z194)&amp;""))</f>
        <v/>
      </c>
      <c r="F194" s="44"/>
      <c r="G194" s="44"/>
      <c r="H194" s="46" t="str">
        <f>IF($AA194="","",INDEX(Fertilisants!$D$8:$D$47,$AA194)&amp;"")</f>
        <v/>
      </c>
      <c r="I194" s="47"/>
      <c r="J194" s="48"/>
      <c r="K194" s="46" t="str">
        <f>IF($AA194="","",INDEX(Fertilisants!$E$8:$E$47,$AA194)&amp;"")</f>
        <v/>
      </c>
      <c r="L194" s="49" t="str">
        <f t="shared" si="28"/>
        <v/>
      </c>
      <c r="M194" s="50" t="str">
        <f>IF(OR($J194="",$AA194=""),"",$J194*N(INDEX(Fertilisants!$G$8:$G$47,$AA194)))</f>
        <v/>
      </c>
      <c r="N194" s="50" t="str">
        <f>IF(OR($J194="",$AA194=""),"",$J194*N(INDEX(Fertilisants!$I$8:$I$47,$AA194)))</f>
        <v/>
      </c>
      <c r="O194" s="50" t="str">
        <f>IF(OR($J194="",$AA194=""),"",$J194*N(INDEX(Fertilisants!$J$8:$J$47,$AA194)))</f>
        <v/>
      </c>
      <c r="P194" s="50" t="str">
        <f>IF(OR($J194="",$AA194=""),"",$J194*N(INDEX(Fertilisants!$K$8:$K$47,$AA194)))</f>
        <v/>
      </c>
      <c r="Q194" s="50" t="str">
        <f t="shared" si="29"/>
        <v/>
      </c>
      <c r="R194" s="44"/>
      <c r="S194" s="44"/>
      <c r="T194" s="51"/>
      <c r="U194" s="44"/>
      <c r="V194" s="43"/>
      <c r="W194" s="52" t="str">
        <f t="shared" si="30"/>
        <v/>
      </c>
      <c r="X194" s="44"/>
      <c r="Z194" s="53" t="str">
        <f>IF($D194="","",IFERROR(MATCH($D194,Îlots!$D$8:$D$57,0),""))</f>
        <v/>
      </c>
      <c r="AA194" s="53" t="str">
        <f>IF($G194="","",IFERROR(MATCH($G194,Fertilisants!$B$8:$B$47,0),""))</f>
        <v/>
      </c>
      <c r="AB194" s="53" t="str">
        <f>IF($Z194="","",INDEX(Îlots!$E$8:$E$57,$Z194))</f>
        <v/>
      </c>
      <c r="AC194" s="53" t="str">
        <f>IF($Z194="","",INDEX(Îlots!$G$8:$G$57,$Z194)&amp;"")</f>
        <v/>
      </c>
      <c r="AD194" s="53" t="str">
        <f>IF($Z194="","",IF($F194=ApportCouvert,OccCouvert,INDEX(Îlots!$O$8:$O$57,$Z194)&amp;""))</f>
        <v/>
      </c>
      <c r="AE194" s="53" t="str">
        <f t="shared" si="31"/>
        <v/>
      </c>
      <c r="AF194" s="53" t="str">
        <f t="shared" si="32"/>
        <v/>
      </c>
      <c r="AG194" s="53" t="str">
        <f t="shared" si="33"/>
        <v/>
      </c>
      <c r="AH194" s="53">
        <f t="shared" si="34"/>
        <v>0</v>
      </c>
      <c r="AI194" s="53">
        <f t="shared" si="35"/>
        <v>0</v>
      </c>
      <c r="AJ194" s="53">
        <f t="shared" si="36"/>
        <v>0</v>
      </c>
      <c r="AK194" s="53">
        <f t="shared" si="37"/>
        <v>0</v>
      </c>
      <c r="AL194" s="53">
        <f t="shared" si="38"/>
        <v>0</v>
      </c>
      <c r="AM194" s="53">
        <f>IF($AA194="",0,IF(INDEX(Fertilisants!$C$8:$C$47,$AA194)="Effluent d'élevage",1,0))</f>
        <v>0</v>
      </c>
      <c r="AN194" s="53" t="str">
        <f>IF($AA194="","",IF(INDEX(Fertilisants!$C$8:$C$47,$AA194)="Engrais minéral","Minéral","Organique"))</f>
        <v/>
      </c>
      <c r="AO194" s="53" t="str">
        <f t="shared" si="39"/>
        <v/>
      </c>
      <c r="AP194" s="53" t="str">
        <f t="shared" si="40"/>
        <v/>
      </c>
      <c r="AQ194" s="53" t="str">
        <f t="shared" si="41"/>
        <v/>
      </c>
      <c r="AR194" s="53" t="str">
        <f>IF(AND($D194&lt;&gt;"",$D194=FicheIlot),COUNTIF($D$8:$D194,FicheIlot),"")</f>
        <v/>
      </c>
    </row>
    <row r="195" spans="2:44" ht="18.95" customHeight="1" x14ac:dyDescent="0.25">
      <c r="B195" s="42" t="str">
        <f>IF(C195="","",COUNT($C$8:C195))</f>
        <v/>
      </c>
      <c r="C195" s="43"/>
      <c r="D195" s="44"/>
      <c r="E195" s="45" t="str">
        <f>IF($Z195="","",IF($F195=ApportCouvert,INDEX(Îlots!$I$8:$I$57,$Z195)&amp;"",INDEX(Îlots!$N$8:$N$57,$Z195)&amp;""))</f>
        <v/>
      </c>
      <c r="F195" s="44"/>
      <c r="G195" s="44"/>
      <c r="H195" s="46" t="str">
        <f>IF($AA195="","",INDEX(Fertilisants!$D$8:$D$47,$AA195)&amp;"")</f>
        <v/>
      </c>
      <c r="I195" s="47"/>
      <c r="J195" s="48"/>
      <c r="K195" s="46" t="str">
        <f>IF($AA195="","",INDEX(Fertilisants!$E$8:$E$47,$AA195)&amp;"")</f>
        <v/>
      </c>
      <c r="L195" s="49" t="str">
        <f t="shared" si="28"/>
        <v/>
      </c>
      <c r="M195" s="50" t="str">
        <f>IF(OR($J195="",$AA195=""),"",$J195*N(INDEX(Fertilisants!$G$8:$G$47,$AA195)))</f>
        <v/>
      </c>
      <c r="N195" s="50" t="str">
        <f>IF(OR($J195="",$AA195=""),"",$J195*N(INDEX(Fertilisants!$I$8:$I$47,$AA195)))</f>
        <v/>
      </c>
      <c r="O195" s="50" t="str">
        <f>IF(OR($J195="",$AA195=""),"",$J195*N(INDEX(Fertilisants!$J$8:$J$47,$AA195)))</f>
        <v/>
      </c>
      <c r="P195" s="50" t="str">
        <f>IF(OR($J195="",$AA195=""),"",$J195*N(INDEX(Fertilisants!$K$8:$K$47,$AA195)))</f>
        <v/>
      </c>
      <c r="Q195" s="50" t="str">
        <f t="shared" si="29"/>
        <v/>
      </c>
      <c r="R195" s="44"/>
      <c r="S195" s="44"/>
      <c r="T195" s="51"/>
      <c r="U195" s="44"/>
      <c r="V195" s="43"/>
      <c r="W195" s="52" t="str">
        <f t="shared" si="30"/>
        <v/>
      </c>
      <c r="X195" s="44"/>
      <c r="Z195" s="53" t="str">
        <f>IF($D195="","",IFERROR(MATCH($D195,Îlots!$D$8:$D$57,0),""))</f>
        <v/>
      </c>
      <c r="AA195" s="53" t="str">
        <f>IF($G195="","",IFERROR(MATCH($G195,Fertilisants!$B$8:$B$47,0),""))</f>
        <v/>
      </c>
      <c r="AB195" s="53" t="str">
        <f>IF($Z195="","",INDEX(Îlots!$E$8:$E$57,$Z195))</f>
        <v/>
      </c>
      <c r="AC195" s="53" t="str">
        <f>IF($Z195="","",INDEX(Îlots!$G$8:$G$57,$Z195)&amp;"")</f>
        <v/>
      </c>
      <c r="AD195" s="53" t="str">
        <f>IF($Z195="","",IF($F195=ApportCouvert,OccCouvert,INDEX(Îlots!$O$8:$O$57,$Z195)&amp;""))</f>
        <v/>
      </c>
      <c r="AE195" s="53" t="str">
        <f t="shared" si="31"/>
        <v/>
      </c>
      <c r="AF195" s="53" t="str">
        <f t="shared" si="32"/>
        <v/>
      </c>
      <c r="AG195" s="53" t="str">
        <f t="shared" si="33"/>
        <v/>
      </c>
      <c r="AH195" s="53">
        <f t="shared" si="34"/>
        <v>0</v>
      </c>
      <c r="AI195" s="53">
        <f t="shared" si="35"/>
        <v>0</v>
      </c>
      <c r="AJ195" s="53">
        <f t="shared" si="36"/>
        <v>0</v>
      </c>
      <c r="AK195" s="53">
        <f t="shared" si="37"/>
        <v>0</v>
      </c>
      <c r="AL195" s="53">
        <f t="shared" si="38"/>
        <v>0</v>
      </c>
      <c r="AM195" s="53">
        <f>IF($AA195="",0,IF(INDEX(Fertilisants!$C$8:$C$47,$AA195)="Effluent d'élevage",1,0))</f>
        <v>0</v>
      </c>
      <c r="AN195" s="53" t="str">
        <f>IF($AA195="","",IF(INDEX(Fertilisants!$C$8:$C$47,$AA195)="Engrais minéral","Minéral","Organique"))</f>
        <v/>
      </c>
      <c r="AO195" s="53" t="str">
        <f t="shared" si="39"/>
        <v/>
      </c>
      <c r="AP195" s="53" t="str">
        <f t="shared" si="40"/>
        <v/>
      </c>
      <c r="AQ195" s="53" t="str">
        <f t="shared" si="41"/>
        <v/>
      </c>
      <c r="AR195" s="53" t="str">
        <f>IF(AND($D195&lt;&gt;"",$D195=FicheIlot),COUNTIF($D$8:$D195,FicheIlot),"")</f>
        <v/>
      </c>
    </row>
    <row r="196" spans="2:44" ht="18.95" customHeight="1" x14ac:dyDescent="0.25">
      <c r="B196" s="42" t="str">
        <f>IF(C196="","",COUNT($C$8:C196))</f>
        <v/>
      </c>
      <c r="C196" s="43"/>
      <c r="D196" s="44"/>
      <c r="E196" s="45" t="str">
        <f>IF($Z196="","",IF($F196=ApportCouvert,INDEX(Îlots!$I$8:$I$57,$Z196)&amp;"",INDEX(Îlots!$N$8:$N$57,$Z196)&amp;""))</f>
        <v/>
      </c>
      <c r="F196" s="44"/>
      <c r="G196" s="44"/>
      <c r="H196" s="46" t="str">
        <f>IF($AA196="","",INDEX(Fertilisants!$D$8:$D$47,$AA196)&amp;"")</f>
        <v/>
      </c>
      <c r="I196" s="47"/>
      <c r="J196" s="48"/>
      <c r="K196" s="46" t="str">
        <f>IF($AA196="","",INDEX(Fertilisants!$E$8:$E$47,$AA196)&amp;"")</f>
        <v/>
      </c>
      <c r="L196" s="49" t="str">
        <f t="shared" si="28"/>
        <v/>
      </c>
      <c r="M196" s="50" t="str">
        <f>IF(OR($J196="",$AA196=""),"",$J196*N(INDEX(Fertilisants!$G$8:$G$47,$AA196)))</f>
        <v/>
      </c>
      <c r="N196" s="50" t="str">
        <f>IF(OR($J196="",$AA196=""),"",$J196*N(INDEX(Fertilisants!$I$8:$I$47,$AA196)))</f>
        <v/>
      </c>
      <c r="O196" s="50" t="str">
        <f>IF(OR($J196="",$AA196=""),"",$J196*N(INDEX(Fertilisants!$J$8:$J$47,$AA196)))</f>
        <v/>
      </c>
      <c r="P196" s="50" t="str">
        <f>IF(OR($J196="",$AA196=""),"",$J196*N(INDEX(Fertilisants!$K$8:$K$47,$AA196)))</f>
        <v/>
      </c>
      <c r="Q196" s="50" t="str">
        <f t="shared" si="29"/>
        <v/>
      </c>
      <c r="R196" s="44"/>
      <c r="S196" s="44"/>
      <c r="T196" s="51"/>
      <c r="U196" s="44"/>
      <c r="V196" s="43"/>
      <c r="W196" s="52" t="str">
        <f t="shared" si="30"/>
        <v/>
      </c>
      <c r="X196" s="44"/>
      <c r="Z196" s="53" t="str">
        <f>IF($D196="","",IFERROR(MATCH($D196,Îlots!$D$8:$D$57,0),""))</f>
        <v/>
      </c>
      <c r="AA196" s="53" t="str">
        <f>IF($G196="","",IFERROR(MATCH($G196,Fertilisants!$B$8:$B$47,0),""))</f>
        <v/>
      </c>
      <c r="AB196" s="53" t="str">
        <f>IF($Z196="","",INDEX(Îlots!$E$8:$E$57,$Z196))</f>
        <v/>
      </c>
      <c r="AC196" s="53" t="str">
        <f>IF($Z196="","",INDEX(Îlots!$G$8:$G$57,$Z196)&amp;"")</f>
        <v/>
      </c>
      <c r="AD196" s="53" t="str">
        <f>IF($Z196="","",IF($F196=ApportCouvert,OccCouvert,INDEX(Îlots!$O$8:$O$57,$Z196)&amp;""))</f>
        <v/>
      </c>
      <c r="AE196" s="53" t="str">
        <f t="shared" si="31"/>
        <v/>
      </c>
      <c r="AF196" s="53" t="str">
        <f t="shared" si="32"/>
        <v/>
      </c>
      <c r="AG196" s="53" t="str">
        <f t="shared" si="33"/>
        <v/>
      </c>
      <c r="AH196" s="53">
        <f t="shared" si="34"/>
        <v>0</v>
      </c>
      <c r="AI196" s="53">
        <f t="shared" si="35"/>
        <v>0</v>
      </c>
      <c r="AJ196" s="53">
        <f t="shared" si="36"/>
        <v>0</v>
      </c>
      <c r="AK196" s="53">
        <f t="shared" si="37"/>
        <v>0</v>
      </c>
      <c r="AL196" s="53">
        <f t="shared" si="38"/>
        <v>0</v>
      </c>
      <c r="AM196" s="53">
        <f>IF($AA196="",0,IF(INDEX(Fertilisants!$C$8:$C$47,$AA196)="Effluent d'élevage",1,0))</f>
        <v>0</v>
      </c>
      <c r="AN196" s="53" t="str">
        <f>IF($AA196="","",IF(INDEX(Fertilisants!$C$8:$C$47,$AA196)="Engrais minéral","Minéral","Organique"))</f>
        <v/>
      </c>
      <c r="AO196" s="53" t="str">
        <f t="shared" si="39"/>
        <v/>
      </c>
      <c r="AP196" s="53" t="str">
        <f t="shared" si="40"/>
        <v/>
      </c>
      <c r="AQ196" s="53" t="str">
        <f t="shared" si="41"/>
        <v/>
      </c>
      <c r="AR196" s="53" t="str">
        <f>IF(AND($D196&lt;&gt;"",$D196=FicheIlot),COUNTIF($D$8:$D196,FicheIlot),"")</f>
        <v/>
      </c>
    </row>
    <row r="197" spans="2:44" ht="18.95" customHeight="1" x14ac:dyDescent="0.25">
      <c r="B197" s="42" t="str">
        <f>IF(C197="","",COUNT($C$8:C197))</f>
        <v/>
      </c>
      <c r="C197" s="43"/>
      <c r="D197" s="44"/>
      <c r="E197" s="45" t="str">
        <f>IF($Z197="","",IF($F197=ApportCouvert,INDEX(Îlots!$I$8:$I$57,$Z197)&amp;"",INDEX(Îlots!$N$8:$N$57,$Z197)&amp;""))</f>
        <v/>
      </c>
      <c r="F197" s="44"/>
      <c r="G197" s="44"/>
      <c r="H197" s="46" t="str">
        <f>IF($AA197="","",INDEX(Fertilisants!$D$8:$D$47,$AA197)&amp;"")</f>
        <v/>
      </c>
      <c r="I197" s="47"/>
      <c r="J197" s="48"/>
      <c r="K197" s="46" t="str">
        <f>IF($AA197="","",INDEX(Fertilisants!$E$8:$E$47,$AA197)&amp;"")</f>
        <v/>
      </c>
      <c r="L197" s="49" t="str">
        <f t="shared" si="28"/>
        <v/>
      </c>
      <c r="M197" s="50" t="str">
        <f>IF(OR($J197="",$AA197=""),"",$J197*N(INDEX(Fertilisants!$G$8:$G$47,$AA197)))</f>
        <v/>
      </c>
      <c r="N197" s="50" t="str">
        <f>IF(OR($J197="",$AA197=""),"",$J197*N(INDEX(Fertilisants!$I$8:$I$47,$AA197)))</f>
        <v/>
      </c>
      <c r="O197" s="50" t="str">
        <f>IF(OR($J197="",$AA197=""),"",$J197*N(INDEX(Fertilisants!$J$8:$J$47,$AA197)))</f>
        <v/>
      </c>
      <c r="P197" s="50" t="str">
        <f>IF(OR($J197="",$AA197=""),"",$J197*N(INDEX(Fertilisants!$K$8:$K$47,$AA197)))</f>
        <v/>
      </c>
      <c r="Q197" s="50" t="str">
        <f t="shared" si="29"/>
        <v/>
      </c>
      <c r="R197" s="44"/>
      <c r="S197" s="44"/>
      <c r="T197" s="51"/>
      <c r="U197" s="44"/>
      <c r="V197" s="43"/>
      <c r="W197" s="52" t="str">
        <f t="shared" si="30"/>
        <v/>
      </c>
      <c r="X197" s="44"/>
      <c r="Z197" s="53" t="str">
        <f>IF($D197="","",IFERROR(MATCH($D197,Îlots!$D$8:$D$57,0),""))</f>
        <v/>
      </c>
      <c r="AA197" s="53" t="str">
        <f>IF($G197="","",IFERROR(MATCH($G197,Fertilisants!$B$8:$B$47,0),""))</f>
        <v/>
      </c>
      <c r="AB197" s="53" t="str">
        <f>IF($Z197="","",INDEX(Îlots!$E$8:$E$57,$Z197))</f>
        <v/>
      </c>
      <c r="AC197" s="53" t="str">
        <f>IF($Z197="","",INDEX(Îlots!$G$8:$G$57,$Z197)&amp;"")</f>
        <v/>
      </c>
      <c r="AD197" s="53" t="str">
        <f>IF($Z197="","",IF($F197=ApportCouvert,OccCouvert,INDEX(Îlots!$O$8:$O$57,$Z197)&amp;""))</f>
        <v/>
      </c>
      <c r="AE197" s="53" t="str">
        <f t="shared" si="31"/>
        <v/>
      </c>
      <c r="AF197" s="53" t="str">
        <f t="shared" si="32"/>
        <v/>
      </c>
      <c r="AG197" s="53" t="str">
        <f t="shared" si="33"/>
        <v/>
      </c>
      <c r="AH197" s="53">
        <f t="shared" si="34"/>
        <v>0</v>
      </c>
      <c r="AI197" s="53">
        <f t="shared" si="35"/>
        <v>0</v>
      </c>
      <c r="AJ197" s="53">
        <f t="shared" si="36"/>
        <v>0</v>
      </c>
      <c r="AK197" s="53">
        <f t="shared" si="37"/>
        <v>0</v>
      </c>
      <c r="AL197" s="53">
        <f t="shared" si="38"/>
        <v>0</v>
      </c>
      <c r="AM197" s="53">
        <f>IF($AA197="",0,IF(INDEX(Fertilisants!$C$8:$C$47,$AA197)="Effluent d'élevage",1,0))</f>
        <v>0</v>
      </c>
      <c r="AN197" s="53" t="str">
        <f>IF($AA197="","",IF(INDEX(Fertilisants!$C$8:$C$47,$AA197)="Engrais minéral","Minéral","Organique"))</f>
        <v/>
      </c>
      <c r="AO197" s="53" t="str">
        <f t="shared" si="39"/>
        <v/>
      </c>
      <c r="AP197" s="53" t="str">
        <f t="shared" si="40"/>
        <v/>
      </c>
      <c r="AQ197" s="53" t="str">
        <f t="shared" si="41"/>
        <v/>
      </c>
      <c r="AR197" s="53" t="str">
        <f>IF(AND($D197&lt;&gt;"",$D197=FicheIlot),COUNTIF($D$8:$D197,FicheIlot),"")</f>
        <v/>
      </c>
    </row>
    <row r="198" spans="2:44" ht="18.95" customHeight="1" x14ac:dyDescent="0.25">
      <c r="B198" s="42" t="str">
        <f>IF(C198="","",COUNT($C$8:C198))</f>
        <v/>
      </c>
      <c r="C198" s="43"/>
      <c r="D198" s="44"/>
      <c r="E198" s="45" t="str">
        <f>IF($Z198="","",IF($F198=ApportCouvert,INDEX(Îlots!$I$8:$I$57,$Z198)&amp;"",INDEX(Îlots!$N$8:$N$57,$Z198)&amp;""))</f>
        <v/>
      </c>
      <c r="F198" s="44"/>
      <c r="G198" s="44"/>
      <c r="H198" s="46" t="str">
        <f>IF($AA198="","",INDEX(Fertilisants!$D$8:$D$47,$AA198)&amp;"")</f>
        <v/>
      </c>
      <c r="I198" s="47"/>
      <c r="J198" s="48"/>
      <c r="K198" s="46" t="str">
        <f>IF($AA198="","",INDEX(Fertilisants!$E$8:$E$47,$AA198)&amp;"")</f>
        <v/>
      </c>
      <c r="L198" s="49" t="str">
        <f t="shared" si="28"/>
        <v/>
      </c>
      <c r="M198" s="50" t="str">
        <f>IF(OR($J198="",$AA198=""),"",$J198*N(INDEX(Fertilisants!$G$8:$G$47,$AA198)))</f>
        <v/>
      </c>
      <c r="N198" s="50" t="str">
        <f>IF(OR($J198="",$AA198=""),"",$J198*N(INDEX(Fertilisants!$I$8:$I$47,$AA198)))</f>
        <v/>
      </c>
      <c r="O198" s="50" t="str">
        <f>IF(OR($J198="",$AA198=""),"",$J198*N(INDEX(Fertilisants!$J$8:$J$47,$AA198)))</f>
        <v/>
      </c>
      <c r="P198" s="50" t="str">
        <f>IF(OR($J198="",$AA198=""),"",$J198*N(INDEX(Fertilisants!$K$8:$K$47,$AA198)))</f>
        <v/>
      </c>
      <c r="Q198" s="50" t="str">
        <f t="shared" si="29"/>
        <v/>
      </c>
      <c r="R198" s="44"/>
      <c r="S198" s="44"/>
      <c r="T198" s="51"/>
      <c r="U198" s="44"/>
      <c r="V198" s="43"/>
      <c r="W198" s="52" t="str">
        <f t="shared" si="30"/>
        <v/>
      </c>
      <c r="X198" s="44"/>
      <c r="Z198" s="53" t="str">
        <f>IF($D198="","",IFERROR(MATCH($D198,Îlots!$D$8:$D$57,0),""))</f>
        <v/>
      </c>
      <c r="AA198" s="53" t="str">
        <f>IF($G198="","",IFERROR(MATCH($G198,Fertilisants!$B$8:$B$47,0),""))</f>
        <v/>
      </c>
      <c r="AB198" s="53" t="str">
        <f>IF($Z198="","",INDEX(Îlots!$E$8:$E$57,$Z198))</f>
        <v/>
      </c>
      <c r="AC198" s="53" t="str">
        <f>IF($Z198="","",INDEX(Îlots!$G$8:$G$57,$Z198)&amp;"")</f>
        <v/>
      </c>
      <c r="AD198" s="53" t="str">
        <f>IF($Z198="","",IF($F198=ApportCouvert,OccCouvert,INDEX(Îlots!$O$8:$O$57,$Z198)&amp;""))</f>
        <v/>
      </c>
      <c r="AE198" s="53" t="str">
        <f t="shared" si="31"/>
        <v/>
      </c>
      <c r="AF198" s="53" t="str">
        <f t="shared" si="32"/>
        <v/>
      </c>
      <c r="AG198" s="53" t="str">
        <f t="shared" si="33"/>
        <v/>
      </c>
      <c r="AH198" s="53">
        <f t="shared" si="34"/>
        <v>0</v>
      </c>
      <c r="AI198" s="53">
        <f t="shared" si="35"/>
        <v>0</v>
      </c>
      <c r="AJ198" s="53">
        <f t="shared" si="36"/>
        <v>0</v>
      </c>
      <c r="AK198" s="53">
        <f t="shared" si="37"/>
        <v>0</v>
      </c>
      <c r="AL198" s="53">
        <f t="shared" si="38"/>
        <v>0</v>
      </c>
      <c r="AM198" s="53">
        <f>IF($AA198="",0,IF(INDEX(Fertilisants!$C$8:$C$47,$AA198)="Effluent d'élevage",1,0))</f>
        <v>0</v>
      </c>
      <c r="AN198" s="53" t="str">
        <f>IF($AA198="","",IF(INDEX(Fertilisants!$C$8:$C$47,$AA198)="Engrais minéral","Minéral","Organique"))</f>
        <v/>
      </c>
      <c r="AO198" s="53" t="str">
        <f t="shared" si="39"/>
        <v/>
      </c>
      <c r="AP198" s="53" t="str">
        <f t="shared" si="40"/>
        <v/>
      </c>
      <c r="AQ198" s="53" t="str">
        <f t="shared" si="41"/>
        <v/>
      </c>
      <c r="AR198" s="53" t="str">
        <f>IF(AND($D198&lt;&gt;"",$D198=FicheIlot),COUNTIF($D$8:$D198,FicheIlot),"")</f>
        <v/>
      </c>
    </row>
    <row r="199" spans="2:44" ht="18.95" customHeight="1" x14ac:dyDescent="0.25">
      <c r="B199" s="42" t="str">
        <f>IF(C199="","",COUNT($C$8:C199))</f>
        <v/>
      </c>
      <c r="C199" s="43"/>
      <c r="D199" s="44"/>
      <c r="E199" s="45" t="str">
        <f>IF($Z199="","",IF($F199=ApportCouvert,INDEX(Îlots!$I$8:$I$57,$Z199)&amp;"",INDEX(Îlots!$N$8:$N$57,$Z199)&amp;""))</f>
        <v/>
      </c>
      <c r="F199" s="44"/>
      <c r="G199" s="44"/>
      <c r="H199" s="46" t="str">
        <f>IF($AA199="","",INDEX(Fertilisants!$D$8:$D$47,$AA199)&amp;"")</f>
        <v/>
      </c>
      <c r="I199" s="47"/>
      <c r="J199" s="48"/>
      <c r="K199" s="46" t="str">
        <f>IF($AA199="","",INDEX(Fertilisants!$E$8:$E$47,$AA199)&amp;"")</f>
        <v/>
      </c>
      <c r="L199" s="49" t="str">
        <f t="shared" si="28"/>
        <v/>
      </c>
      <c r="M199" s="50" t="str">
        <f>IF(OR($J199="",$AA199=""),"",$J199*N(INDEX(Fertilisants!$G$8:$G$47,$AA199)))</f>
        <v/>
      </c>
      <c r="N199" s="50" t="str">
        <f>IF(OR($J199="",$AA199=""),"",$J199*N(INDEX(Fertilisants!$I$8:$I$47,$AA199)))</f>
        <v/>
      </c>
      <c r="O199" s="50" t="str">
        <f>IF(OR($J199="",$AA199=""),"",$J199*N(INDEX(Fertilisants!$J$8:$J$47,$AA199)))</f>
        <v/>
      </c>
      <c r="P199" s="50" t="str">
        <f>IF(OR($J199="",$AA199=""),"",$J199*N(INDEX(Fertilisants!$K$8:$K$47,$AA199)))</f>
        <v/>
      </c>
      <c r="Q199" s="50" t="str">
        <f t="shared" si="29"/>
        <v/>
      </c>
      <c r="R199" s="44"/>
      <c r="S199" s="44"/>
      <c r="T199" s="51"/>
      <c r="U199" s="44"/>
      <c r="V199" s="43"/>
      <c r="W199" s="52" t="str">
        <f t="shared" si="30"/>
        <v/>
      </c>
      <c r="X199" s="44"/>
      <c r="Z199" s="53" t="str">
        <f>IF($D199="","",IFERROR(MATCH($D199,Îlots!$D$8:$D$57,0),""))</f>
        <v/>
      </c>
      <c r="AA199" s="53" t="str">
        <f>IF($G199="","",IFERROR(MATCH($G199,Fertilisants!$B$8:$B$47,0),""))</f>
        <v/>
      </c>
      <c r="AB199" s="53" t="str">
        <f>IF($Z199="","",INDEX(Îlots!$E$8:$E$57,$Z199))</f>
        <v/>
      </c>
      <c r="AC199" s="53" t="str">
        <f>IF($Z199="","",INDEX(Îlots!$G$8:$G$57,$Z199)&amp;"")</f>
        <v/>
      </c>
      <c r="AD199" s="53" t="str">
        <f>IF($Z199="","",IF($F199=ApportCouvert,OccCouvert,INDEX(Îlots!$O$8:$O$57,$Z199)&amp;""))</f>
        <v/>
      </c>
      <c r="AE199" s="53" t="str">
        <f t="shared" si="31"/>
        <v/>
      </c>
      <c r="AF199" s="53" t="str">
        <f t="shared" si="32"/>
        <v/>
      </c>
      <c r="AG199" s="53" t="str">
        <f t="shared" si="33"/>
        <v/>
      </c>
      <c r="AH199" s="53">
        <f t="shared" si="34"/>
        <v>0</v>
      </c>
      <c r="AI199" s="53">
        <f t="shared" si="35"/>
        <v>0</v>
      </c>
      <c r="AJ199" s="53">
        <f t="shared" si="36"/>
        <v>0</v>
      </c>
      <c r="AK199" s="53">
        <f t="shared" si="37"/>
        <v>0</v>
      </c>
      <c r="AL199" s="53">
        <f t="shared" si="38"/>
        <v>0</v>
      </c>
      <c r="AM199" s="53">
        <f>IF($AA199="",0,IF(INDEX(Fertilisants!$C$8:$C$47,$AA199)="Effluent d'élevage",1,0))</f>
        <v>0</v>
      </c>
      <c r="AN199" s="53" t="str">
        <f>IF($AA199="","",IF(INDEX(Fertilisants!$C$8:$C$47,$AA199)="Engrais minéral","Minéral","Organique"))</f>
        <v/>
      </c>
      <c r="AO199" s="53" t="str">
        <f t="shared" si="39"/>
        <v/>
      </c>
      <c r="AP199" s="53" t="str">
        <f t="shared" si="40"/>
        <v/>
      </c>
      <c r="AQ199" s="53" t="str">
        <f t="shared" si="41"/>
        <v/>
      </c>
      <c r="AR199" s="53" t="str">
        <f>IF(AND($D199&lt;&gt;"",$D199=FicheIlot),COUNTIF($D$8:$D199,FicheIlot),"")</f>
        <v/>
      </c>
    </row>
    <row r="200" spans="2:44" ht="18.95" customHeight="1" x14ac:dyDescent="0.25">
      <c r="B200" s="42" t="str">
        <f>IF(C200="","",COUNT($C$8:C200))</f>
        <v/>
      </c>
      <c r="C200" s="43"/>
      <c r="D200" s="44"/>
      <c r="E200" s="45" t="str">
        <f>IF($Z200="","",IF($F200=ApportCouvert,INDEX(Îlots!$I$8:$I$57,$Z200)&amp;"",INDEX(Îlots!$N$8:$N$57,$Z200)&amp;""))</f>
        <v/>
      </c>
      <c r="F200" s="44"/>
      <c r="G200" s="44"/>
      <c r="H200" s="46" t="str">
        <f>IF($AA200="","",INDEX(Fertilisants!$D$8:$D$47,$AA200)&amp;"")</f>
        <v/>
      </c>
      <c r="I200" s="47"/>
      <c r="J200" s="48"/>
      <c r="K200" s="46" t="str">
        <f>IF($AA200="","",INDEX(Fertilisants!$E$8:$E$47,$AA200)&amp;"")</f>
        <v/>
      </c>
      <c r="L200" s="49" t="str">
        <f t="shared" ref="L200:L263" si="42">IF(OR($I200="",$J200=""),"",$I200*$J200)</f>
        <v/>
      </c>
      <c r="M200" s="50" t="str">
        <f>IF(OR($J200="",$AA200=""),"",$J200*N(INDEX(Fertilisants!$G$8:$G$47,$AA200)))</f>
        <v/>
      </c>
      <c r="N200" s="50" t="str">
        <f>IF(OR($J200="",$AA200=""),"",$J200*N(INDEX(Fertilisants!$I$8:$I$47,$AA200)))</f>
        <v/>
      </c>
      <c r="O200" s="50" t="str">
        <f>IF(OR($J200="",$AA200=""),"",$J200*N(INDEX(Fertilisants!$J$8:$J$47,$AA200)))</f>
        <v/>
      </c>
      <c r="P200" s="50" t="str">
        <f>IF(OR($J200="",$AA200=""),"",$J200*N(INDEX(Fertilisants!$K$8:$K$47,$AA200)))</f>
        <v/>
      </c>
      <c r="Q200" s="50" t="str">
        <f t="shared" ref="Q200:Q263" si="43">IF(OR($I200="",$M200=""),"",$I200*$M200)</f>
        <v/>
      </c>
      <c r="R200" s="44"/>
      <c r="S200" s="44"/>
      <c r="T200" s="51"/>
      <c r="U200" s="44"/>
      <c r="V200" s="43"/>
      <c r="W200" s="52" t="str">
        <f t="shared" ref="W200:W263" si="44">IF($C200="","",IF(OR($D200="",$G200="",$I200="",$J200=""),"Incomplet",IF(OR($R200="Enneigé",$R200="Détrempé",$R200="Inondé",AND($R200="Gelé",$H200&lt;&gt;"Type 0",$H200&lt;&gt;"Type Ia")),"Sol interdit",IF($AL200=1,"Période interdite",IF(AND(ISNUMBER($AB200),$I200&gt;$AB200+0.001),"Surface &gt; îlot",IF(OR($C200&lt;DebutCampagne,$C200&gt;FinCampagne),"Hors campagne",IF(AND(ISNUMBER($V200),$V200-$C200&gt;DelaiSaisie),"Saisie tardive","Conforme")))))))</f>
        <v/>
      </c>
      <c r="X200" s="44"/>
      <c r="Z200" s="53" t="str">
        <f>IF($D200="","",IFERROR(MATCH($D200,Îlots!$D$8:$D$57,0),""))</f>
        <v/>
      </c>
      <c r="AA200" s="53" t="str">
        <f>IF($G200="","",IFERROR(MATCH($G200,Fertilisants!$B$8:$B$47,0),""))</f>
        <v/>
      </c>
      <c r="AB200" s="53" t="str">
        <f>IF($Z200="","",INDEX(Îlots!$E$8:$E$57,$Z200))</f>
        <v/>
      </c>
      <c r="AC200" s="53" t="str">
        <f>IF($Z200="","",INDEX(Îlots!$G$8:$G$57,$Z200)&amp;"")</f>
        <v/>
      </c>
      <c r="AD200" s="53" t="str">
        <f>IF($Z200="","",IF($F200=ApportCouvert,OccCouvert,INDEX(Îlots!$O$8:$O$57,$Z200)&amp;""))</f>
        <v/>
      </c>
      <c r="AE200" s="53" t="str">
        <f t="shared" ref="AE200:AE263" si="45">IF(OR($AD200="",$AC200="Non",ZoneVulnerable="Non"),"",IFERROR(MATCH($AD200,CalOccupations,0),""))</f>
        <v/>
      </c>
      <c r="AF200" s="53" t="str">
        <f t="shared" ref="AF200:AF263" si="46">IF($H200="","",IFERROR(MATCH($H200,CalTypes,0),""))</f>
        <v/>
      </c>
      <c r="AG200" s="53" t="str">
        <f t="shared" ref="AG200:AG263" si="47">IF(ISNUMBER($C200),MONTH($C200)*100+DAY($C200),"")</f>
        <v/>
      </c>
      <c r="AH200" s="53">
        <f t="shared" ref="AH200:AH263" si="48">IF(OR($AE200="",$AF200=""),0,IF(N(INDEX(CalPrincipal,$AE200,$AF200+0))=0,0,MONTH(INDEX(CalPrincipal,$AE200,$AF200+0))*100+DAY(INDEX(CalPrincipal,$AE200,$AF200+0))))</f>
        <v>0</v>
      </c>
      <c r="AI200" s="53">
        <f t="shared" ref="AI200:AI263" si="49">IF(OR($AE200="",$AF200=""),0,IF(N(INDEX(CalPrincipal,$AE200,$AF200+1))=0,0,MONTH(INDEX(CalPrincipal,$AE200,$AF200+1))*100+DAY(INDEX(CalPrincipal,$AE200,$AF200+1))))</f>
        <v>0</v>
      </c>
      <c r="AJ200" s="53">
        <f t="shared" ref="AJ200:AJ263" si="50">IF(OR($AE200="",$AF200=""),0,IF(N(INDEX(CalComplement,$AE200,$AF200+0))=0,0,MONTH(INDEX(CalComplement,$AE200,$AF200+0))*100+DAY(INDEX(CalComplement,$AE200,$AF200+0))))</f>
        <v>0</v>
      </c>
      <c r="AK200" s="53">
        <f t="shared" ref="AK200:AK263" si="51">IF(OR($AE200="",$AF200=""),0,IF(N(INDEX(CalComplement,$AE200,$AF200+1))=0,0,MONTH(INDEX(CalComplement,$AE200,$AF200+1))*100+DAY(INDEX(CalComplement,$AE200,$AF200+1))))</f>
        <v>0</v>
      </c>
      <c r="AL200" s="53">
        <f t="shared" ref="AL200:AL263" si="52">IF(OR($AE200="",$AF200="",$AG200=""),0,IF(OR(AND($AH200&gt;0,IF($AH200&lt;=$AI200,AND($AG200&gt;=$AH200,$AG200&lt;=$AI200),OR($AG200&gt;=$AH200,$AG200&lt;=$AI200))),AND($AJ200&gt;0,IF($AJ200&lt;=$AK200,AND($AG200&gt;=$AJ200,$AG200&lt;=$AK200),OR($AG200&gt;=$AJ200,$AG200&lt;=$AK200)))),1,0))</f>
        <v>0</v>
      </c>
      <c r="AM200" s="53">
        <f>IF($AA200="",0,IF(INDEX(Fertilisants!$C$8:$C$47,$AA200)="Effluent d'élevage",1,0))</f>
        <v>0</v>
      </c>
      <c r="AN200" s="53" t="str">
        <f>IF($AA200="","",IF(INDEX(Fertilisants!$C$8:$C$47,$AA200)="Engrais minéral","Minéral","Organique"))</f>
        <v/>
      </c>
      <c r="AO200" s="53" t="str">
        <f t="shared" ref="AO200:AO263" si="53">IF(OR($I200="",$N200=""),"",$I200*$N200)</f>
        <v/>
      </c>
      <c r="AP200" s="53" t="str">
        <f t="shared" ref="AP200:AP263" si="54">IF(OR($I200="",$O200=""),"",$I200*$O200)</f>
        <v/>
      </c>
      <c r="AQ200" s="53" t="str">
        <f t="shared" ref="AQ200:AQ263" si="55">IF(OR($I200="",$P200=""),"",$I200*$P200)</f>
        <v/>
      </c>
      <c r="AR200" s="53" t="str">
        <f>IF(AND($D200&lt;&gt;"",$D200=FicheIlot),COUNTIF($D$8:$D200,FicheIlot),"")</f>
        <v/>
      </c>
    </row>
    <row r="201" spans="2:44" ht="18.95" customHeight="1" x14ac:dyDescent="0.25">
      <c r="B201" s="42" t="str">
        <f>IF(C201="","",COUNT($C$8:C201))</f>
        <v/>
      </c>
      <c r="C201" s="43"/>
      <c r="D201" s="44"/>
      <c r="E201" s="45" t="str">
        <f>IF($Z201="","",IF($F201=ApportCouvert,INDEX(Îlots!$I$8:$I$57,$Z201)&amp;"",INDEX(Îlots!$N$8:$N$57,$Z201)&amp;""))</f>
        <v/>
      </c>
      <c r="F201" s="44"/>
      <c r="G201" s="44"/>
      <c r="H201" s="46" t="str">
        <f>IF($AA201="","",INDEX(Fertilisants!$D$8:$D$47,$AA201)&amp;"")</f>
        <v/>
      </c>
      <c r="I201" s="47"/>
      <c r="J201" s="48"/>
      <c r="K201" s="46" t="str">
        <f>IF($AA201="","",INDEX(Fertilisants!$E$8:$E$47,$AA201)&amp;"")</f>
        <v/>
      </c>
      <c r="L201" s="49" t="str">
        <f t="shared" si="42"/>
        <v/>
      </c>
      <c r="M201" s="50" t="str">
        <f>IF(OR($J201="",$AA201=""),"",$J201*N(INDEX(Fertilisants!$G$8:$G$47,$AA201)))</f>
        <v/>
      </c>
      <c r="N201" s="50" t="str">
        <f>IF(OR($J201="",$AA201=""),"",$J201*N(INDEX(Fertilisants!$I$8:$I$47,$AA201)))</f>
        <v/>
      </c>
      <c r="O201" s="50" t="str">
        <f>IF(OR($J201="",$AA201=""),"",$J201*N(INDEX(Fertilisants!$J$8:$J$47,$AA201)))</f>
        <v/>
      </c>
      <c r="P201" s="50" t="str">
        <f>IF(OR($J201="",$AA201=""),"",$J201*N(INDEX(Fertilisants!$K$8:$K$47,$AA201)))</f>
        <v/>
      </c>
      <c r="Q201" s="50" t="str">
        <f t="shared" si="43"/>
        <v/>
      </c>
      <c r="R201" s="44"/>
      <c r="S201" s="44"/>
      <c r="T201" s="51"/>
      <c r="U201" s="44"/>
      <c r="V201" s="43"/>
      <c r="W201" s="52" t="str">
        <f t="shared" si="44"/>
        <v/>
      </c>
      <c r="X201" s="44"/>
      <c r="Z201" s="53" t="str">
        <f>IF($D201="","",IFERROR(MATCH($D201,Îlots!$D$8:$D$57,0),""))</f>
        <v/>
      </c>
      <c r="AA201" s="53" t="str">
        <f>IF($G201="","",IFERROR(MATCH($G201,Fertilisants!$B$8:$B$47,0),""))</f>
        <v/>
      </c>
      <c r="AB201" s="53" t="str">
        <f>IF($Z201="","",INDEX(Îlots!$E$8:$E$57,$Z201))</f>
        <v/>
      </c>
      <c r="AC201" s="53" t="str">
        <f>IF($Z201="","",INDEX(Îlots!$G$8:$G$57,$Z201)&amp;"")</f>
        <v/>
      </c>
      <c r="AD201" s="53" t="str">
        <f>IF($Z201="","",IF($F201=ApportCouvert,OccCouvert,INDEX(Îlots!$O$8:$O$57,$Z201)&amp;""))</f>
        <v/>
      </c>
      <c r="AE201" s="53" t="str">
        <f t="shared" si="45"/>
        <v/>
      </c>
      <c r="AF201" s="53" t="str">
        <f t="shared" si="46"/>
        <v/>
      </c>
      <c r="AG201" s="53" t="str">
        <f t="shared" si="47"/>
        <v/>
      </c>
      <c r="AH201" s="53">
        <f t="shared" si="48"/>
        <v>0</v>
      </c>
      <c r="AI201" s="53">
        <f t="shared" si="49"/>
        <v>0</v>
      </c>
      <c r="AJ201" s="53">
        <f t="shared" si="50"/>
        <v>0</v>
      </c>
      <c r="AK201" s="53">
        <f t="shared" si="51"/>
        <v>0</v>
      </c>
      <c r="AL201" s="53">
        <f t="shared" si="52"/>
        <v>0</v>
      </c>
      <c r="AM201" s="53">
        <f>IF($AA201="",0,IF(INDEX(Fertilisants!$C$8:$C$47,$AA201)="Effluent d'élevage",1,0))</f>
        <v>0</v>
      </c>
      <c r="AN201" s="53" t="str">
        <f>IF($AA201="","",IF(INDEX(Fertilisants!$C$8:$C$47,$AA201)="Engrais minéral","Minéral","Organique"))</f>
        <v/>
      </c>
      <c r="AO201" s="53" t="str">
        <f t="shared" si="53"/>
        <v/>
      </c>
      <c r="AP201" s="53" t="str">
        <f t="shared" si="54"/>
        <v/>
      </c>
      <c r="AQ201" s="53" t="str">
        <f t="shared" si="55"/>
        <v/>
      </c>
      <c r="AR201" s="53" t="str">
        <f>IF(AND($D201&lt;&gt;"",$D201=FicheIlot),COUNTIF($D$8:$D201,FicheIlot),"")</f>
        <v/>
      </c>
    </row>
    <row r="202" spans="2:44" ht="18.95" customHeight="1" x14ac:dyDescent="0.25">
      <c r="B202" s="42" t="str">
        <f>IF(C202="","",COUNT($C$8:C202))</f>
        <v/>
      </c>
      <c r="C202" s="43"/>
      <c r="D202" s="44"/>
      <c r="E202" s="45" t="str">
        <f>IF($Z202="","",IF($F202=ApportCouvert,INDEX(Îlots!$I$8:$I$57,$Z202)&amp;"",INDEX(Îlots!$N$8:$N$57,$Z202)&amp;""))</f>
        <v/>
      </c>
      <c r="F202" s="44"/>
      <c r="G202" s="44"/>
      <c r="H202" s="46" t="str">
        <f>IF($AA202="","",INDEX(Fertilisants!$D$8:$D$47,$AA202)&amp;"")</f>
        <v/>
      </c>
      <c r="I202" s="47"/>
      <c r="J202" s="48"/>
      <c r="K202" s="46" t="str">
        <f>IF($AA202="","",INDEX(Fertilisants!$E$8:$E$47,$AA202)&amp;"")</f>
        <v/>
      </c>
      <c r="L202" s="49" t="str">
        <f t="shared" si="42"/>
        <v/>
      </c>
      <c r="M202" s="50" t="str">
        <f>IF(OR($J202="",$AA202=""),"",$J202*N(INDEX(Fertilisants!$G$8:$G$47,$AA202)))</f>
        <v/>
      </c>
      <c r="N202" s="50" t="str">
        <f>IF(OR($J202="",$AA202=""),"",$J202*N(INDEX(Fertilisants!$I$8:$I$47,$AA202)))</f>
        <v/>
      </c>
      <c r="O202" s="50" t="str">
        <f>IF(OR($J202="",$AA202=""),"",$J202*N(INDEX(Fertilisants!$J$8:$J$47,$AA202)))</f>
        <v/>
      </c>
      <c r="P202" s="50" t="str">
        <f>IF(OR($J202="",$AA202=""),"",$J202*N(INDEX(Fertilisants!$K$8:$K$47,$AA202)))</f>
        <v/>
      </c>
      <c r="Q202" s="50" t="str">
        <f t="shared" si="43"/>
        <v/>
      </c>
      <c r="R202" s="44"/>
      <c r="S202" s="44"/>
      <c r="T202" s="51"/>
      <c r="U202" s="44"/>
      <c r="V202" s="43"/>
      <c r="W202" s="52" t="str">
        <f t="shared" si="44"/>
        <v/>
      </c>
      <c r="X202" s="44"/>
      <c r="Z202" s="53" t="str">
        <f>IF($D202="","",IFERROR(MATCH($D202,Îlots!$D$8:$D$57,0),""))</f>
        <v/>
      </c>
      <c r="AA202" s="53" t="str">
        <f>IF($G202="","",IFERROR(MATCH($G202,Fertilisants!$B$8:$B$47,0),""))</f>
        <v/>
      </c>
      <c r="AB202" s="53" t="str">
        <f>IF($Z202="","",INDEX(Îlots!$E$8:$E$57,$Z202))</f>
        <v/>
      </c>
      <c r="AC202" s="53" t="str">
        <f>IF($Z202="","",INDEX(Îlots!$G$8:$G$57,$Z202)&amp;"")</f>
        <v/>
      </c>
      <c r="AD202" s="53" t="str">
        <f>IF($Z202="","",IF($F202=ApportCouvert,OccCouvert,INDEX(Îlots!$O$8:$O$57,$Z202)&amp;""))</f>
        <v/>
      </c>
      <c r="AE202" s="53" t="str">
        <f t="shared" si="45"/>
        <v/>
      </c>
      <c r="AF202" s="53" t="str">
        <f t="shared" si="46"/>
        <v/>
      </c>
      <c r="AG202" s="53" t="str">
        <f t="shared" si="47"/>
        <v/>
      </c>
      <c r="AH202" s="53">
        <f t="shared" si="48"/>
        <v>0</v>
      </c>
      <c r="AI202" s="53">
        <f t="shared" si="49"/>
        <v>0</v>
      </c>
      <c r="AJ202" s="53">
        <f t="shared" si="50"/>
        <v>0</v>
      </c>
      <c r="AK202" s="53">
        <f t="shared" si="51"/>
        <v>0</v>
      </c>
      <c r="AL202" s="53">
        <f t="shared" si="52"/>
        <v>0</v>
      </c>
      <c r="AM202" s="53">
        <f>IF($AA202="",0,IF(INDEX(Fertilisants!$C$8:$C$47,$AA202)="Effluent d'élevage",1,0))</f>
        <v>0</v>
      </c>
      <c r="AN202" s="53" t="str">
        <f>IF($AA202="","",IF(INDEX(Fertilisants!$C$8:$C$47,$AA202)="Engrais minéral","Minéral","Organique"))</f>
        <v/>
      </c>
      <c r="AO202" s="53" t="str">
        <f t="shared" si="53"/>
        <v/>
      </c>
      <c r="AP202" s="53" t="str">
        <f t="shared" si="54"/>
        <v/>
      </c>
      <c r="AQ202" s="53" t="str">
        <f t="shared" si="55"/>
        <v/>
      </c>
      <c r="AR202" s="53" t="str">
        <f>IF(AND($D202&lt;&gt;"",$D202=FicheIlot),COUNTIF($D$8:$D202,FicheIlot),"")</f>
        <v/>
      </c>
    </row>
    <row r="203" spans="2:44" ht="18.95" customHeight="1" x14ac:dyDescent="0.25">
      <c r="B203" s="42" t="str">
        <f>IF(C203="","",COUNT($C$8:C203))</f>
        <v/>
      </c>
      <c r="C203" s="43"/>
      <c r="D203" s="44"/>
      <c r="E203" s="45" t="str">
        <f>IF($Z203="","",IF($F203=ApportCouvert,INDEX(Îlots!$I$8:$I$57,$Z203)&amp;"",INDEX(Îlots!$N$8:$N$57,$Z203)&amp;""))</f>
        <v/>
      </c>
      <c r="F203" s="44"/>
      <c r="G203" s="44"/>
      <c r="H203" s="46" t="str">
        <f>IF($AA203="","",INDEX(Fertilisants!$D$8:$D$47,$AA203)&amp;"")</f>
        <v/>
      </c>
      <c r="I203" s="47"/>
      <c r="J203" s="48"/>
      <c r="K203" s="46" t="str">
        <f>IF($AA203="","",INDEX(Fertilisants!$E$8:$E$47,$AA203)&amp;"")</f>
        <v/>
      </c>
      <c r="L203" s="49" t="str">
        <f t="shared" si="42"/>
        <v/>
      </c>
      <c r="M203" s="50" t="str">
        <f>IF(OR($J203="",$AA203=""),"",$J203*N(INDEX(Fertilisants!$G$8:$G$47,$AA203)))</f>
        <v/>
      </c>
      <c r="N203" s="50" t="str">
        <f>IF(OR($J203="",$AA203=""),"",$J203*N(INDEX(Fertilisants!$I$8:$I$47,$AA203)))</f>
        <v/>
      </c>
      <c r="O203" s="50" t="str">
        <f>IF(OR($J203="",$AA203=""),"",$J203*N(INDEX(Fertilisants!$J$8:$J$47,$AA203)))</f>
        <v/>
      </c>
      <c r="P203" s="50" t="str">
        <f>IF(OR($J203="",$AA203=""),"",$J203*N(INDEX(Fertilisants!$K$8:$K$47,$AA203)))</f>
        <v/>
      </c>
      <c r="Q203" s="50" t="str">
        <f t="shared" si="43"/>
        <v/>
      </c>
      <c r="R203" s="44"/>
      <c r="S203" s="44"/>
      <c r="T203" s="51"/>
      <c r="U203" s="44"/>
      <c r="V203" s="43"/>
      <c r="W203" s="52" t="str">
        <f t="shared" si="44"/>
        <v/>
      </c>
      <c r="X203" s="44"/>
      <c r="Z203" s="53" t="str">
        <f>IF($D203="","",IFERROR(MATCH($D203,Îlots!$D$8:$D$57,0),""))</f>
        <v/>
      </c>
      <c r="AA203" s="53" t="str">
        <f>IF($G203="","",IFERROR(MATCH($G203,Fertilisants!$B$8:$B$47,0),""))</f>
        <v/>
      </c>
      <c r="AB203" s="53" t="str">
        <f>IF($Z203="","",INDEX(Îlots!$E$8:$E$57,$Z203))</f>
        <v/>
      </c>
      <c r="AC203" s="53" t="str">
        <f>IF($Z203="","",INDEX(Îlots!$G$8:$G$57,$Z203)&amp;"")</f>
        <v/>
      </c>
      <c r="AD203" s="53" t="str">
        <f>IF($Z203="","",IF($F203=ApportCouvert,OccCouvert,INDEX(Îlots!$O$8:$O$57,$Z203)&amp;""))</f>
        <v/>
      </c>
      <c r="AE203" s="53" t="str">
        <f t="shared" si="45"/>
        <v/>
      </c>
      <c r="AF203" s="53" t="str">
        <f t="shared" si="46"/>
        <v/>
      </c>
      <c r="AG203" s="53" t="str">
        <f t="shared" si="47"/>
        <v/>
      </c>
      <c r="AH203" s="53">
        <f t="shared" si="48"/>
        <v>0</v>
      </c>
      <c r="AI203" s="53">
        <f t="shared" si="49"/>
        <v>0</v>
      </c>
      <c r="AJ203" s="53">
        <f t="shared" si="50"/>
        <v>0</v>
      </c>
      <c r="AK203" s="53">
        <f t="shared" si="51"/>
        <v>0</v>
      </c>
      <c r="AL203" s="53">
        <f t="shared" si="52"/>
        <v>0</v>
      </c>
      <c r="AM203" s="53">
        <f>IF($AA203="",0,IF(INDEX(Fertilisants!$C$8:$C$47,$AA203)="Effluent d'élevage",1,0))</f>
        <v>0</v>
      </c>
      <c r="AN203" s="53" t="str">
        <f>IF($AA203="","",IF(INDEX(Fertilisants!$C$8:$C$47,$AA203)="Engrais minéral","Minéral","Organique"))</f>
        <v/>
      </c>
      <c r="AO203" s="53" t="str">
        <f t="shared" si="53"/>
        <v/>
      </c>
      <c r="AP203" s="53" t="str">
        <f t="shared" si="54"/>
        <v/>
      </c>
      <c r="AQ203" s="53" t="str">
        <f t="shared" si="55"/>
        <v/>
      </c>
      <c r="AR203" s="53" t="str">
        <f>IF(AND($D203&lt;&gt;"",$D203=FicheIlot),COUNTIF($D$8:$D203,FicheIlot),"")</f>
        <v/>
      </c>
    </row>
    <row r="204" spans="2:44" ht="18.95" customHeight="1" x14ac:dyDescent="0.25">
      <c r="B204" s="42" t="str">
        <f>IF(C204="","",COUNT($C$8:C204))</f>
        <v/>
      </c>
      <c r="C204" s="43"/>
      <c r="D204" s="44"/>
      <c r="E204" s="45" t="str">
        <f>IF($Z204="","",IF($F204=ApportCouvert,INDEX(Îlots!$I$8:$I$57,$Z204)&amp;"",INDEX(Îlots!$N$8:$N$57,$Z204)&amp;""))</f>
        <v/>
      </c>
      <c r="F204" s="44"/>
      <c r="G204" s="44"/>
      <c r="H204" s="46" t="str">
        <f>IF($AA204="","",INDEX(Fertilisants!$D$8:$D$47,$AA204)&amp;"")</f>
        <v/>
      </c>
      <c r="I204" s="47"/>
      <c r="J204" s="48"/>
      <c r="K204" s="46" t="str">
        <f>IF($AA204="","",INDEX(Fertilisants!$E$8:$E$47,$AA204)&amp;"")</f>
        <v/>
      </c>
      <c r="L204" s="49" t="str">
        <f t="shared" si="42"/>
        <v/>
      </c>
      <c r="M204" s="50" t="str">
        <f>IF(OR($J204="",$AA204=""),"",$J204*N(INDEX(Fertilisants!$G$8:$G$47,$AA204)))</f>
        <v/>
      </c>
      <c r="N204" s="50" t="str">
        <f>IF(OR($J204="",$AA204=""),"",$J204*N(INDEX(Fertilisants!$I$8:$I$47,$AA204)))</f>
        <v/>
      </c>
      <c r="O204" s="50" t="str">
        <f>IF(OR($J204="",$AA204=""),"",$J204*N(INDEX(Fertilisants!$J$8:$J$47,$AA204)))</f>
        <v/>
      </c>
      <c r="P204" s="50" t="str">
        <f>IF(OR($J204="",$AA204=""),"",$J204*N(INDEX(Fertilisants!$K$8:$K$47,$AA204)))</f>
        <v/>
      </c>
      <c r="Q204" s="50" t="str">
        <f t="shared" si="43"/>
        <v/>
      </c>
      <c r="R204" s="44"/>
      <c r="S204" s="44"/>
      <c r="T204" s="51"/>
      <c r="U204" s="44"/>
      <c r="V204" s="43"/>
      <c r="W204" s="52" t="str">
        <f t="shared" si="44"/>
        <v/>
      </c>
      <c r="X204" s="44"/>
      <c r="Z204" s="53" t="str">
        <f>IF($D204="","",IFERROR(MATCH($D204,Îlots!$D$8:$D$57,0),""))</f>
        <v/>
      </c>
      <c r="AA204" s="53" t="str">
        <f>IF($G204="","",IFERROR(MATCH($G204,Fertilisants!$B$8:$B$47,0),""))</f>
        <v/>
      </c>
      <c r="AB204" s="53" t="str">
        <f>IF($Z204="","",INDEX(Îlots!$E$8:$E$57,$Z204))</f>
        <v/>
      </c>
      <c r="AC204" s="53" t="str">
        <f>IF($Z204="","",INDEX(Îlots!$G$8:$G$57,$Z204)&amp;"")</f>
        <v/>
      </c>
      <c r="AD204" s="53" t="str">
        <f>IF($Z204="","",IF($F204=ApportCouvert,OccCouvert,INDEX(Îlots!$O$8:$O$57,$Z204)&amp;""))</f>
        <v/>
      </c>
      <c r="AE204" s="53" t="str">
        <f t="shared" si="45"/>
        <v/>
      </c>
      <c r="AF204" s="53" t="str">
        <f t="shared" si="46"/>
        <v/>
      </c>
      <c r="AG204" s="53" t="str">
        <f t="shared" si="47"/>
        <v/>
      </c>
      <c r="AH204" s="53">
        <f t="shared" si="48"/>
        <v>0</v>
      </c>
      <c r="AI204" s="53">
        <f t="shared" si="49"/>
        <v>0</v>
      </c>
      <c r="AJ204" s="53">
        <f t="shared" si="50"/>
        <v>0</v>
      </c>
      <c r="AK204" s="53">
        <f t="shared" si="51"/>
        <v>0</v>
      </c>
      <c r="AL204" s="53">
        <f t="shared" si="52"/>
        <v>0</v>
      </c>
      <c r="AM204" s="53">
        <f>IF($AA204="",0,IF(INDEX(Fertilisants!$C$8:$C$47,$AA204)="Effluent d'élevage",1,0))</f>
        <v>0</v>
      </c>
      <c r="AN204" s="53" t="str">
        <f>IF($AA204="","",IF(INDEX(Fertilisants!$C$8:$C$47,$AA204)="Engrais minéral","Minéral","Organique"))</f>
        <v/>
      </c>
      <c r="AO204" s="53" t="str">
        <f t="shared" si="53"/>
        <v/>
      </c>
      <c r="AP204" s="53" t="str">
        <f t="shared" si="54"/>
        <v/>
      </c>
      <c r="AQ204" s="53" t="str">
        <f t="shared" si="55"/>
        <v/>
      </c>
      <c r="AR204" s="53" t="str">
        <f>IF(AND($D204&lt;&gt;"",$D204=FicheIlot),COUNTIF($D$8:$D204,FicheIlot),"")</f>
        <v/>
      </c>
    </row>
    <row r="205" spans="2:44" ht="18.95" customHeight="1" x14ac:dyDescent="0.25">
      <c r="B205" s="42" t="str">
        <f>IF(C205="","",COUNT($C$8:C205))</f>
        <v/>
      </c>
      <c r="C205" s="43"/>
      <c r="D205" s="44"/>
      <c r="E205" s="45" t="str">
        <f>IF($Z205="","",IF($F205=ApportCouvert,INDEX(Îlots!$I$8:$I$57,$Z205)&amp;"",INDEX(Îlots!$N$8:$N$57,$Z205)&amp;""))</f>
        <v/>
      </c>
      <c r="F205" s="44"/>
      <c r="G205" s="44"/>
      <c r="H205" s="46" t="str">
        <f>IF($AA205="","",INDEX(Fertilisants!$D$8:$D$47,$AA205)&amp;"")</f>
        <v/>
      </c>
      <c r="I205" s="47"/>
      <c r="J205" s="48"/>
      <c r="K205" s="46" t="str">
        <f>IF($AA205="","",INDEX(Fertilisants!$E$8:$E$47,$AA205)&amp;"")</f>
        <v/>
      </c>
      <c r="L205" s="49" t="str">
        <f t="shared" si="42"/>
        <v/>
      </c>
      <c r="M205" s="50" t="str">
        <f>IF(OR($J205="",$AA205=""),"",$J205*N(INDEX(Fertilisants!$G$8:$G$47,$AA205)))</f>
        <v/>
      </c>
      <c r="N205" s="50" t="str">
        <f>IF(OR($J205="",$AA205=""),"",$J205*N(INDEX(Fertilisants!$I$8:$I$47,$AA205)))</f>
        <v/>
      </c>
      <c r="O205" s="50" t="str">
        <f>IF(OR($J205="",$AA205=""),"",$J205*N(INDEX(Fertilisants!$J$8:$J$47,$AA205)))</f>
        <v/>
      </c>
      <c r="P205" s="50" t="str">
        <f>IF(OR($J205="",$AA205=""),"",$J205*N(INDEX(Fertilisants!$K$8:$K$47,$AA205)))</f>
        <v/>
      </c>
      <c r="Q205" s="50" t="str">
        <f t="shared" si="43"/>
        <v/>
      </c>
      <c r="R205" s="44"/>
      <c r="S205" s="44"/>
      <c r="T205" s="51"/>
      <c r="U205" s="44"/>
      <c r="V205" s="43"/>
      <c r="W205" s="52" t="str">
        <f t="shared" si="44"/>
        <v/>
      </c>
      <c r="X205" s="44"/>
      <c r="Z205" s="53" t="str">
        <f>IF($D205="","",IFERROR(MATCH($D205,Îlots!$D$8:$D$57,0),""))</f>
        <v/>
      </c>
      <c r="AA205" s="53" t="str">
        <f>IF($G205="","",IFERROR(MATCH($G205,Fertilisants!$B$8:$B$47,0),""))</f>
        <v/>
      </c>
      <c r="AB205" s="53" t="str">
        <f>IF($Z205="","",INDEX(Îlots!$E$8:$E$57,$Z205))</f>
        <v/>
      </c>
      <c r="AC205" s="53" t="str">
        <f>IF($Z205="","",INDEX(Îlots!$G$8:$G$57,$Z205)&amp;"")</f>
        <v/>
      </c>
      <c r="AD205" s="53" t="str">
        <f>IF($Z205="","",IF($F205=ApportCouvert,OccCouvert,INDEX(Îlots!$O$8:$O$57,$Z205)&amp;""))</f>
        <v/>
      </c>
      <c r="AE205" s="53" t="str">
        <f t="shared" si="45"/>
        <v/>
      </c>
      <c r="AF205" s="53" t="str">
        <f t="shared" si="46"/>
        <v/>
      </c>
      <c r="AG205" s="53" t="str">
        <f t="shared" si="47"/>
        <v/>
      </c>
      <c r="AH205" s="53">
        <f t="shared" si="48"/>
        <v>0</v>
      </c>
      <c r="AI205" s="53">
        <f t="shared" si="49"/>
        <v>0</v>
      </c>
      <c r="AJ205" s="53">
        <f t="shared" si="50"/>
        <v>0</v>
      </c>
      <c r="AK205" s="53">
        <f t="shared" si="51"/>
        <v>0</v>
      </c>
      <c r="AL205" s="53">
        <f t="shared" si="52"/>
        <v>0</v>
      </c>
      <c r="AM205" s="53">
        <f>IF($AA205="",0,IF(INDEX(Fertilisants!$C$8:$C$47,$AA205)="Effluent d'élevage",1,0))</f>
        <v>0</v>
      </c>
      <c r="AN205" s="53" t="str">
        <f>IF($AA205="","",IF(INDEX(Fertilisants!$C$8:$C$47,$AA205)="Engrais minéral","Minéral","Organique"))</f>
        <v/>
      </c>
      <c r="AO205" s="53" t="str">
        <f t="shared" si="53"/>
        <v/>
      </c>
      <c r="AP205" s="53" t="str">
        <f t="shared" si="54"/>
        <v/>
      </c>
      <c r="AQ205" s="53" t="str">
        <f t="shared" si="55"/>
        <v/>
      </c>
      <c r="AR205" s="53" t="str">
        <f>IF(AND($D205&lt;&gt;"",$D205=FicheIlot),COUNTIF($D$8:$D205,FicheIlot),"")</f>
        <v/>
      </c>
    </row>
    <row r="206" spans="2:44" ht="18.95" customHeight="1" x14ac:dyDescent="0.25">
      <c r="B206" s="42" t="str">
        <f>IF(C206="","",COUNT($C$8:C206))</f>
        <v/>
      </c>
      <c r="C206" s="43"/>
      <c r="D206" s="44"/>
      <c r="E206" s="45" t="str">
        <f>IF($Z206="","",IF($F206=ApportCouvert,INDEX(Îlots!$I$8:$I$57,$Z206)&amp;"",INDEX(Îlots!$N$8:$N$57,$Z206)&amp;""))</f>
        <v/>
      </c>
      <c r="F206" s="44"/>
      <c r="G206" s="44"/>
      <c r="H206" s="46" t="str">
        <f>IF($AA206="","",INDEX(Fertilisants!$D$8:$D$47,$AA206)&amp;"")</f>
        <v/>
      </c>
      <c r="I206" s="47"/>
      <c r="J206" s="48"/>
      <c r="K206" s="46" t="str">
        <f>IF($AA206="","",INDEX(Fertilisants!$E$8:$E$47,$AA206)&amp;"")</f>
        <v/>
      </c>
      <c r="L206" s="49" t="str">
        <f t="shared" si="42"/>
        <v/>
      </c>
      <c r="M206" s="50" t="str">
        <f>IF(OR($J206="",$AA206=""),"",$J206*N(INDEX(Fertilisants!$G$8:$G$47,$AA206)))</f>
        <v/>
      </c>
      <c r="N206" s="50" t="str">
        <f>IF(OR($J206="",$AA206=""),"",$J206*N(INDEX(Fertilisants!$I$8:$I$47,$AA206)))</f>
        <v/>
      </c>
      <c r="O206" s="50" t="str">
        <f>IF(OR($J206="",$AA206=""),"",$J206*N(INDEX(Fertilisants!$J$8:$J$47,$AA206)))</f>
        <v/>
      </c>
      <c r="P206" s="50" t="str">
        <f>IF(OR($J206="",$AA206=""),"",$J206*N(INDEX(Fertilisants!$K$8:$K$47,$AA206)))</f>
        <v/>
      </c>
      <c r="Q206" s="50" t="str">
        <f t="shared" si="43"/>
        <v/>
      </c>
      <c r="R206" s="44"/>
      <c r="S206" s="44"/>
      <c r="T206" s="51"/>
      <c r="U206" s="44"/>
      <c r="V206" s="43"/>
      <c r="W206" s="52" t="str">
        <f t="shared" si="44"/>
        <v/>
      </c>
      <c r="X206" s="44"/>
      <c r="Z206" s="53" t="str">
        <f>IF($D206="","",IFERROR(MATCH($D206,Îlots!$D$8:$D$57,0),""))</f>
        <v/>
      </c>
      <c r="AA206" s="53" t="str">
        <f>IF($G206="","",IFERROR(MATCH($G206,Fertilisants!$B$8:$B$47,0),""))</f>
        <v/>
      </c>
      <c r="AB206" s="53" t="str">
        <f>IF($Z206="","",INDEX(Îlots!$E$8:$E$57,$Z206))</f>
        <v/>
      </c>
      <c r="AC206" s="53" t="str">
        <f>IF($Z206="","",INDEX(Îlots!$G$8:$G$57,$Z206)&amp;"")</f>
        <v/>
      </c>
      <c r="AD206" s="53" t="str">
        <f>IF($Z206="","",IF($F206=ApportCouvert,OccCouvert,INDEX(Îlots!$O$8:$O$57,$Z206)&amp;""))</f>
        <v/>
      </c>
      <c r="AE206" s="53" t="str">
        <f t="shared" si="45"/>
        <v/>
      </c>
      <c r="AF206" s="53" t="str">
        <f t="shared" si="46"/>
        <v/>
      </c>
      <c r="AG206" s="53" t="str">
        <f t="shared" si="47"/>
        <v/>
      </c>
      <c r="AH206" s="53">
        <f t="shared" si="48"/>
        <v>0</v>
      </c>
      <c r="AI206" s="53">
        <f t="shared" si="49"/>
        <v>0</v>
      </c>
      <c r="AJ206" s="53">
        <f t="shared" si="50"/>
        <v>0</v>
      </c>
      <c r="AK206" s="53">
        <f t="shared" si="51"/>
        <v>0</v>
      </c>
      <c r="AL206" s="53">
        <f t="shared" si="52"/>
        <v>0</v>
      </c>
      <c r="AM206" s="53">
        <f>IF($AA206="",0,IF(INDEX(Fertilisants!$C$8:$C$47,$AA206)="Effluent d'élevage",1,0))</f>
        <v>0</v>
      </c>
      <c r="AN206" s="53" t="str">
        <f>IF($AA206="","",IF(INDEX(Fertilisants!$C$8:$C$47,$AA206)="Engrais minéral","Minéral","Organique"))</f>
        <v/>
      </c>
      <c r="AO206" s="53" t="str">
        <f t="shared" si="53"/>
        <v/>
      </c>
      <c r="AP206" s="53" t="str">
        <f t="shared" si="54"/>
        <v/>
      </c>
      <c r="AQ206" s="53" t="str">
        <f t="shared" si="55"/>
        <v/>
      </c>
      <c r="AR206" s="53" t="str">
        <f>IF(AND($D206&lt;&gt;"",$D206=FicheIlot),COUNTIF($D$8:$D206,FicheIlot),"")</f>
        <v/>
      </c>
    </row>
    <row r="207" spans="2:44" ht="18.95" customHeight="1" x14ac:dyDescent="0.25">
      <c r="B207" s="42" t="str">
        <f>IF(C207="","",COUNT($C$8:C207))</f>
        <v/>
      </c>
      <c r="C207" s="43"/>
      <c r="D207" s="44"/>
      <c r="E207" s="45" t="str">
        <f>IF($Z207="","",IF($F207=ApportCouvert,INDEX(Îlots!$I$8:$I$57,$Z207)&amp;"",INDEX(Îlots!$N$8:$N$57,$Z207)&amp;""))</f>
        <v/>
      </c>
      <c r="F207" s="44"/>
      <c r="G207" s="44"/>
      <c r="H207" s="46" t="str">
        <f>IF($AA207="","",INDEX(Fertilisants!$D$8:$D$47,$AA207)&amp;"")</f>
        <v/>
      </c>
      <c r="I207" s="47"/>
      <c r="J207" s="48"/>
      <c r="K207" s="46" t="str">
        <f>IF($AA207="","",INDEX(Fertilisants!$E$8:$E$47,$AA207)&amp;"")</f>
        <v/>
      </c>
      <c r="L207" s="49" t="str">
        <f t="shared" si="42"/>
        <v/>
      </c>
      <c r="M207" s="50" t="str">
        <f>IF(OR($J207="",$AA207=""),"",$J207*N(INDEX(Fertilisants!$G$8:$G$47,$AA207)))</f>
        <v/>
      </c>
      <c r="N207" s="50" t="str">
        <f>IF(OR($J207="",$AA207=""),"",$J207*N(INDEX(Fertilisants!$I$8:$I$47,$AA207)))</f>
        <v/>
      </c>
      <c r="O207" s="50" t="str">
        <f>IF(OR($J207="",$AA207=""),"",$J207*N(INDEX(Fertilisants!$J$8:$J$47,$AA207)))</f>
        <v/>
      </c>
      <c r="P207" s="50" t="str">
        <f>IF(OR($J207="",$AA207=""),"",$J207*N(INDEX(Fertilisants!$K$8:$K$47,$AA207)))</f>
        <v/>
      </c>
      <c r="Q207" s="50" t="str">
        <f t="shared" si="43"/>
        <v/>
      </c>
      <c r="R207" s="44"/>
      <c r="S207" s="44"/>
      <c r="T207" s="51"/>
      <c r="U207" s="44"/>
      <c r="V207" s="43"/>
      <c r="W207" s="52" t="str">
        <f t="shared" si="44"/>
        <v/>
      </c>
      <c r="X207" s="44"/>
      <c r="Z207" s="53" t="str">
        <f>IF($D207="","",IFERROR(MATCH($D207,Îlots!$D$8:$D$57,0),""))</f>
        <v/>
      </c>
      <c r="AA207" s="53" t="str">
        <f>IF($G207="","",IFERROR(MATCH($G207,Fertilisants!$B$8:$B$47,0),""))</f>
        <v/>
      </c>
      <c r="AB207" s="53" t="str">
        <f>IF($Z207="","",INDEX(Îlots!$E$8:$E$57,$Z207))</f>
        <v/>
      </c>
      <c r="AC207" s="53" t="str">
        <f>IF($Z207="","",INDEX(Îlots!$G$8:$G$57,$Z207)&amp;"")</f>
        <v/>
      </c>
      <c r="AD207" s="53" t="str">
        <f>IF($Z207="","",IF($F207=ApportCouvert,OccCouvert,INDEX(Îlots!$O$8:$O$57,$Z207)&amp;""))</f>
        <v/>
      </c>
      <c r="AE207" s="53" t="str">
        <f t="shared" si="45"/>
        <v/>
      </c>
      <c r="AF207" s="53" t="str">
        <f t="shared" si="46"/>
        <v/>
      </c>
      <c r="AG207" s="53" t="str">
        <f t="shared" si="47"/>
        <v/>
      </c>
      <c r="AH207" s="53">
        <f t="shared" si="48"/>
        <v>0</v>
      </c>
      <c r="AI207" s="53">
        <f t="shared" si="49"/>
        <v>0</v>
      </c>
      <c r="AJ207" s="53">
        <f t="shared" si="50"/>
        <v>0</v>
      </c>
      <c r="AK207" s="53">
        <f t="shared" si="51"/>
        <v>0</v>
      </c>
      <c r="AL207" s="53">
        <f t="shared" si="52"/>
        <v>0</v>
      </c>
      <c r="AM207" s="53">
        <f>IF($AA207="",0,IF(INDEX(Fertilisants!$C$8:$C$47,$AA207)="Effluent d'élevage",1,0))</f>
        <v>0</v>
      </c>
      <c r="AN207" s="53" t="str">
        <f>IF($AA207="","",IF(INDEX(Fertilisants!$C$8:$C$47,$AA207)="Engrais minéral","Minéral","Organique"))</f>
        <v/>
      </c>
      <c r="AO207" s="53" t="str">
        <f t="shared" si="53"/>
        <v/>
      </c>
      <c r="AP207" s="53" t="str">
        <f t="shared" si="54"/>
        <v/>
      </c>
      <c r="AQ207" s="53" t="str">
        <f t="shared" si="55"/>
        <v/>
      </c>
      <c r="AR207" s="53" t="str">
        <f>IF(AND($D207&lt;&gt;"",$D207=FicheIlot),COUNTIF($D$8:$D207,FicheIlot),"")</f>
        <v/>
      </c>
    </row>
    <row r="208" spans="2:44" ht="18.95" customHeight="1" x14ac:dyDescent="0.25">
      <c r="B208" s="42" t="str">
        <f>IF(C208="","",COUNT($C$8:C208))</f>
        <v/>
      </c>
      <c r="C208" s="43"/>
      <c r="D208" s="44"/>
      <c r="E208" s="45" t="str">
        <f>IF($Z208="","",IF($F208=ApportCouvert,INDEX(Îlots!$I$8:$I$57,$Z208)&amp;"",INDEX(Îlots!$N$8:$N$57,$Z208)&amp;""))</f>
        <v/>
      </c>
      <c r="F208" s="44"/>
      <c r="G208" s="44"/>
      <c r="H208" s="46" t="str">
        <f>IF($AA208="","",INDEX(Fertilisants!$D$8:$D$47,$AA208)&amp;"")</f>
        <v/>
      </c>
      <c r="I208" s="47"/>
      <c r="J208" s="48"/>
      <c r="K208" s="46" t="str">
        <f>IF($AA208="","",INDEX(Fertilisants!$E$8:$E$47,$AA208)&amp;"")</f>
        <v/>
      </c>
      <c r="L208" s="49" t="str">
        <f t="shared" si="42"/>
        <v/>
      </c>
      <c r="M208" s="50" t="str">
        <f>IF(OR($J208="",$AA208=""),"",$J208*N(INDEX(Fertilisants!$G$8:$G$47,$AA208)))</f>
        <v/>
      </c>
      <c r="N208" s="50" t="str">
        <f>IF(OR($J208="",$AA208=""),"",$J208*N(INDEX(Fertilisants!$I$8:$I$47,$AA208)))</f>
        <v/>
      </c>
      <c r="O208" s="50" t="str">
        <f>IF(OR($J208="",$AA208=""),"",$J208*N(INDEX(Fertilisants!$J$8:$J$47,$AA208)))</f>
        <v/>
      </c>
      <c r="P208" s="50" t="str">
        <f>IF(OR($J208="",$AA208=""),"",$J208*N(INDEX(Fertilisants!$K$8:$K$47,$AA208)))</f>
        <v/>
      </c>
      <c r="Q208" s="50" t="str">
        <f t="shared" si="43"/>
        <v/>
      </c>
      <c r="R208" s="44"/>
      <c r="S208" s="44"/>
      <c r="T208" s="51"/>
      <c r="U208" s="44"/>
      <c r="V208" s="43"/>
      <c r="W208" s="52" t="str">
        <f t="shared" si="44"/>
        <v/>
      </c>
      <c r="X208" s="44"/>
      <c r="Z208" s="53" t="str">
        <f>IF($D208="","",IFERROR(MATCH($D208,Îlots!$D$8:$D$57,0),""))</f>
        <v/>
      </c>
      <c r="AA208" s="53" t="str">
        <f>IF($G208="","",IFERROR(MATCH($G208,Fertilisants!$B$8:$B$47,0),""))</f>
        <v/>
      </c>
      <c r="AB208" s="53" t="str">
        <f>IF($Z208="","",INDEX(Îlots!$E$8:$E$57,$Z208))</f>
        <v/>
      </c>
      <c r="AC208" s="53" t="str">
        <f>IF($Z208="","",INDEX(Îlots!$G$8:$G$57,$Z208)&amp;"")</f>
        <v/>
      </c>
      <c r="AD208" s="53" t="str">
        <f>IF($Z208="","",IF($F208=ApportCouvert,OccCouvert,INDEX(Îlots!$O$8:$O$57,$Z208)&amp;""))</f>
        <v/>
      </c>
      <c r="AE208" s="53" t="str">
        <f t="shared" si="45"/>
        <v/>
      </c>
      <c r="AF208" s="53" t="str">
        <f t="shared" si="46"/>
        <v/>
      </c>
      <c r="AG208" s="53" t="str">
        <f t="shared" si="47"/>
        <v/>
      </c>
      <c r="AH208" s="53">
        <f t="shared" si="48"/>
        <v>0</v>
      </c>
      <c r="AI208" s="53">
        <f t="shared" si="49"/>
        <v>0</v>
      </c>
      <c r="AJ208" s="53">
        <f t="shared" si="50"/>
        <v>0</v>
      </c>
      <c r="AK208" s="53">
        <f t="shared" si="51"/>
        <v>0</v>
      </c>
      <c r="AL208" s="53">
        <f t="shared" si="52"/>
        <v>0</v>
      </c>
      <c r="AM208" s="53">
        <f>IF($AA208="",0,IF(INDEX(Fertilisants!$C$8:$C$47,$AA208)="Effluent d'élevage",1,0))</f>
        <v>0</v>
      </c>
      <c r="AN208" s="53" t="str">
        <f>IF($AA208="","",IF(INDEX(Fertilisants!$C$8:$C$47,$AA208)="Engrais minéral","Minéral","Organique"))</f>
        <v/>
      </c>
      <c r="AO208" s="53" t="str">
        <f t="shared" si="53"/>
        <v/>
      </c>
      <c r="AP208" s="53" t="str">
        <f t="shared" si="54"/>
        <v/>
      </c>
      <c r="AQ208" s="53" t="str">
        <f t="shared" si="55"/>
        <v/>
      </c>
      <c r="AR208" s="53" t="str">
        <f>IF(AND($D208&lt;&gt;"",$D208=FicheIlot),COUNTIF($D$8:$D208,FicheIlot),"")</f>
        <v/>
      </c>
    </row>
    <row r="209" spans="2:44" ht="18.95" customHeight="1" x14ac:dyDescent="0.25">
      <c r="B209" s="42" t="str">
        <f>IF(C209="","",COUNT($C$8:C209))</f>
        <v/>
      </c>
      <c r="C209" s="43"/>
      <c r="D209" s="44"/>
      <c r="E209" s="45" t="str">
        <f>IF($Z209="","",IF($F209=ApportCouvert,INDEX(Îlots!$I$8:$I$57,$Z209)&amp;"",INDEX(Îlots!$N$8:$N$57,$Z209)&amp;""))</f>
        <v/>
      </c>
      <c r="F209" s="44"/>
      <c r="G209" s="44"/>
      <c r="H209" s="46" t="str">
        <f>IF($AA209="","",INDEX(Fertilisants!$D$8:$D$47,$AA209)&amp;"")</f>
        <v/>
      </c>
      <c r="I209" s="47"/>
      <c r="J209" s="48"/>
      <c r="K209" s="46" t="str">
        <f>IF($AA209="","",INDEX(Fertilisants!$E$8:$E$47,$AA209)&amp;"")</f>
        <v/>
      </c>
      <c r="L209" s="49" t="str">
        <f t="shared" si="42"/>
        <v/>
      </c>
      <c r="M209" s="50" t="str">
        <f>IF(OR($J209="",$AA209=""),"",$J209*N(INDEX(Fertilisants!$G$8:$G$47,$AA209)))</f>
        <v/>
      </c>
      <c r="N209" s="50" t="str">
        <f>IF(OR($J209="",$AA209=""),"",$J209*N(INDEX(Fertilisants!$I$8:$I$47,$AA209)))</f>
        <v/>
      </c>
      <c r="O209" s="50" t="str">
        <f>IF(OR($J209="",$AA209=""),"",$J209*N(INDEX(Fertilisants!$J$8:$J$47,$AA209)))</f>
        <v/>
      </c>
      <c r="P209" s="50" t="str">
        <f>IF(OR($J209="",$AA209=""),"",$J209*N(INDEX(Fertilisants!$K$8:$K$47,$AA209)))</f>
        <v/>
      </c>
      <c r="Q209" s="50" t="str">
        <f t="shared" si="43"/>
        <v/>
      </c>
      <c r="R209" s="44"/>
      <c r="S209" s="44"/>
      <c r="T209" s="51"/>
      <c r="U209" s="44"/>
      <c r="V209" s="43"/>
      <c r="W209" s="52" t="str">
        <f t="shared" si="44"/>
        <v/>
      </c>
      <c r="X209" s="44"/>
      <c r="Z209" s="53" t="str">
        <f>IF($D209="","",IFERROR(MATCH($D209,Îlots!$D$8:$D$57,0),""))</f>
        <v/>
      </c>
      <c r="AA209" s="53" t="str">
        <f>IF($G209="","",IFERROR(MATCH($G209,Fertilisants!$B$8:$B$47,0),""))</f>
        <v/>
      </c>
      <c r="AB209" s="53" t="str">
        <f>IF($Z209="","",INDEX(Îlots!$E$8:$E$57,$Z209))</f>
        <v/>
      </c>
      <c r="AC209" s="53" t="str">
        <f>IF($Z209="","",INDEX(Îlots!$G$8:$G$57,$Z209)&amp;"")</f>
        <v/>
      </c>
      <c r="AD209" s="53" t="str">
        <f>IF($Z209="","",IF($F209=ApportCouvert,OccCouvert,INDEX(Îlots!$O$8:$O$57,$Z209)&amp;""))</f>
        <v/>
      </c>
      <c r="AE209" s="53" t="str">
        <f t="shared" si="45"/>
        <v/>
      </c>
      <c r="AF209" s="53" t="str">
        <f t="shared" si="46"/>
        <v/>
      </c>
      <c r="AG209" s="53" t="str">
        <f t="shared" si="47"/>
        <v/>
      </c>
      <c r="AH209" s="53">
        <f t="shared" si="48"/>
        <v>0</v>
      </c>
      <c r="AI209" s="53">
        <f t="shared" si="49"/>
        <v>0</v>
      </c>
      <c r="AJ209" s="53">
        <f t="shared" si="50"/>
        <v>0</v>
      </c>
      <c r="AK209" s="53">
        <f t="shared" si="51"/>
        <v>0</v>
      </c>
      <c r="AL209" s="53">
        <f t="shared" si="52"/>
        <v>0</v>
      </c>
      <c r="AM209" s="53">
        <f>IF($AA209="",0,IF(INDEX(Fertilisants!$C$8:$C$47,$AA209)="Effluent d'élevage",1,0))</f>
        <v>0</v>
      </c>
      <c r="AN209" s="53" t="str">
        <f>IF($AA209="","",IF(INDEX(Fertilisants!$C$8:$C$47,$AA209)="Engrais minéral","Minéral","Organique"))</f>
        <v/>
      </c>
      <c r="AO209" s="53" t="str">
        <f t="shared" si="53"/>
        <v/>
      </c>
      <c r="AP209" s="53" t="str">
        <f t="shared" si="54"/>
        <v/>
      </c>
      <c r="AQ209" s="53" t="str">
        <f t="shared" si="55"/>
        <v/>
      </c>
      <c r="AR209" s="53" t="str">
        <f>IF(AND($D209&lt;&gt;"",$D209=FicheIlot),COUNTIF($D$8:$D209,FicheIlot),"")</f>
        <v/>
      </c>
    </row>
    <row r="210" spans="2:44" ht="18.95" customHeight="1" x14ac:dyDescent="0.25">
      <c r="B210" s="42" t="str">
        <f>IF(C210="","",COUNT($C$8:C210))</f>
        <v/>
      </c>
      <c r="C210" s="43"/>
      <c r="D210" s="44"/>
      <c r="E210" s="45" t="str">
        <f>IF($Z210="","",IF($F210=ApportCouvert,INDEX(Îlots!$I$8:$I$57,$Z210)&amp;"",INDEX(Îlots!$N$8:$N$57,$Z210)&amp;""))</f>
        <v/>
      </c>
      <c r="F210" s="44"/>
      <c r="G210" s="44"/>
      <c r="H210" s="46" t="str">
        <f>IF($AA210="","",INDEX(Fertilisants!$D$8:$D$47,$AA210)&amp;"")</f>
        <v/>
      </c>
      <c r="I210" s="47"/>
      <c r="J210" s="48"/>
      <c r="K210" s="46" t="str">
        <f>IF($AA210="","",INDEX(Fertilisants!$E$8:$E$47,$AA210)&amp;"")</f>
        <v/>
      </c>
      <c r="L210" s="49" t="str">
        <f t="shared" si="42"/>
        <v/>
      </c>
      <c r="M210" s="50" t="str">
        <f>IF(OR($J210="",$AA210=""),"",$J210*N(INDEX(Fertilisants!$G$8:$G$47,$AA210)))</f>
        <v/>
      </c>
      <c r="N210" s="50" t="str">
        <f>IF(OR($J210="",$AA210=""),"",$J210*N(INDEX(Fertilisants!$I$8:$I$47,$AA210)))</f>
        <v/>
      </c>
      <c r="O210" s="50" t="str">
        <f>IF(OR($J210="",$AA210=""),"",$J210*N(INDEX(Fertilisants!$J$8:$J$47,$AA210)))</f>
        <v/>
      </c>
      <c r="P210" s="50" t="str">
        <f>IF(OR($J210="",$AA210=""),"",$J210*N(INDEX(Fertilisants!$K$8:$K$47,$AA210)))</f>
        <v/>
      </c>
      <c r="Q210" s="50" t="str">
        <f t="shared" si="43"/>
        <v/>
      </c>
      <c r="R210" s="44"/>
      <c r="S210" s="44"/>
      <c r="T210" s="51"/>
      <c r="U210" s="44"/>
      <c r="V210" s="43"/>
      <c r="W210" s="52" t="str">
        <f t="shared" si="44"/>
        <v/>
      </c>
      <c r="X210" s="44"/>
      <c r="Z210" s="53" t="str">
        <f>IF($D210="","",IFERROR(MATCH($D210,Îlots!$D$8:$D$57,0),""))</f>
        <v/>
      </c>
      <c r="AA210" s="53" t="str">
        <f>IF($G210="","",IFERROR(MATCH($G210,Fertilisants!$B$8:$B$47,0),""))</f>
        <v/>
      </c>
      <c r="AB210" s="53" t="str">
        <f>IF($Z210="","",INDEX(Îlots!$E$8:$E$57,$Z210))</f>
        <v/>
      </c>
      <c r="AC210" s="53" t="str">
        <f>IF($Z210="","",INDEX(Îlots!$G$8:$G$57,$Z210)&amp;"")</f>
        <v/>
      </c>
      <c r="AD210" s="53" t="str">
        <f>IF($Z210="","",IF($F210=ApportCouvert,OccCouvert,INDEX(Îlots!$O$8:$O$57,$Z210)&amp;""))</f>
        <v/>
      </c>
      <c r="AE210" s="53" t="str">
        <f t="shared" si="45"/>
        <v/>
      </c>
      <c r="AF210" s="53" t="str">
        <f t="shared" si="46"/>
        <v/>
      </c>
      <c r="AG210" s="53" t="str">
        <f t="shared" si="47"/>
        <v/>
      </c>
      <c r="AH210" s="53">
        <f t="shared" si="48"/>
        <v>0</v>
      </c>
      <c r="AI210" s="53">
        <f t="shared" si="49"/>
        <v>0</v>
      </c>
      <c r="AJ210" s="53">
        <f t="shared" si="50"/>
        <v>0</v>
      </c>
      <c r="AK210" s="53">
        <f t="shared" si="51"/>
        <v>0</v>
      </c>
      <c r="AL210" s="53">
        <f t="shared" si="52"/>
        <v>0</v>
      </c>
      <c r="AM210" s="53">
        <f>IF($AA210="",0,IF(INDEX(Fertilisants!$C$8:$C$47,$AA210)="Effluent d'élevage",1,0))</f>
        <v>0</v>
      </c>
      <c r="AN210" s="53" t="str">
        <f>IF($AA210="","",IF(INDEX(Fertilisants!$C$8:$C$47,$AA210)="Engrais minéral","Minéral","Organique"))</f>
        <v/>
      </c>
      <c r="AO210" s="53" t="str">
        <f t="shared" si="53"/>
        <v/>
      </c>
      <c r="AP210" s="53" t="str">
        <f t="shared" si="54"/>
        <v/>
      </c>
      <c r="AQ210" s="53" t="str">
        <f t="shared" si="55"/>
        <v/>
      </c>
      <c r="AR210" s="53" t="str">
        <f>IF(AND($D210&lt;&gt;"",$D210=FicheIlot),COUNTIF($D$8:$D210,FicheIlot),"")</f>
        <v/>
      </c>
    </row>
    <row r="211" spans="2:44" ht="18.95" customHeight="1" x14ac:dyDescent="0.25">
      <c r="B211" s="42" t="str">
        <f>IF(C211="","",COUNT($C$8:C211))</f>
        <v/>
      </c>
      <c r="C211" s="43"/>
      <c r="D211" s="44"/>
      <c r="E211" s="45" t="str">
        <f>IF($Z211="","",IF($F211=ApportCouvert,INDEX(Îlots!$I$8:$I$57,$Z211)&amp;"",INDEX(Îlots!$N$8:$N$57,$Z211)&amp;""))</f>
        <v/>
      </c>
      <c r="F211" s="44"/>
      <c r="G211" s="44"/>
      <c r="H211" s="46" t="str">
        <f>IF($AA211="","",INDEX(Fertilisants!$D$8:$D$47,$AA211)&amp;"")</f>
        <v/>
      </c>
      <c r="I211" s="47"/>
      <c r="J211" s="48"/>
      <c r="K211" s="46" t="str">
        <f>IF($AA211="","",INDEX(Fertilisants!$E$8:$E$47,$AA211)&amp;"")</f>
        <v/>
      </c>
      <c r="L211" s="49" t="str">
        <f t="shared" si="42"/>
        <v/>
      </c>
      <c r="M211" s="50" t="str">
        <f>IF(OR($J211="",$AA211=""),"",$J211*N(INDEX(Fertilisants!$G$8:$G$47,$AA211)))</f>
        <v/>
      </c>
      <c r="N211" s="50" t="str">
        <f>IF(OR($J211="",$AA211=""),"",$J211*N(INDEX(Fertilisants!$I$8:$I$47,$AA211)))</f>
        <v/>
      </c>
      <c r="O211" s="50" t="str">
        <f>IF(OR($J211="",$AA211=""),"",$J211*N(INDEX(Fertilisants!$J$8:$J$47,$AA211)))</f>
        <v/>
      </c>
      <c r="P211" s="50" t="str">
        <f>IF(OR($J211="",$AA211=""),"",$J211*N(INDEX(Fertilisants!$K$8:$K$47,$AA211)))</f>
        <v/>
      </c>
      <c r="Q211" s="50" t="str">
        <f t="shared" si="43"/>
        <v/>
      </c>
      <c r="R211" s="44"/>
      <c r="S211" s="44"/>
      <c r="T211" s="51"/>
      <c r="U211" s="44"/>
      <c r="V211" s="43"/>
      <c r="W211" s="52" t="str">
        <f t="shared" si="44"/>
        <v/>
      </c>
      <c r="X211" s="44"/>
      <c r="Z211" s="53" t="str">
        <f>IF($D211="","",IFERROR(MATCH($D211,Îlots!$D$8:$D$57,0),""))</f>
        <v/>
      </c>
      <c r="AA211" s="53" t="str">
        <f>IF($G211="","",IFERROR(MATCH($G211,Fertilisants!$B$8:$B$47,0),""))</f>
        <v/>
      </c>
      <c r="AB211" s="53" t="str">
        <f>IF($Z211="","",INDEX(Îlots!$E$8:$E$57,$Z211))</f>
        <v/>
      </c>
      <c r="AC211" s="53" t="str">
        <f>IF($Z211="","",INDEX(Îlots!$G$8:$G$57,$Z211)&amp;"")</f>
        <v/>
      </c>
      <c r="AD211" s="53" t="str">
        <f>IF($Z211="","",IF($F211=ApportCouvert,OccCouvert,INDEX(Îlots!$O$8:$O$57,$Z211)&amp;""))</f>
        <v/>
      </c>
      <c r="AE211" s="53" t="str">
        <f t="shared" si="45"/>
        <v/>
      </c>
      <c r="AF211" s="53" t="str">
        <f t="shared" si="46"/>
        <v/>
      </c>
      <c r="AG211" s="53" t="str">
        <f t="shared" si="47"/>
        <v/>
      </c>
      <c r="AH211" s="53">
        <f t="shared" si="48"/>
        <v>0</v>
      </c>
      <c r="AI211" s="53">
        <f t="shared" si="49"/>
        <v>0</v>
      </c>
      <c r="AJ211" s="53">
        <f t="shared" si="50"/>
        <v>0</v>
      </c>
      <c r="AK211" s="53">
        <f t="shared" si="51"/>
        <v>0</v>
      </c>
      <c r="AL211" s="53">
        <f t="shared" si="52"/>
        <v>0</v>
      </c>
      <c r="AM211" s="53">
        <f>IF($AA211="",0,IF(INDEX(Fertilisants!$C$8:$C$47,$AA211)="Effluent d'élevage",1,0))</f>
        <v>0</v>
      </c>
      <c r="AN211" s="53" t="str">
        <f>IF($AA211="","",IF(INDEX(Fertilisants!$C$8:$C$47,$AA211)="Engrais minéral","Minéral","Organique"))</f>
        <v/>
      </c>
      <c r="AO211" s="53" t="str">
        <f t="shared" si="53"/>
        <v/>
      </c>
      <c r="AP211" s="53" t="str">
        <f t="shared" si="54"/>
        <v/>
      </c>
      <c r="AQ211" s="53" t="str">
        <f t="shared" si="55"/>
        <v/>
      </c>
      <c r="AR211" s="53" t="str">
        <f>IF(AND($D211&lt;&gt;"",$D211=FicheIlot),COUNTIF($D$8:$D211,FicheIlot),"")</f>
        <v/>
      </c>
    </row>
    <row r="212" spans="2:44" ht="18.95" customHeight="1" x14ac:dyDescent="0.25">
      <c r="B212" s="42" t="str">
        <f>IF(C212="","",COUNT($C$8:C212))</f>
        <v/>
      </c>
      <c r="C212" s="43"/>
      <c r="D212" s="44"/>
      <c r="E212" s="45" t="str">
        <f>IF($Z212="","",IF($F212=ApportCouvert,INDEX(Îlots!$I$8:$I$57,$Z212)&amp;"",INDEX(Îlots!$N$8:$N$57,$Z212)&amp;""))</f>
        <v/>
      </c>
      <c r="F212" s="44"/>
      <c r="G212" s="44"/>
      <c r="H212" s="46" t="str">
        <f>IF($AA212="","",INDEX(Fertilisants!$D$8:$D$47,$AA212)&amp;"")</f>
        <v/>
      </c>
      <c r="I212" s="47"/>
      <c r="J212" s="48"/>
      <c r="K212" s="46" t="str">
        <f>IF($AA212="","",INDEX(Fertilisants!$E$8:$E$47,$AA212)&amp;"")</f>
        <v/>
      </c>
      <c r="L212" s="49" t="str">
        <f t="shared" si="42"/>
        <v/>
      </c>
      <c r="M212" s="50" t="str">
        <f>IF(OR($J212="",$AA212=""),"",$J212*N(INDEX(Fertilisants!$G$8:$G$47,$AA212)))</f>
        <v/>
      </c>
      <c r="N212" s="50" t="str">
        <f>IF(OR($J212="",$AA212=""),"",$J212*N(INDEX(Fertilisants!$I$8:$I$47,$AA212)))</f>
        <v/>
      </c>
      <c r="O212" s="50" t="str">
        <f>IF(OR($J212="",$AA212=""),"",$J212*N(INDEX(Fertilisants!$J$8:$J$47,$AA212)))</f>
        <v/>
      </c>
      <c r="P212" s="50" t="str">
        <f>IF(OR($J212="",$AA212=""),"",$J212*N(INDEX(Fertilisants!$K$8:$K$47,$AA212)))</f>
        <v/>
      </c>
      <c r="Q212" s="50" t="str">
        <f t="shared" si="43"/>
        <v/>
      </c>
      <c r="R212" s="44"/>
      <c r="S212" s="44"/>
      <c r="T212" s="51"/>
      <c r="U212" s="44"/>
      <c r="V212" s="43"/>
      <c r="W212" s="52" t="str">
        <f t="shared" si="44"/>
        <v/>
      </c>
      <c r="X212" s="44"/>
      <c r="Z212" s="53" t="str">
        <f>IF($D212="","",IFERROR(MATCH($D212,Îlots!$D$8:$D$57,0),""))</f>
        <v/>
      </c>
      <c r="AA212" s="53" t="str">
        <f>IF($G212="","",IFERROR(MATCH($G212,Fertilisants!$B$8:$B$47,0),""))</f>
        <v/>
      </c>
      <c r="AB212" s="53" t="str">
        <f>IF($Z212="","",INDEX(Îlots!$E$8:$E$57,$Z212))</f>
        <v/>
      </c>
      <c r="AC212" s="53" t="str">
        <f>IF($Z212="","",INDEX(Îlots!$G$8:$G$57,$Z212)&amp;"")</f>
        <v/>
      </c>
      <c r="AD212" s="53" t="str">
        <f>IF($Z212="","",IF($F212=ApportCouvert,OccCouvert,INDEX(Îlots!$O$8:$O$57,$Z212)&amp;""))</f>
        <v/>
      </c>
      <c r="AE212" s="53" t="str">
        <f t="shared" si="45"/>
        <v/>
      </c>
      <c r="AF212" s="53" t="str">
        <f t="shared" si="46"/>
        <v/>
      </c>
      <c r="AG212" s="53" t="str">
        <f t="shared" si="47"/>
        <v/>
      </c>
      <c r="AH212" s="53">
        <f t="shared" si="48"/>
        <v>0</v>
      </c>
      <c r="AI212" s="53">
        <f t="shared" si="49"/>
        <v>0</v>
      </c>
      <c r="AJ212" s="53">
        <f t="shared" si="50"/>
        <v>0</v>
      </c>
      <c r="AK212" s="53">
        <f t="shared" si="51"/>
        <v>0</v>
      </c>
      <c r="AL212" s="53">
        <f t="shared" si="52"/>
        <v>0</v>
      </c>
      <c r="AM212" s="53">
        <f>IF($AA212="",0,IF(INDEX(Fertilisants!$C$8:$C$47,$AA212)="Effluent d'élevage",1,0))</f>
        <v>0</v>
      </c>
      <c r="AN212" s="53" t="str">
        <f>IF($AA212="","",IF(INDEX(Fertilisants!$C$8:$C$47,$AA212)="Engrais minéral","Minéral","Organique"))</f>
        <v/>
      </c>
      <c r="AO212" s="53" t="str">
        <f t="shared" si="53"/>
        <v/>
      </c>
      <c r="AP212" s="53" t="str">
        <f t="shared" si="54"/>
        <v/>
      </c>
      <c r="AQ212" s="53" t="str">
        <f t="shared" si="55"/>
        <v/>
      </c>
      <c r="AR212" s="53" t="str">
        <f>IF(AND($D212&lt;&gt;"",$D212=FicheIlot),COUNTIF($D$8:$D212,FicheIlot),"")</f>
        <v/>
      </c>
    </row>
    <row r="213" spans="2:44" ht="18.95" customHeight="1" x14ac:dyDescent="0.25">
      <c r="B213" s="42" t="str">
        <f>IF(C213="","",COUNT($C$8:C213))</f>
        <v/>
      </c>
      <c r="C213" s="43"/>
      <c r="D213" s="44"/>
      <c r="E213" s="45" t="str">
        <f>IF($Z213="","",IF($F213=ApportCouvert,INDEX(Îlots!$I$8:$I$57,$Z213)&amp;"",INDEX(Îlots!$N$8:$N$57,$Z213)&amp;""))</f>
        <v/>
      </c>
      <c r="F213" s="44"/>
      <c r="G213" s="44"/>
      <c r="H213" s="46" t="str">
        <f>IF($AA213="","",INDEX(Fertilisants!$D$8:$D$47,$AA213)&amp;"")</f>
        <v/>
      </c>
      <c r="I213" s="47"/>
      <c r="J213" s="48"/>
      <c r="K213" s="46" t="str">
        <f>IF($AA213="","",INDEX(Fertilisants!$E$8:$E$47,$AA213)&amp;"")</f>
        <v/>
      </c>
      <c r="L213" s="49" t="str">
        <f t="shared" si="42"/>
        <v/>
      </c>
      <c r="M213" s="50" t="str">
        <f>IF(OR($J213="",$AA213=""),"",$J213*N(INDEX(Fertilisants!$G$8:$G$47,$AA213)))</f>
        <v/>
      </c>
      <c r="N213" s="50" t="str">
        <f>IF(OR($J213="",$AA213=""),"",$J213*N(INDEX(Fertilisants!$I$8:$I$47,$AA213)))</f>
        <v/>
      </c>
      <c r="O213" s="50" t="str">
        <f>IF(OR($J213="",$AA213=""),"",$J213*N(INDEX(Fertilisants!$J$8:$J$47,$AA213)))</f>
        <v/>
      </c>
      <c r="P213" s="50" t="str">
        <f>IF(OR($J213="",$AA213=""),"",$J213*N(INDEX(Fertilisants!$K$8:$K$47,$AA213)))</f>
        <v/>
      </c>
      <c r="Q213" s="50" t="str">
        <f t="shared" si="43"/>
        <v/>
      </c>
      <c r="R213" s="44"/>
      <c r="S213" s="44"/>
      <c r="T213" s="51"/>
      <c r="U213" s="44"/>
      <c r="V213" s="43"/>
      <c r="W213" s="52" t="str">
        <f t="shared" si="44"/>
        <v/>
      </c>
      <c r="X213" s="44"/>
      <c r="Z213" s="53" t="str">
        <f>IF($D213="","",IFERROR(MATCH($D213,Îlots!$D$8:$D$57,0),""))</f>
        <v/>
      </c>
      <c r="AA213" s="53" t="str">
        <f>IF($G213="","",IFERROR(MATCH($G213,Fertilisants!$B$8:$B$47,0),""))</f>
        <v/>
      </c>
      <c r="AB213" s="53" t="str">
        <f>IF($Z213="","",INDEX(Îlots!$E$8:$E$57,$Z213))</f>
        <v/>
      </c>
      <c r="AC213" s="53" t="str">
        <f>IF($Z213="","",INDEX(Îlots!$G$8:$G$57,$Z213)&amp;"")</f>
        <v/>
      </c>
      <c r="AD213" s="53" t="str">
        <f>IF($Z213="","",IF($F213=ApportCouvert,OccCouvert,INDEX(Îlots!$O$8:$O$57,$Z213)&amp;""))</f>
        <v/>
      </c>
      <c r="AE213" s="53" t="str">
        <f t="shared" si="45"/>
        <v/>
      </c>
      <c r="AF213" s="53" t="str">
        <f t="shared" si="46"/>
        <v/>
      </c>
      <c r="AG213" s="53" t="str">
        <f t="shared" si="47"/>
        <v/>
      </c>
      <c r="AH213" s="53">
        <f t="shared" si="48"/>
        <v>0</v>
      </c>
      <c r="AI213" s="53">
        <f t="shared" si="49"/>
        <v>0</v>
      </c>
      <c r="AJ213" s="53">
        <f t="shared" si="50"/>
        <v>0</v>
      </c>
      <c r="AK213" s="53">
        <f t="shared" si="51"/>
        <v>0</v>
      </c>
      <c r="AL213" s="53">
        <f t="shared" si="52"/>
        <v>0</v>
      </c>
      <c r="AM213" s="53">
        <f>IF($AA213="",0,IF(INDEX(Fertilisants!$C$8:$C$47,$AA213)="Effluent d'élevage",1,0))</f>
        <v>0</v>
      </c>
      <c r="AN213" s="53" t="str">
        <f>IF($AA213="","",IF(INDEX(Fertilisants!$C$8:$C$47,$AA213)="Engrais minéral","Minéral","Organique"))</f>
        <v/>
      </c>
      <c r="AO213" s="53" t="str">
        <f t="shared" si="53"/>
        <v/>
      </c>
      <c r="AP213" s="53" t="str">
        <f t="shared" si="54"/>
        <v/>
      </c>
      <c r="AQ213" s="53" t="str">
        <f t="shared" si="55"/>
        <v/>
      </c>
      <c r="AR213" s="53" t="str">
        <f>IF(AND($D213&lt;&gt;"",$D213=FicheIlot),COUNTIF($D$8:$D213,FicheIlot),"")</f>
        <v/>
      </c>
    </row>
    <row r="214" spans="2:44" ht="18.95" customHeight="1" x14ac:dyDescent="0.25">
      <c r="B214" s="42" t="str">
        <f>IF(C214="","",COUNT($C$8:C214))</f>
        <v/>
      </c>
      <c r="C214" s="43"/>
      <c r="D214" s="44"/>
      <c r="E214" s="45" t="str">
        <f>IF($Z214="","",IF($F214=ApportCouvert,INDEX(Îlots!$I$8:$I$57,$Z214)&amp;"",INDEX(Îlots!$N$8:$N$57,$Z214)&amp;""))</f>
        <v/>
      </c>
      <c r="F214" s="44"/>
      <c r="G214" s="44"/>
      <c r="H214" s="46" t="str">
        <f>IF($AA214="","",INDEX(Fertilisants!$D$8:$D$47,$AA214)&amp;"")</f>
        <v/>
      </c>
      <c r="I214" s="47"/>
      <c r="J214" s="48"/>
      <c r="K214" s="46" t="str">
        <f>IF($AA214="","",INDEX(Fertilisants!$E$8:$E$47,$AA214)&amp;"")</f>
        <v/>
      </c>
      <c r="L214" s="49" t="str">
        <f t="shared" si="42"/>
        <v/>
      </c>
      <c r="M214" s="50" t="str">
        <f>IF(OR($J214="",$AA214=""),"",$J214*N(INDEX(Fertilisants!$G$8:$G$47,$AA214)))</f>
        <v/>
      </c>
      <c r="N214" s="50" t="str">
        <f>IF(OR($J214="",$AA214=""),"",$J214*N(INDEX(Fertilisants!$I$8:$I$47,$AA214)))</f>
        <v/>
      </c>
      <c r="O214" s="50" t="str">
        <f>IF(OR($J214="",$AA214=""),"",$J214*N(INDEX(Fertilisants!$J$8:$J$47,$AA214)))</f>
        <v/>
      </c>
      <c r="P214" s="50" t="str">
        <f>IF(OR($J214="",$AA214=""),"",$J214*N(INDEX(Fertilisants!$K$8:$K$47,$AA214)))</f>
        <v/>
      </c>
      <c r="Q214" s="50" t="str">
        <f t="shared" si="43"/>
        <v/>
      </c>
      <c r="R214" s="44"/>
      <c r="S214" s="44"/>
      <c r="T214" s="51"/>
      <c r="U214" s="44"/>
      <c r="V214" s="43"/>
      <c r="W214" s="52" t="str">
        <f t="shared" si="44"/>
        <v/>
      </c>
      <c r="X214" s="44"/>
      <c r="Z214" s="53" t="str">
        <f>IF($D214="","",IFERROR(MATCH($D214,Îlots!$D$8:$D$57,0),""))</f>
        <v/>
      </c>
      <c r="AA214" s="53" t="str">
        <f>IF($G214="","",IFERROR(MATCH($G214,Fertilisants!$B$8:$B$47,0),""))</f>
        <v/>
      </c>
      <c r="AB214" s="53" t="str">
        <f>IF($Z214="","",INDEX(Îlots!$E$8:$E$57,$Z214))</f>
        <v/>
      </c>
      <c r="AC214" s="53" t="str">
        <f>IF($Z214="","",INDEX(Îlots!$G$8:$G$57,$Z214)&amp;"")</f>
        <v/>
      </c>
      <c r="AD214" s="53" t="str">
        <f>IF($Z214="","",IF($F214=ApportCouvert,OccCouvert,INDEX(Îlots!$O$8:$O$57,$Z214)&amp;""))</f>
        <v/>
      </c>
      <c r="AE214" s="53" t="str">
        <f t="shared" si="45"/>
        <v/>
      </c>
      <c r="AF214" s="53" t="str">
        <f t="shared" si="46"/>
        <v/>
      </c>
      <c r="AG214" s="53" t="str">
        <f t="shared" si="47"/>
        <v/>
      </c>
      <c r="AH214" s="53">
        <f t="shared" si="48"/>
        <v>0</v>
      </c>
      <c r="AI214" s="53">
        <f t="shared" si="49"/>
        <v>0</v>
      </c>
      <c r="AJ214" s="53">
        <f t="shared" si="50"/>
        <v>0</v>
      </c>
      <c r="AK214" s="53">
        <f t="shared" si="51"/>
        <v>0</v>
      </c>
      <c r="AL214" s="53">
        <f t="shared" si="52"/>
        <v>0</v>
      </c>
      <c r="AM214" s="53">
        <f>IF($AA214="",0,IF(INDEX(Fertilisants!$C$8:$C$47,$AA214)="Effluent d'élevage",1,0))</f>
        <v>0</v>
      </c>
      <c r="AN214" s="53" t="str">
        <f>IF($AA214="","",IF(INDEX(Fertilisants!$C$8:$C$47,$AA214)="Engrais minéral","Minéral","Organique"))</f>
        <v/>
      </c>
      <c r="AO214" s="53" t="str">
        <f t="shared" si="53"/>
        <v/>
      </c>
      <c r="AP214" s="53" t="str">
        <f t="shared" si="54"/>
        <v/>
      </c>
      <c r="AQ214" s="53" t="str">
        <f t="shared" si="55"/>
        <v/>
      </c>
      <c r="AR214" s="53" t="str">
        <f>IF(AND($D214&lt;&gt;"",$D214=FicheIlot),COUNTIF($D$8:$D214,FicheIlot),"")</f>
        <v/>
      </c>
    </row>
    <row r="215" spans="2:44" ht="18.95" customHeight="1" x14ac:dyDescent="0.25">
      <c r="B215" s="42" t="str">
        <f>IF(C215="","",COUNT($C$8:C215))</f>
        <v/>
      </c>
      <c r="C215" s="43"/>
      <c r="D215" s="44"/>
      <c r="E215" s="45" t="str">
        <f>IF($Z215="","",IF($F215=ApportCouvert,INDEX(Îlots!$I$8:$I$57,$Z215)&amp;"",INDEX(Îlots!$N$8:$N$57,$Z215)&amp;""))</f>
        <v/>
      </c>
      <c r="F215" s="44"/>
      <c r="G215" s="44"/>
      <c r="H215" s="46" t="str">
        <f>IF($AA215="","",INDEX(Fertilisants!$D$8:$D$47,$AA215)&amp;"")</f>
        <v/>
      </c>
      <c r="I215" s="47"/>
      <c r="J215" s="48"/>
      <c r="K215" s="46" t="str">
        <f>IF($AA215="","",INDEX(Fertilisants!$E$8:$E$47,$AA215)&amp;"")</f>
        <v/>
      </c>
      <c r="L215" s="49" t="str">
        <f t="shared" si="42"/>
        <v/>
      </c>
      <c r="M215" s="50" t="str">
        <f>IF(OR($J215="",$AA215=""),"",$J215*N(INDEX(Fertilisants!$G$8:$G$47,$AA215)))</f>
        <v/>
      </c>
      <c r="N215" s="50" t="str">
        <f>IF(OR($J215="",$AA215=""),"",$J215*N(INDEX(Fertilisants!$I$8:$I$47,$AA215)))</f>
        <v/>
      </c>
      <c r="O215" s="50" t="str">
        <f>IF(OR($J215="",$AA215=""),"",$J215*N(INDEX(Fertilisants!$J$8:$J$47,$AA215)))</f>
        <v/>
      </c>
      <c r="P215" s="50" t="str">
        <f>IF(OR($J215="",$AA215=""),"",$J215*N(INDEX(Fertilisants!$K$8:$K$47,$AA215)))</f>
        <v/>
      </c>
      <c r="Q215" s="50" t="str">
        <f t="shared" si="43"/>
        <v/>
      </c>
      <c r="R215" s="44"/>
      <c r="S215" s="44"/>
      <c r="T215" s="51"/>
      <c r="U215" s="44"/>
      <c r="V215" s="43"/>
      <c r="W215" s="52" t="str">
        <f t="shared" si="44"/>
        <v/>
      </c>
      <c r="X215" s="44"/>
      <c r="Z215" s="53" t="str">
        <f>IF($D215="","",IFERROR(MATCH($D215,Îlots!$D$8:$D$57,0),""))</f>
        <v/>
      </c>
      <c r="AA215" s="53" t="str">
        <f>IF($G215="","",IFERROR(MATCH($G215,Fertilisants!$B$8:$B$47,0),""))</f>
        <v/>
      </c>
      <c r="AB215" s="53" t="str">
        <f>IF($Z215="","",INDEX(Îlots!$E$8:$E$57,$Z215))</f>
        <v/>
      </c>
      <c r="AC215" s="53" t="str">
        <f>IF($Z215="","",INDEX(Îlots!$G$8:$G$57,$Z215)&amp;"")</f>
        <v/>
      </c>
      <c r="AD215" s="53" t="str">
        <f>IF($Z215="","",IF($F215=ApportCouvert,OccCouvert,INDEX(Îlots!$O$8:$O$57,$Z215)&amp;""))</f>
        <v/>
      </c>
      <c r="AE215" s="53" t="str">
        <f t="shared" si="45"/>
        <v/>
      </c>
      <c r="AF215" s="53" t="str">
        <f t="shared" si="46"/>
        <v/>
      </c>
      <c r="AG215" s="53" t="str">
        <f t="shared" si="47"/>
        <v/>
      </c>
      <c r="AH215" s="53">
        <f t="shared" si="48"/>
        <v>0</v>
      </c>
      <c r="AI215" s="53">
        <f t="shared" si="49"/>
        <v>0</v>
      </c>
      <c r="AJ215" s="53">
        <f t="shared" si="50"/>
        <v>0</v>
      </c>
      <c r="AK215" s="53">
        <f t="shared" si="51"/>
        <v>0</v>
      </c>
      <c r="AL215" s="53">
        <f t="shared" si="52"/>
        <v>0</v>
      </c>
      <c r="AM215" s="53">
        <f>IF($AA215="",0,IF(INDEX(Fertilisants!$C$8:$C$47,$AA215)="Effluent d'élevage",1,0))</f>
        <v>0</v>
      </c>
      <c r="AN215" s="53" t="str">
        <f>IF($AA215="","",IF(INDEX(Fertilisants!$C$8:$C$47,$AA215)="Engrais minéral","Minéral","Organique"))</f>
        <v/>
      </c>
      <c r="AO215" s="53" t="str">
        <f t="shared" si="53"/>
        <v/>
      </c>
      <c r="AP215" s="53" t="str">
        <f t="shared" si="54"/>
        <v/>
      </c>
      <c r="AQ215" s="53" t="str">
        <f t="shared" si="55"/>
        <v/>
      </c>
      <c r="AR215" s="53" t="str">
        <f>IF(AND($D215&lt;&gt;"",$D215=FicheIlot),COUNTIF($D$8:$D215,FicheIlot),"")</f>
        <v/>
      </c>
    </row>
    <row r="216" spans="2:44" ht="18.95" customHeight="1" x14ac:dyDescent="0.25">
      <c r="B216" s="42" t="str">
        <f>IF(C216="","",COUNT($C$8:C216))</f>
        <v/>
      </c>
      <c r="C216" s="43"/>
      <c r="D216" s="44"/>
      <c r="E216" s="45" t="str">
        <f>IF($Z216="","",IF($F216=ApportCouvert,INDEX(Îlots!$I$8:$I$57,$Z216)&amp;"",INDEX(Îlots!$N$8:$N$57,$Z216)&amp;""))</f>
        <v/>
      </c>
      <c r="F216" s="44"/>
      <c r="G216" s="44"/>
      <c r="H216" s="46" t="str">
        <f>IF($AA216="","",INDEX(Fertilisants!$D$8:$D$47,$AA216)&amp;"")</f>
        <v/>
      </c>
      <c r="I216" s="47"/>
      <c r="J216" s="48"/>
      <c r="K216" s="46" t="str">
        <f>IF($AA216="","",INDEX(Fertilisants!$E$8:$E$47,$AA216)&amp;"")</f>
        <v/>
      </c>
      <c r="L216" s="49" t="str">
        <f t="shared" si="42"/>
        <v/>
      </c>
      <c r="M216" s="50" t="str">
        <f>IF(OR($J216="",$AA216=""),"",$J216*N(INDEX(Fertilisants!$G$8:$G$47,$AA216)))</f>
        <v/>
      </c>
      <c r="N216" s="50" t="str">
        <f>IF(OR($J216="",$AA216=""),"",$J216*N(INDEX(Fertilisants!$I$8:$I$47,$AA216)))</f>
        <v/>
      </c>
      <c r="O216" s="50" t="str">
        <f>IF(OR($J216="",$AA216=""),"",$J216*N(INDEX(Fertilisants!$J$8:$J$47,$AA216)))</f>
        <v/>
      </c>
      <c r="P216" s="50" t="str">
        <f>IF(OR($J216="",$AA216=""),"",$J216*N(INDEX(Fertilisants!$K$8:$K$47,$AA216)))</f>
        <v/>
      </c>
      <c r="Q216" s="50" t="str">
        <f t="shared" si="43"/>
        <v/>
      </c>
      <c r="R216" s="44"/>
      <c r="S216" s="44"/>
      <c r="T216" s="51"/>
      <c r="U216" s="44"/>
      <c r="V216" s="43"/>
      <c r="W216" s="52" t="str">
        <f t="shared" si="44"/>
        <v/>
      </c>
      <c r="X216" s="44"/>
      <c r="Z216" s="53" t="str">
        <f>IF($D216="","",IFERROR(MATCH($D216,Îlots!$D$8:$D$57,0),""))</f>
        <v/>
      </c>
      <c r="AA216" s="53" t="str">
        <f>IF($G216="","",IFERROR(MATCH($G216,Fertilisants!$B$8:$B$47,0),""))</f>
        <v/>
      </c>
      <c r="AB216" s="53" t="str">
        <f>IF($Z216="","",INDEX(Îlots!$E$8:$E$57,$Z216))</f>
        <v/>
      </c>
      <c r="AC216" s="53" t="str">
        <f>IF($Z216="","",INDEX(Îlots!$G$8:$G$57,$Z216)&amp;"")</f>
        <v/>
      </c>
      <c r="AD216" s="53" t="str">
        <f>IF($Z216="","",IF($F216=ApportCouvert,OccCouvert,INDEX(Îlots!$O$8:$O$57,$Z216)&amp;""))</f>
        <v/>
      </c>
      <c r="AE216" s="53" t="str">
        <f t="shared" si="45"/>
        <v/>
      </c>
      <c r="AF216" s="53" t="str">
        <f t="shared" si="46"/>
        <v/>
      </c>
      <c r="AG216" s="53" t="str">
        <f t="shared" si="47"/>
        <v/>
      </c>
      <c r="AH216" s="53">
        <f t="shared" si="48"/>
        <v>0</v>
      </c>
      <c r="AI216" s="53">
        <f t="shared" si="49"/>
        <v>0</v>
      </c>
      <c r="AJ216" s="53">
        <f t="shared" si="50"/>
        <v>0</v>
      </c>
      <c r="AK216" s="53">
        <f t="shared" si="51"/>
        <v>0</v>
      </c>
      <c r="AL216" s="53">
        <f t="shared" si="52"/>
        <v>0</v>
      </c>
      <c r="AM216" s="53">
        <f>IF($AA216="",0,IF(INDEX(Fertilisants!$C$8:$C$47,$AA216)="Effluent d'élevage",1,0))</f>
        <v>0</v>
      </c>
      <c r="AN216" s="53" t="str">
        <f>IF($AA216="","",IF(INDEX(Fertilisants!$C$8:$C$47,$AA216)="Engrais minéral","Minéral","Organique"))</f>
        <v/>
      </c>
      <c r="AO216" s="53" t="str">
        <f t="shared" si="53"/>
        <v/>
      </c>
      <c r="AP216" s="53" t="str">
        <f t="shared" si="54"/>
        <v/>
      </c>
      <c r="AQ216" s="53" t="str">
        <f t="shared" si="55"/>
        <v/>
      </c>
      <c r="AR216" s="53" t="str">
        <f>IF(AND($D216&lt;&gt;"",$D216=FicheIlot),COUNTIF($D$8:$D216,FicheIlot),"")</f>
        <v/>
      </c>
    </row>
    <row r="217" spans="2:44" ht="18.95" customHeight="1" x14ac:dyDescent="0.25">
      <c r="B217" s="42" t="str">
        <f>IF(C217="","",COUNT($C$8:C217))</f>
        <v/>
      </c>
      <c r="C217" s="43"/>
      <c r="D217" s="44"/>
      <c r="E217" s="45" t="str">
        <f>IF($Z217="","",IF($F217=ApportCouvert,INDEX(Îlots!$I$8:$I$57,$Z217)&amp;"",INDEX(Îlots!$N$8:$N$57,$Z217)&amp;""))</f>
        <v/>
      </c>
      <c r="F217" s="44"/>
      <c r="G217" s="44"/>
      <c r="H217" s="46" t="str">
        <f>IF($AA217="","",INDEX(Fertilisants!$D$8:$D$47,$AA217)&amp;"")</f>
        <v/>
      </c>
      <c r="I217" s="47"/>
      <c r="J217" s="48"/>
      <c r="K217" s="46" t="str">
        <f>IF($AA217="","",INDEX(Fertilisants!$E$8:$E$47,$AA217)&amp;"")</f>
        <v/>
      </c>
      <c r="L217" s="49" t="str">
        <f t="shared" si="42"/>
        <v/>
      </c>
      <c r="M217" s="50" t="str">
        <f>IF(OR($J217="",$AA217=""),"",$J217*N(INDEX(Fertilisants!$G$8:$G$47,$AA217)))</f>
        <v/>
      </c>
      <c r="N217" s="50" t="str">
        <f>IF(OR($J217="",$AA217=""),"",$J217*N(INDEX(Fertilisants!$I$8:$I$47,$AA217)))</f>
        <v/>
      </c>
      <c r="O217" s="50" t="str">
        <f>IF(OR($J217="",$AA217=""),"",$J217*N(INDEX(Fertilisants!$J$8:$J$47,$AA217)))</f>
        <v/>
      </c>
      <c r="P217" s="50" t="str">
        <f>IF(OR($J217="",$AA217=""),"",$J217*N(INDEX(Fertilisants!$K$8:$K$47,$AA217)))</f>
        <v/>
      </c>
      <c r="Q217" s="50" t="str">
        <f t="shared" si="43"/>
        <v/>
      </c>
      <c r="R217" s="44"/>
      <c r="S217" s="44"/>
      <c r="T217" s="51"/>
      <c r="U217" s="44"/>
      <c r="V217" s="43"/>
      <c r="W217" s="52" t="str">
        <f t="shared" si="44"/>
        <v/>
      </c>
      <c r="X217" s="44"/>
      <c r="Z217" s="53" t="str">
        <f>IF($D217="","",IFERROR(MATCH($D217,Îlots!$D$8:$D$57,0),""))</f>
        <v/>
      </c>
      <c r="AA217" s="53" t="str">
        <f>IF($G217="","",IFERROR(MATCH($G217,Fertilisants!$B$8:$B$47,0),""))</f>
        <v/>
      </c>
      <c r="AB217" s="53" t="str">
        <f>IF($Z217="","",INDEX(Îlots!$E$8:$E$57,$Z217))</f>
        <v/>
      </c>
      <c r="AC217" s="53" t="str">
        <f>IF($Z217="","",INDEX(Îlots!$G$8:$G$57,$Z217)&amp;"")</f>
        <v/>
      </c>
      <c r="AD217" s="53" t="str">
        <f>IF($Z217="","",IF($F217=ApportCouvert,OccCouvert,INDEX(Îlots!$O$8:$O$57,$Z217)&amp;""))</f>
        <v/>
      </c>
      <c r="AE217" s="53" t="str">
        <f t="shared" si="45"/>
        <v/>
      </c>
      <c r="AF217" s="53" t="str">
        <f t="shared" si="46"/>
        <v/>
      </c>
      <c r="AG217" s="53" t="str">
        <f t="shared" si="47"/>
        <v/>
      </c>
      <c r="AH217" s="53">
        <f t="shared" si="48"/>
        <v>0</v>
      </c>
      <c r="AI217" s="53">
        <f t="shared" si="49"/>
        <v>0</v>
      </c>
      <c r="AJ217" s="53">
        <f t="shared" si="50"/>
        <v>0</v>
      </c>
      <c r="AK217" s="53">
        <f t="shared" si="51"/>
        <v>0</v>
      </c>
      <c r="AL217" s="53">
        <f t="shared" si="52"/>
        <v>0</v>
      </c>
      <c r="AM217" s="53">
        <f>IF($AA217="",0,IF(INDEX(Fertilisants!$C$8:$C$47,$AA217)="Effluent d'élevage",1,0))</f>
        <v>0</v>
      </c>
      <c r="AN217" s="53" t="str">
        <f>IF($AA217="","",IF(INDEX(Fertilisants!$C$8:$C$47,$AA217)="Engrais minéral","Minéral","Organique"))</f>
        <v/>
      </c>
      <c r="AO217" s="53" t="str">
        <f t="shared" si="53"/>
        <v/>
      </c>
      <c r="AP217" s="53" t="str">
        <f t="shared" si="54"/>
        <v/>
      </c>
      <c r="AQ217" s="53" t="str">
        <f t="shared" si="55"/>
        <v/>
      </c>
      <c r="AR217" s="53" t="str">
        <f>IF(AND($D217&lt;&gt;"",$D217=FicheIlot),COUNTIF($D$8:$D217,FicheIlot),"")</f>
        <v/>
      </c>
    </row>
    <row r="218" spans="2:44" ht="18.95" customHeight="1" x14ac:dyDescent="0.25">
      <c r="B218" s="42" t="str">
        <f>IF(C218="","",COUNT($C$8:C218))</f>
        <v/>
      </c>
      <c r="C218" s="43"/>
      <c r="D218" s="44"/>
      <c r="E218" s="45" t="str">
        <f>IF($Z218="","",IF($F218=ApportCouvert,INDEX(Îlots!$I$8:$I$57,$Z218)&amp;"",INDEX(Îlots!$N$8:$N$57,$Z218)&amp;""))</f>
        <v/>
      </c>
      <c r="F218" s="44"/>
      <c r="G218" s="44"/>
      <c r="H218" s="46" t="str">
        <f>IF($AA218="","",INDEX(Fertilisants!$D$8:$D$47,$AA218)&amp;"")</f>
        <v/>
      </c>
      <c r="I218" s="47"/>
      <c r="J218" s="48"/>
      <c r="K218" s="46" t="str">
        <f>IF($AA218="","",INDEX(Fertilisants!$E$8:$E$47,$AA218)&amp;"")</f>
        <v/>
      </c>
      <c r="L218" s="49" t="str">
        <f t="shared" si="42"/>
        <v/>
      </c>
      <c r="M218" s="50" t="str">
        <f>IF(OR($J218="",$AA218=""),"",$J218*N(INDEX(Fertilisants!$G$8:$G$47,$AA218)))</f>
        <v/>
      </c>
      <c r="N218" s="50" t="str">
        <f>IF(OR($J218="",$AA218=""),"",$J218*N(INDEX(Fertilisants!$I$8:$I$47,$AA218)))</f>
        <v/>
      </c>
      <c r="O218" s="50" t="str">
        <f>IF(OR($J218="",$AA218=""),"",$J218*N(INDEX(Fertilisants!$J$8:$J$47,$AA218)))</f>
        <v/>
      </c>
      <c r="P218" s="50" t="str">
        <f>IF(OR($J218="",$AA218=""),"",$J218*N(INDEX(Fertilisants!$K$8:$K$47,$AA218)))</f>
        <v/>
      </c>
      <c r="Q218" s="50" t="str">
        <f t="shared" si="43"/>
        <v/>
      </c>
      <c r="R218" s="44"/>
      <c r="S218" s="44"/>
      <c r="T218" s="51"/>
      <c r="U218" s="44"/>
      <c r="V218" s="43"/>
      <c r="W218" s="52" t="str">
        <f t="shared" si="44"/>
        <v/>
      </c>
      <c r="X218" s="44"/>
      <c r="Z218" s="53" t="str">
        <f>IF($D218="","",IFERROR(MATCH($D218,Îlots!$D$8:$D$57,0),""))</f>
        <v/>
      </c>
      <c r="AA218" s="53" t="str">
        <f>IF($G218="","",IFERROR(MATCH($G218,Fertilisants!$B$8:$B$47,0),""))</f>
        <v/>
      </c>
      <c r="AB218" s="53" t="str">
        <f>IF($Z218="","",INDEX(Îlots!$E$8:$E$57,$Z218))</f>
        <v/>
      </c>
      <c r="AC218" s="53" t="str">
        <f>IF($Z218="","",INDEX(Îlots!$G$8:$G$57,$Z218)&amp;"")</f>
        <v/>
      </c>
      <c r="AD218" s="53" t="str">
        <f>IF($Z218="","",IF($F218=ApportCouvert,OccCouvert,INDEX(Îlots!$O$8:$O$57,$Z218)&amp;""))</f>
        <v/>
      </c>
      <c r="AE218" s="53" t="str">
        <f t="shared" si="45"/>
        <v/>
      </c>
      <c r="AF218" s="53" t="str">
        <f t="shared" si="46"/>
        <v/>
      </c>
      <c r="AG218" s="53" t="str">
        <f t="shared" si="47"/>
        <v/>
      </c>
      <c r="AH218" s="53">
        <f t="shared" si="48"/>
        <v>0</v>
      </c>
      <c r="AI218" s="53">
        <f t="shared" si="49"/>
        <v>0</v>
      </c>
      <c r="AJ218" s="53">
        <f t="shared" si="50"/>
        <v>0</v>
      </c>
      <c r="AK218" s="53">
        <f t="shared" si="51"/>
        <v>0</v>
      </c>
      <c r="AL218" s="53">
        <f t="shared" si="52"/>
        <v>0</v>
      </c>
      <c r="AM218" s="53">
        <f>IF($AA218="",0,IF(INDEX(Fertilisants!$C$8:$C$47,$AA218)="Effluent d'élevage",1,0))</f>
        <v>0</v>
      </c>
      <c r="AN218" s="53" t="str">
        <f>IF($AA218="","",IF(INDEX(Fertilisants!$C$8:$C$47,$AA218)="Engrais minéral","Minéral","Organique"))</f>
        <v/>
      </c>
      <c r="AO218" s="53" t="str">
        <f t="shared" si="53"/>
        <v/>
      </c>
      <c r="AP218" s="53" t="str">
        <f t="shared" si="54"/>
        <v/>
      </c>
      <c r="AQ218" s="53" t="str">
        <f t="shared" si="55"/>
        <v/>
      </c>
      <c r="AR218" s="53" t="str">
        <f>IF(AND($D218&lt;&gt;"",$D218=FicheIlot),COUNTIF($D$8:$D218,FicheIlot),"")</f>
        <v/>
      </c>
    </row>
    <row r="219" spans="2:44" ht="18.95" customHeight="1" x14ac:dyDescent="0.25">
      <c r="B219" s="42" t="str">
        <f>IF(C219="","",COUNT($C$8:C219))</f>
        <v/>
      </c>
      <c r="C219" s="43"/>
      <c r="D219" s="44"/>
      <c r="E219" s="45" t="str">
        <f>IF($Z219="","",IF($F219=ApportCouvert,INDEX(Îlots!$I$8:$I$57,$Z219)&amp;"",INDEX(Îlots!$N$8:$N$57,$Z219)&amp;""))</f>
        <v/>
      </c>
      <c r="F219" s="44"/>
      <c r="G219" s="44"/>
      <c r="H219" s="46" t="str">
        <f>IF($AA219="","",INDEX(Fertilisants!$D$8:$D$47,$AA219)&amp;"")</f>
        <v/>
      </c>
      <c r="I219" s="47"/>
      <c r="J219" s="48"/>
      <c r="K219" s="46" t="str">
        <f>IF($AA219="","",INDEX(Fertilisants!$E$8:$E$47,$AA219)&amp;"")</f>
        <v/>
      </c>
      <c r="L219" s="49" t="str">
        <f t="shared" si="42"/>
        <v/>
      </c>
      <c r="M219" s="50" t="str">
        <f>IF(OR($J219="",$AA219=""),"",$J219*N(INDEX(Fertilisants!$G$8:$G$47,$AA219)))</f>
        <v/>
      </c>
      <c r="N219" s="50" t="str">
        <f>IF(OR($J219="",$AA219=""),"",$J219*N(INDEX(Fertilisants!$I$8:$I$47,$AA219)))</f>
        <v/>
      </c>
      <c r="O219" s="50" t="str">
        <f>IF(OR($J219="",$AA219=""),"",$J219*N(INDEX(Fertilisants!$J$8:$J$47,$AA219)))</f>
        <v/>
      </c>
      <c r="P219" s="50" t="str">
        <f>IF(OR($J219="",$AA219=""),"",$J219*N(INDEX(Fertilisants!$K$8:$K$47,$AA219)))</f>
        <v/>
      </c>
      <c r="Q219" s="50" t="str">
        <f t="shared" si="43"/>
        <v/>
      </c>
      <c r="R219" s="44"/>
      <c r="S219" s="44"/>
      <c r="T219" s="51"/>
      <c r="U219" s="44"/>
      <c r="V219" s="43"/>
      <c r="W219" s="52" t="str">
        <f t="shared" si="44"/>
        <v/>
      </c>
      <c r="X219" s="44"/>
      <c r="Z219" s="53" t="str">
        <f>IF($D219="","",IFERROR(MATCH($D219,Îlots!$D$8:$D$57,0),""))</f>
        <v/>
      </c>
      <c r="AA219" s="53" t="str">
        <f>IF($G219="","",IFERROR(MATCH($G219,Fertilisants!$B$8:$B$47,0),""))</f>
        <v/>
      </c>
      <c r="AB219" s="53" t="str">
        <f>IF($Z219="","",INDEX(Îlots!$E$8:$E$57,$Z219))</f>
        <v/>
      </c>
      <c r="AC219" s="53" t="str">
        <f>IF($Z219="","",INDEX(Îlots!$G$8:$G$57,$Z219)&amp;"")</f>
        <v/>
      </c>
      <c r="AD219" s="53" t="str">
        <f>IF($Z219="","",IF($F219=ApportCouvert,OccCouvert,INDEX(Îlots!$O$8:$O$57,$Z219)&amp;""))</f>
        <v/>
      </c>
      <c r="AE219" s="53" t="str">
        <f t="shared" si="45"/>
        <v/>
      </c>
      <c r="AF219" s="53" t="str">
        <f t="shared" si="46"/>
        <v/>
      </c>
      <c r="AG219" s="53" t="str">
        <f t="shared" si="47"/>
        <v/>
      </c>
      <c r="AH219" s="53">
        <f t="shared" si="48"/>
        <v>0</v>
      </c>
      <c r="AI219" s="53">
        <f t="shared" si="49"/>
        <v>0</v>
      </c>
      <c r="AJ219" s="53">
        <f t="shared" si="50"/>
        <v>0</v>
      </c>
      <c r="AK219" s="53">
        <f t="shared" si="51"/>
        <v>0</v>
      </c>
      <c r="AL219" s="53">
        <f t="shared" si="52"/>
        <v>0</v>
      </c>
      <c r="AM219" s="53">
        <f>IF($AA219="",0,IF(INDEX(Fertilisants!$C$8:$C$47,$AA219)="Effluent d'élevage",1,0))</f>
        <v>0</v>
      </c>
      <c r="AN219" s="53" t="str">
        <f>IF($AA219="","",IF(INDEX(Fertilisants!$C$8:$C$47,$AA219)="Engrais minéral","Minéral","Organique"))</f>
        <v/>
      </c>
      <c r="AO219" s="53" t="str">
        <f t="shared" si="53"/>
        <v/>
      </c>
      <c r="AP219" s="53" t="str">
        <f t="shared" si="54"/>
        <v/>
      </c>
      <c r="AQ219" s="53" t="str">
        <f t="shared" si="55"/>
        <v/>
      </c>
      <c r="AR219" s="53" t="str">
        <f>IF(AND($D219&lt;&gt;"",$D219=FicheIlot),COUNTIF($D$8:$D219,FicheIlot),"")</f>
        <v/>
      </c>
    </row>
    <row r="220" spans="2:44" ht="18.95" customHeight="1" x14ac:dyDescent="0.25">
      <c r="B220" s="42" t="str">
        <f>IF(C220="","",COUNT($C$8:C220))</f>
        <v/>
      </c>
      <c r="C220" s="43"/>
      <c r="D220" s="44"/>
      <c r="E220" s="45" t="str">
        <f>IF($Z220="","",IF($F220=ApportCouvert,INDEX(Îlots!$I$8:$I$57,$Z220)&amp;"",INDEX(Îlots!$N$8:$N$57,$Z220)&amp;""))</f>
        <v/>
      </c>
      <c r="F220" s="44"/>
      <c r="G220" s="44"/>
      <c r="H220" s="46" t="str">
        <f>IF($AA220="","",INDEX(Fertilisants!$D$8:$D$47,$AA220)&amp;"")</f>
        <v/>
      </c>
      <c r="I220" s="47"/>
      <c r="J220" s="48"/>
      <c r="K220" s="46" t="str">
        <f>IF($AA220="","",INDEX(Fertilisants!$E$8:$E$47,$AA220)&amp;"")</f>
        <v/>
      </c>
      <c r="L220" s="49" t="str">
        <f t="shared" si="42"/>
        <v/>
      </c>
      <c r="M220" s="50" t="str">
        <f>IF(OR($J220="",$AA220=""),"",$J220*N(INDEX(Fertilisants!$G$8:$G$47,$AA220)))</f>
        <v/>
      </c>
      <c r="N220" s="50" t="str">
        <f>IF(OR($J220="",$AA220=""),"",$J220*N(INDEX(Fertilisants!$I$8:$I$47,$AA220)))</f>
        <v/>
      </c>
      <c r="O220" s="50" t="str">
        <f>IF(OR($J220="",$AA220=""),"",$J220*N(INDEX(Fertilisants!$J$8:$J$47,$AA220)))</f>
        <v/>
      </c>
      <c r="P220" s="50" t="str">
        <f>IF(OR($J220="",$AA220=""),"",$J220*N(INDEX(Fertilisants!$K$8:$K$47,$AA220)))</f>
        <v/>
      </c>
      <c r="Q220" s="50" t="str">
        <f t="shared" si="43"/>
        <v/>
      </c>
      <c r="R220" s="44"/>
      <c r="S220" s="44"/>
      <c r="T220" s="51"/>
      <c r="U220" s="44"/>
      <c r="V220" s="43"/>
      <c r="W220" s="52" t="str">
        <f t="shared" si="44"/>
        <v/>
      </c>
      <c r="X220" s="44"/>
      <c r="Z220" s="53" t="str">
        <f>IF($D220="","",IFERROR(MATCH($D220,Îlots!$D$8:$D$57,0),""))</f>
        <v/>
      </c>
      <c r="AA220" s="53" t="str">
        <f>IF($G220="","",IFERROR(MATCH($G220,Fertilisants!$B$8:$B$47,0),""))</f>
        <v/>
      </c>
      <c r="AB220" s="53" t="str">
        <f>IF($Z220="","",INDEX(Îlots!$E$8:$E$57,$Z220))</f>
        <v/>
      </c>
      <c r="AC220" s="53" t="str">
        <f>IF($Z220="","",INDEX(Îlots!$G$8:$G$57,$Z220)&amp;"")</f>
        <v/>
      </c>
      <c r="AD220" s="53" t="str">
        <f>IF($Z220="","",IF($F220=ApportCouvert,OccCouvert,INDEX(Îlots!$O$8:$O$57,$Z220)&amp;""))</f>
        <v/>
      </c>
      <c r="AE220" s="53" t="str">
        <f t="shared" si="45"/>
        <v/>
      </c>
      <c r="AF220" s="53" t="str">
        <f t="shared" si="46"/>
        <v/>
      </c>
      <c r="AG220" s="53" t="str">
        <f t="shared" si="47"/>
        <v/>
      </c>
      <c r="AH220" s="53">
        <f t="shared" si="48"/>
        <v>0</v>
      </c>
      <c r="AI220" s="53">
        <f t="shared" si="49"/>
        <v>0</v>
      </c>
      <c r="AJ220" s="53">
        <f t="shared" si="50"/>
        <v>0</v>
      </c>
      <c r="AK220" s="53">
        <f t="shared" si="51"/>
        <v>0</v>
      </c>
      <c r="AL220" s="53">
        <f t="shared" si="52"/>
        <v>0</v>
      </c>
      <c r="AM220" s="53">
        <f>IF($AA220="",0,IF(INDEX(Fertilisants!$C$8:$C$47,$AA220)="Effluent d'élevage",1,0))</f>
        <v>0</v>
      </c>
      <c r="AN220" s="53" t="str">
        <f>IF($AA220="","",IF(INDEX(Fertilisants!$C$8:$C$47,$AA220)="Engrais minéral","Minéral","Organique"))</f>
        <v/>
      </c>
      <c r="AO220" s="53" t="str">
        <f t="shared" si="53"/>
        <v/>
      </c>
      <c r="AP220" s="53" t="str">
        <f t="shared" si="54"/>
        <v/>
      </c>
      <c r="AQ220" s="53" t="str">
        <f t="shared" si="55"/>
        <v/>
      </c>
      <c r="AR220" s="53" t="str">
        <f>IF(AND($D220&lt;&gt;"",$D220=FicheIlot),COUNTIF($D$8:$D220,FicheIlot),"")</f>
        <v/>
      </c>
    </row>
    <row r="221" spans="2:44" ht="18.95" customHeight="1" x14ac:dyDescent="0.25">
      <c r="B221" s="42" t="str">
        <f>IF(C221="","",COUNT($C$8:C221))</f>
        <v/>
      </c>
      <c r="C221" s="43"/>
      <c r="D221" s="44"/>
      <c r="E221" s="45" t="str">
        <f>IF($Z221="","",IF($F221=ApportCouvert,INDEX(Îlots!$I$8:$I$57,$Z221)&amp;"",INDEX(Îlots!$N$8:$N$57,$Z221)&amp;""))</f>
        <v/>
      </c>
      <c r="F221" s="44"/>
      <c r="G221" s="44"/>
      <c r="H221" s="46" t="str">
        <f>IF($AA221="","",INDEX(Fertilisants!$D$8:$D$47,$AA221)&amp;"")</f>
        <v/>
      </c>
      <c r="I221" s="47"/>
      <c r="J221" s="48"/>
      <c r="K221" s="46" t="str">
        <f>IF($AA221="","",INDEX(Fertilisants!$E$8:$E$47,$AA221)&amp;"")</f>
        <v/>
      </c>
      <c r="L221" s="49" t="str">
        <f t="shared" si="42"/>
        <v/>
      </c>
      <c r="M221" s="50" t="str">
        <f>IF(OR($J221="",$AA221=""),"",$J221*N(INDEX(Fertilisants!$G$8:$G$47,$AA221)))</f>
        <v/>
      </c>
      <c r="N221" s="50" t="str">
        <f>IF(OR($J221="",$AA221=""),"",$J221*N(INDEX(Fertilisants!$I$8:$I$47,$AA221)))</f>
        <v/>
      </c>
      <c r="O221" s="50" t="str">
        <f>IF(OR($J221="",$AA221=""),"",$J221*N(INDEX(Fertilisants!$J$8:$J$47,$AA221)))</f>
        <v/>
      </c>
      <c r="P221" s="50" t="str">
        <f>IF(OR($J221="",$AA221=""),"",$J221*N(INDEX(Fertilisants!$K$8:$K$47,$AA221)))</f>
        <v/>
      </c>
      <c r="Q221" s="50" t="str">
        <f t="shared" si="43"/>
        <v/>
      </c>
      <c r="R221" s="44"/>
      <c r="S221" s="44"/>
      <c r="T221" s="51"/>
      <c r="U221" s="44"/>
      <c r="V221" s="43"/>
      <c r="W221" s="52" t="str">
        <f t="shared" si="44"/>
        <v/>
      </c>
      <c r="X221" s="44"/>
      <c r="Z221" s="53" t="str">
        <f>IF($D221="","",IFERROR(MATCH($D221,Îlots!$D$8:$D$57,0),""))</f>
        <v/>
      </c>
      <c r="AA221" s="53" t="str">
        <f>IF($G221="","",IFERROR(MATCH($G221,Fertilisants!$B$8:$B$47,0),""))</f>
        <v/>
      </c>
      <c r="AB221" s="53" t="str">
        <f>IF($Z221="","",INDEX(Îlots!$E$8:$E$57,$Z221))</f>
        <v/>
      </c>
      <c r="AC221" s="53" t="str">
        <f>IF($Z221="","",INDEX(Îlots!$G$8:$G$57,$Z221)&amp;"")</f>
        <v/>
      </c>
      <c r="AD221" s="53" t="str">
        <f>IF($Z221="","",IF($F221=ApportCouvert,OccCouvert,INDEX(Îlots!$O$8:$O$57,$Z221)&amp;""))</f>
        <v/>
      </c>
      <c r="AE221" s="53" t="str">
        <f t="shared" si="45"/>
        <v/>
      </c>
      <c r="AF221" s="53" t="str">
        <f t="shared" si="46"/>
        <v/>
      </c>
      <c r="AG221" s="53" t="str">
        <f t="shared" si="47"/>
        <v/>
      </c>
      <c r="AH221" s="53">
        <f t="shared" si="48"/>
        <v>0</v>
      </c>
      <c r="AI221" s="53">
        <f t="shared" si="49"/>
        <v>0</v>
      </c>
      <c r="AJ221" s="53">
        <f t="shared" si="50"/>
        <v>0</v>
      </c>
      <c r="AK221" s="53">
        <f t="shared" si="51"/>
        <v>0</v>
      </c>
      <c r="AL221" s="53">
        <f t="shared" si="52"/>
        <v>0</v>
      </c>
      <c r="AM221" s="53">
        <f>IF($AA221="",0,IF(INDEX(Fertilisants!$C$8:$C$47,$AA221)="Effluent d'élevage",1,0))</f>
        <v>0</v>
      </c>
      <c r="AN221" s="53" t="str">
        <f>IF($AA221="","",IF(INDEX(Fertilisants!$C$8:$C$47,$AA221)="Engrais minéral","Minéral","Organique"))</f>
        <v/>
      </c>
      <c r="AO221" s="53" t="str">
        <f t="shared" si="53"/>
        <v/>
      </c>
      <c r="AP221" s="53" t="str">
        <f t="shared" si="54"/>
        <v/>
      </c>
      <c r="AQ221" s="53" t="str">
        <f t="shared" si="55"/>
        <v/>
      </c>
      <c r="AR221" s="53" t="str">
        <f>IF(AND($D221&lt;&gt;"",$D221=FicheIlot),COUNTIF($D$8:$D221,FicheIlot),"")</f>
        <v/>
      </c>
    </row>
    <row r="222" spans="2:44" ht="18.95" customHeight="1" x14ac:dyDescent="0.25">
      <c r="B222" s="42" t="str">
        <f>IF(C222="","",COUNT($C$8:C222))</f>
        <v/>
      </c>
      <c r="C222" s="43"/>
      <c r="D222" s="44"/>
      <c r="E222" s="45" t="str">
        <f>IF($Z222="","",IF($F222=ApportCouvert,INDEX(Îlots!$I$8:$I$57,$Z222)&amp;"",INDEX(Îlots!$N$8:$N$57,$Z222)&amp;""))</f>
        <v/>
      </c>
      <c r="F222" s="44"/>
      <c r="G222" s="44"/>
      <c r="H222" s="46" t="str">
        <f>IF($AA222="","",INDEX(Fertilisants!$D$8:$D$47,$AA222)&amp;"")</f>
        <v/>
      </c>
      <c r="I222" s="47"/>
      <c r="J222" s="48"/>
      <c r="K222" s="46" t="str">
        <f>IF($AA222="","",INDEX(Fertilisants!$E$8:$E$47,$AA222)&amp;"")</f>
        <v/>
      </c>
      <c r="L222" s="49" t="str">
        <f t="shared" si="42"/>
        <v/>
      </c>
      <c r="M222" s="50" t="str">
        <f>IF(OR($J222="",$AA222=""),"",$J222*N(INDEX(Fertilisants!$G$8:$G$47,$AA222)))</f>
        <v/>
      </c>
      <c r="N222" s="50" t="str">
        <f>IF(OR($J222="",$AA222=""),"",$J222*N(INDEX(Fertilisants!$I$8:$I$47,$AA222)))</f>
        <v/>
      </c>
      <c r="O222" s="50" t="str">
        <f>IF(OR($J222="",$AA222=""),"",$J222*N(INDEX(Fertilisants!$J$8:$J$47,$AA222)))</f>
        <v/>
      </c>
      <c r="P222" s="50" t="str">
        <f>IF(OR($J222="",$AA222=""),"",$J222*N(INDEX(Fertilisants!$K$8:$K$47,$AA222)))</f>
        <v/>
      </c>
      <c r="Q222" s="50" t="str">
        <f t="shared" si="43"/>
        <v/>
      </c>
      <c r="R222" s="44"/>
      <c r="S222" s="44"/>
      <c r="T222" s="51"/>
      <c r="U222" s="44"/>
      <c r="V222" s="43"/>
      <c r="W222" s="52" t="str">
        <f t="shared" si="44"/>
        <v/>
      </c>
      <c r="X222" s="44"/>
      <c r="Z222" s="53" t="str">
        <f>IF($D222="","",IFERROR(MATCH($D222,Îlots!$D$8:$D$57,0),""))</f>
        <v/>
      </c>
      <c r="AA222" s="53" t="str">
        <f>IF($G222="","",IFERROR(MATCH($G222,Fertilisants!$B$8:$B$47,0),""))</f>
        <v/>
      </c>
      <c r="AB222" s="53" t="str">
        <f>IF($Z222="","",INDEX(Îlots!$E$8:$E$57,$Z222))</f>
        <v/>
      </c>
      <c r="AC222" s="53" t="str">
        <f>IF($Z222="","",INDEX(Îlots!$G$8:$G$57,$Z222)&amp;"")</f>
        <v/>
      </c>
      <c r="AD222" s="53" t="str">
        <f>IF($Z222="","",IF($F222=ApportCouvert,OccCouvert,INDEX(Îlots!$O$8:$O$57,$Z222)&amp;""))</f>
        <v/>
      </c>
      <c r="AE222" s="53" t="str">
        <f t="shared" si="45"/>
        <v/>
      </c>
      <c r="AF222" s="53" t="str">
        <f t="shared" si="46"/>
        <v/>
      </c>
      <c r="AG222" s="53" t="str">
        <f t="shared" si="47"/>
        <v/>
      </c>
      <c r="AH222" s="53">
        <f t="shared" si="48"/>
        <v>0</v>
      </c>
      <c r="AI222" s="53">
        <f t="shared" si="49"/>
        <v>0</v>
      </c>
      <c r="AJ222" s="53">
        <f t="shared" si="50"/>
        <v>0</v>
      </c>
      <c r="AK222" s="53">
        <f t="shared" si="51"/>
        <v>0</v>
      </c>
      <c r="AL222" s="53">
        <f t="shared" si="52"/>
        <v>0</v>
      </c>
      <c r="AM222" s="53">
        <f>IF($AA222="",0,IF(INDEX(Fertilisants!$C$8:$C$47,$AA222)="Effluent d'élevage",1,0))</f>
        <v>0</v>
      </c>
      <c r="AN222" s="53" t="str">
        <f>IF($AA222="","",IF(INDEX(Fertilisants!$C$8:$C$47,$AA222)="Engrais minéral","Minéral","Organique"))</f>
        <v/>
      </c>
      <c r="AO222" s="53" t="str">
        <f t="shared" si="53"/>
        <v/>
      </c>
      <c r="AP222" s="53" t="str">
        <f t="shared" si="54"/>
        <v/>
      </c>
      <c r="AQ222" s="53" t="str">
        <f t="shared" si="55"/>
        <v/>
      </c>
      <c r="AR222" s="53" t="str">
        <f>IF(AND($D222&lt;&gt;"",$D222=FicheIlot),COUNTIF($D$8:$D222,FicheIlot),"")</f>
        <v/>
      </c>
    </row>
    <row r="223" spans="2:44" ht="18.95" customHeight="1" x14ac:dyDescent="0.25">
      <c r="B223" s="42" t="str">
        <f>IF(C223="","",COUNT($C$8:C223))</f>
        <v/>
      </c>
      <c r="C223" s="43"/>
      <c r="D223" s="44"/>
      <c r="E223" s="45" t="str">
        <f>IF($Z223="","",IF($F223=ApportCouvert,INDEX(Îlots!$I$8:$I$57,$Z223)&amp;"",INDEX(Îlots!$N$8:$N$57,$Z223)&amp;""))</f>
        <v/>
      </c>
      <c r="F223" s="44"/>
      <c r="G223" s="44"/>
      <c r="H223" s="46" t="str">
        <f>IF($AA223="","",INDEX(Fertilisants!$D$8:$D$47,$AA223)&amp;"")</f>
        <v/>
      </c>
      <c r="I223" s="47"/>
      <c r="J223" s="48"/>
      <c r="K223" s="46" t="str">
        <f>IF($AA223="","",INDEX(Fertilisants!$E$8:$E$47,$AA223)&amp;"")</f>
        <v/>
      </c>
      <c r="L223" s="49" t="str">
        <f t="shared" si="42"/>
        <v/>
      </c>
      <c r="M223" s="50" t="str">
        <f>IF(OR($J223="",$AA223=""),"",$J223*N(INDEX(Fertilisants!$G$8:$G$47,$AA223)))</f>
        <v/>
      </c>
      <c r="N223" s="50" t="str">
        <f>IF(OR($J223="",$AA223=""),"",$J223*N(INDEX(Fertilisants!$I$8:$I$47,$AA223)))</f>
        <v/>
      </c>
      <c r="O223" s="50" t="str">
        <f>IF(OR($J223="",$AA223=""),"",$J223*N(INDEX(Fertilisants!$J$8:$J$47,$AA223)))</f>
        <v/>
      </c>
      <c r="P223" s="50" t="str">
        <f>IF(OR($J223="",$AA223=""),"",$J223*N(INDEX(Fertilisants!$K$8:$K$47,$AA223)))</f>
        <v/>
      </c>
      <c r="Q223" s="50" t="str">
        <f t="shared" si="43"/>
        <v/>
      </c>
      <c r="R223" s="44"/>
      <c r="S223" s="44"/>
      <c r="T223" s="51"/>
      <c r="U223" s="44"/>
      <c r="V223" s="43"/>
      <c r="W223" s="52" t="str">
        <f t="shared" si="44"/>
        <v/>
      </c>
      <c r="X223" s="44"/>
      <c r="Z223" s="53" t="str">
        <f>IF($D223="","",IFERROR(MATCH($D223,Îlots!$D$8:$D$57,0),""))</f>
        <v/>
      </c>
      <c r="AA223" s="53" t="str">
        <f>IF($G223="","",IFERROR(MATCH($G223,Fertilisants!$B$8:$B$47,0),""))</f>
        <v/>
      </c>
      <c r="AB223" s="53" t="str">
        <f>IF($Z223="","",INDEX(Îlots!$E$8:$E$57,$Z223))</f>
        <v/>
      </c>
      <c r="AC223" s="53" t="str">
        <f>IF($Z223="","",INDEX(Îlots!$G$8:$G$57,$Z223)&amp;"")</f>
        <v/>
      </c>
      <c r="AD223" s="53" t="str">
        <f>IF($Z223="","",IF($F223=ApportCouvert,OccCouvert,INDEX(Îlots!$O$8:$O$57,$Z223)&amp;""))</f>
        <v/>
      </c>
      <c r="AE223" s="53" t="str">
        <f t="shared" si="45"/>
        <v/>
      </c>
      <c r="AF223" s="53" t="str">
        <f t="shared" si="46"/>
        <v/>
      </c>
      <c r="AG223" s="53" t="str">
        <f t="shared" si="47"/>
        <v/>
      </c>
      <c r="AH223" s="53">
        <f t="shared" si="48"/>
        <v>0</v>
      </c>
      <c r="AI223" s="53">
        <f t="shared" si="49"/>
        <v>0</v>
      </c>
      <c r="AJ223" s="53">
        <f t="shared" si="50"/>
        <v>0</v>
      </c>
      <c r="AK223" s="53">
        <f t="shared" si="51"/>
        <v>0</v>
      </c>
      <c r="AL223" s="53">
        <f t="shared" si="52"/>
        <v>0</v>
      </c>
      <c r="AM223" s="53">
        <f>IF($AA223="",0,IF(INDEX(Fertilisants!$C$8:$C$47,$AA223)="Effluent d'élevage",1,0))</f>
        <v>0</v>
      </c>
      <c r="AN223" s="53" t="str">
        <f>IF($AA223="","",IF(INDEX(Fertilisants!$C$8:$C$47,$AA223)="Engrais minéral","Minéral","Organique"))</f>
        <v/>
      </c>
      <c r="AO223" s="53" t="str">
        <f t="shared" si="53"/>
        <v/>
      </c>
      <c r="AP223" s="53" t="str">
        <f t="shared" si="54"/>
        <v/>
      </c>
      <c r="AQ223" s="53" t="str">
        <f t="shared" si="55"/>
        <v/>
      </c>
      <c r="AR223" s="53" t="str">
        <f>IF(AND($D223&lt;&gt;"",$D223=FicheIlot),COUNTIF($D$8:$D223,FicheIlot),"")</f>
        <v/>
      </c>
    </row>
    <row r="224" spans="2:44" ht="18.95" customHeight="1" x14ac:dyDescent="0.25">
      <c r="B224" s="42" t="str">
        <f>IF(C224="","",COUNT($C$8:C224))</f>
        <v/>
      </c>
      <c r="C224" s="43"/>
      <c r="D224" s="44"/>
      <c r="E224" s="45" t="str">
        <f>IF($Z224="","",IF($F224=ApportCouvert,INDEX(Îlots!$I$8:$I$57,$Z224)&amp;"",INDEX(Îlots!$N$8:$N$57,$Z224)&amp;""))</f>
        <v/>
      </c>
      <c r="F224" s="44"/>
      <c r="G224" s="44"/>
      <c r="H224" s="46" t="str">
        <f>IF($AA224="","",INDEX(Fertilisants!$D$8:$D$47,$AA224)&amp;"")</f>
        <v/>
      </c>
      <c r="I224" s="47"/>
      <c r="J224" s="48"/>
      <c r="K224" s="46" t="str">
        <f>IF($AA224="","",INDEX(Fertilisants!$E$8:$E$47,$AA224)&amp;"")</f>
        <v/>
      </c>
      <c r="L224" s="49" t="str">
        <f t="shared" si="42"/>
        <v/>
      </c>
      <c r="M224" s="50" t="str">
        <f>IF(OR($J224="",$AA224=""),"",$J224*N(INDEX(Fertilisants!$G$8:$G$47,$AA224)))</f>
        <v/>
      </c>
      <c r="N224" s="50" t="str">
        <f>IF(OR($J224="",$AA224=""),"",$J224*N(INDEX(Fertilisants!$I$8:$I$47,$AA224)))</f>
        <v/>
      </c>
      <c r="O224" s="50" t="str">
        <f>IF(OR($J224="",$AA224=""),"",$J224*N(INDEX(Fertilisants!$J$8:$J$47,$AA224)))</f>
        <v/>
      </c>
      <c r="P224" s="50" t="str">
        <f>IF(OR($J224="",$AA224=""),"",$J224*N(INDEX(Fertilisants!$K$8:$K$47,$AA224)))</f>
        <v/>
      </c>
      <c r="Q224" s="50" t="str">
        <f t="shared" si="43"/>
        <v/>
      </c>
      <c r="R224" s="44"/>
      <c r="S224" s="44"/>
      <c r="T224" s="51"/>
      <c r="U224" s="44"/>
      <c r="V224" s="43"/>
      <c r="W224" s="52" t="str">
        <f t="shared" si="44"/>
        <v/>
      </c>
      <c r="X224" s="44"/>
      <c r="Z224" s="53" t="str">
        <f>IF($D224="","",IFERROR(MATCH($D224,Îlots!$D$8:$D$57,0),""))</f>
        <v/>
      </c>
      <c r="AA224" s="53" t="str">
        <f>IF($G224="","",IFERROR(MATCH($G224,Fertilisants!$B$8:$B$47,0),""))</f>
        <v/>
      </c>
      <c r="AB224" s="53" t="str">
        <f>IF($Z224="","",INDEX(Îlots!$E$8:$E$57,$Z224))</f>
        <v/>
      </c>
      <c r="AC224" s="53" t="str">
        <f>IF($Z224="","",INDEX(Îlots!$G$8:$G$57,$Z224)&amp;"")</f>
        <v/>
      </c>
      <c r="AD224" s="53" t="str">
        <f>IF($Z224="","",IF($F224=ApportCouvert,OccCouvert,INDEX(Îlots!$O$8:$O$57,$Z224)&amp;""))</f>
        <v/>
      </c>
      <c r="AE224" s="53" t="str">
        <f t="shared" si="45"/>
        <v/>
      </c>
      <c r="AF224" s="53" t="str">
        <f t="shared" si="46"/>
        <v/>
      </c>
      <c r="AG224" s="53" t="str">
        <f t="shared" si="47"/>
        <v/>
      </c>
      <c r="AH224" s="53">
        <f t="shared" si="48"/>
        <v>0</v>
      </c>
      <c r="AI224" s="53">
        <f t="shared" si="49"/>
        <v>0</v>
      </c>
      <c r="AJ224" s="53">
        <f t="shared" si="50"/>
        <v>0</v>
      </c>
      <c r="AK224" s="53">
        <f t="shared" si="51"/>
        <v>0</v>
      </c>
      <c r="AL224" s="53">
        <f t="shared" si="52"/>
        <v>0</v>
      </c>
      <c r="AM224" s="53">
        <f>IF($AA224="",0,IF(INDEX(Fertilisants!$C$8:$C$47,$AA224)="Effluent d'élevage",1,0))</f>
        <v>0</v>
      </c>
      <c r="AN224" s="53" t="str">
        <f>IF($AA224="","",IF(INDEX(Fertilisants!$C$8:$C$47,$AA224)="Engrais minéral","Minéral","Organique"))</f>
        <v/>
      </c>
      <c r="AO224" s="53" t="str">
        <f t="shared" si="53"/>
        <v/>
      </c>
      <c r="AP224" s="53" t="str">
        <f t="shared" si="54"/>
        <v/>
      </c>
      <c r="AQ224" s="53" t="str">
        <f t="shared" si="55"/>
        <v/>
      </c>
      <c r="AR224" s="53" t="str">
        <f>IF(AND($D224&lt;&gt;"",$D224=FicheIlot),COUNTIF($D$8:$D224,FicheIlot),"")</f>
        <v/>
      </c>
    </row>
    <row r="225" spans="2:44" ht="18.95" customHeight="1" x14ac:dyDescent="0.25">
      <c r="B225" s="42" t="str">
        <f>IF(C225="","",COUNT($C$8:C225))</f>
        <v/>
      </c>
      <c r="C225" s="43"/>
      <c r="D225" s="44"/>
      <c r="E225" s="45" t="str">
        <f>IF($Z225="","",IF($F225=ApportCouvert,INDEX(Îlots!$I$8:$I$57,$Z225)&amp;"",INDEX(Îlots!$N$8:$N$57,$Z225)&amp;""))</f>
        <v/>
      </c>
      <c r="F225" s="44"/>
      <c r="G225" s="44"/>
      <c r="H225" s="46" t="str">
        <f>IF($AA225="","",INDEX(Fertilisants!$D$8:$D$47,$AA225)&amp;"")</f>
        <v/>
      </c>
      <c r="I225" s="47"/>
      <c r="J225" s="48"/>
      <c r="K225" s="46" t="str">
        <f>IF($AA225="","",INDEX(Fertilisants!$E$8:$E$47,$AA225)&amp;"")</f>
        <v/>
      </c>
      <c r="L225" s="49" t="str">
        <f t="shared" si="42"/>
        <v/>
      </c>
      <c r="M225" s="50" t="str">
        <f>IF(OR($J225="",$AA225=""),"",$J225*N(INDEX(Fertilisants!$G$8:$G$47,$AA225)))</f>
        <v/>
      </c>
      <c r="N225" s="50" t="str">
        <f>IF(OR($J225="",$AA225=""),"",$J225*N(INDEX(Fertilisants!$I$8:$I$47,$AA225)))</f>
        <v/>
      </c>
      <c r="O225" s="50" t="str">
        <f>IF(OR($J225="",$AA225=""),"",$J225*N(INDEX(Fertilisants!$J$8:$J$47,$AA225)))</f>
        <v/>
      </c>
      <c r="P225" s="50" t="str">
        <f>IF(OR($J225="",$AA225=""),"",$J225*N(INDEX(Fertilisants!$K$8:$K$47,$AA225)))</f>
        <v/>
      </c>
      <c r="Q225" s="50" t="str">
        <f t="shared" si="43"/>
        <v/>
      </c>
      <c r="R225" s="44"/>
      <c r="S225" s="44"/>
      <c r="T225" s="51"/>
      <c r="U225" s="44"/>
      <c r="V225" s="43"/>
      <c r="W225" s="52" t="str">
        <f t="shared" si="44"/>
        <v/>
      </c>
      <c r="X225" s="44"/>
      <c r="Z225" s="53" t="str">
        <f>IF($D225="","",IFERROR(MATCH($D225,Îlots!$D$8:$D$57,0),""))</f>
        <v/>
      </c>
      <c r="AA225" s="53" t="str">
        <f>IF($G225="","",IFERROR(MATCH($G225,Fertilisants!$B$8:$B$47,0),""))</f>
        <v/>
      </c>
      <c r="AB225" s="53" t="str">
        <f>IF($Z225="","",INDEX(Îlots!$E$8:$E$57,$Z225))</f>
        <v/>
      </c>
      <c r="AC225" s="53" t="str">
        <f>IF($Z225="","",INDEX(Îlots!$G$8:$G$57,$Z225)&amp;"")</f>
        <v/>
      </c>
      <c r="AD225" s="53" t="str">
        <f>IF($Z225="","",IF($F225=ApportCouvert,OccCouvert,INDEX(Îlots!$O$8:$O$57,$Z225)&amp;""))</f>
        <v/>
      </c>
      <c r="AE225" s="53" t="str">
        <f t="shared" si="45"/>
        <v/>
      </c>
      <c r="AF225" s="53" t="str">
        <f t="shared" si="46"/>
        <v/>
      </c>
      <c r="AG225" s="53" t="str">
        <f t="shared" si="47"/>
        <v/>
      </c>
      <c r="AH225" s="53">
        <f t="shared" si="48"/>
        <v>0</v>
      </c>
      <c r="AI225" s="53">
        <f t="shared" si="49"/>
        <v>0</v>
      </c>
      <c r="AJ225" s="53">
        <f t="shared" si="50"/>
        <v>0</v>
      </c>
      <c r="AK225" s="53">
        <f t="shared" si="51"/>
        <v>0</v>
      </c>
      <c r="AL225" s="53">
        <f t="shared" si="52"/>
        <v>0</v>
      </c>
      <c r="AM225" s="53">
        <f>IF($AA225="",0,IF(INDEX(Fertilisants!$C$8:$C$47,$AA225)="Effluent d'élevage",1,0))</f>
        <v>0</v>
      </c>
      <c r="AN225" s="53" t="str">
        <f>IF($AA225="","",IF(INDEX(Fertilisants!$C$8:$C$47,$AA225)="Engrais minéral","Minéral","Organique"))</f>
        <v/>
      </c>
      <c r="AO225" s="53" t="str">
        <f t="shared" si="53"/>
        <v/>
      </c>
      <c r="AP225" s="53" t="str">
        <f t="shared" si="54"/>
        <v/>
      </c>
      <c r="AQ225" s="53" t="str">
        <f t="shared" si="55"/>
        <v/>
      </c>
      <c r="AR225" s="53" t="str">
        <f>IF(AND($D225&lt;&gt;"",$D225=FicheIlot),COUNTIF($D$8:$D225,FicheIlot),"")</f>
        <v/>
      </c>
    </row>
    <row r="226" spans="2:44" ht="18.95" customHeight="1" x14ac:dyDescent="0.25">
      <c r="B226" s="42" t="str">
        <f>IF(C226="","",COUNT($C$8:C226))</f>
        <v/>
      </c>
      <c r="C226" s="43"/>
      <c r="D226" s="44"/>
      <c r="E226" s="45" t="str">
        <f>IF($Z226="","",IF($F226=ApportCouvert,INDEX(Îlots!$I$8:$I$57,$Z226)&amp;"",INDEX(Îlots!$N$8:$N$57,$Z226)&amp;""))</f>
        <v/>
      </c>
      <c r="F226" s="44"/>
      <c r="G226" s="44"/>
      <c r="H226" s="46" t="str">
        <f>IF($AA226="","",INDEX(Fertilisants!$D$8:$D$47,$AA226)&amp;"")</f>
        <v/>
      </c>
      <c r="I226" s="47"/>
      <c r="J226" s="48"/>
      <c r="K226" s="46" t="str">
        <f>IF($AA226="","",INDEX(Fertilisants!$E$8:$E$47,$AA226)&amp;"")</f>
        <v/>
      </c>
      <c r="L226" s="49" t="str">
        <f t="shared" si="42"/>
        <v/>
      </c>
      <c r="M226" s="50" t="str">
        <f>IF(OR($J226="",$AA226=""),"",$J226*N(INDEX(Fertilisants!$G$8:$G$47,$AA226)))</f>
        <v/>
      </c>
      <c r="N226" s="50" t="str">
        <f>IF(OR($J226="",$AA226=""),"",$J226*N(INDEX(Fertilisants!$I$8:$I$47,$AA226)))</f>
        <v/>
      </c>
      <c r="O226" s="50" t="str">
        <f>IF(OR($J226="",$AA226=""),"",$J226*N(INDEX(Fertilisants!$J$8:$J$47,$AA226)))</f>
        <v/>
      </c>
      <c r="P226" s="50" t="str">
        <f>IF(OR($J226="",$AA226=""),"",$J226*N(INDEX(Fertilisants!$K$8:$K$47,$AA226)))</f>
        <v/>
      </c>
      <c r="Q226" s="50" t="str">
        <f t="shared" si="43"/>
        <v/>
      </c>
      <c r="R226" s="44"/>
      <c r="S226" s="44"/>
      <c r="T226" s="51"/>
      <c r="U226" s="44"/>
      <c r="V226" s="43"/>
      <c r="W226" s="52" t="str">
        <f t="shared" si="44"/>
        <v/>
      </c>
      <c r="X226" s="44"/>
      <c r="Z226" s="53" t="str">
        <f>IF($D226="","",IFERROR(MATCH($D226,Îlots!$D$8:$D$57,0),""))</f>
        <v/>
      </c>
      <c r="AA226" s="53" t="str">
        <f>IF($G226="","",IFERROR(MATCH($G226,Fertilisants!$B$8:$B$47,0),""))</f>
        <v/>
      </c>
      <c r="AB226" s="53" t="str">
        <f>IF($Z226="","",INDEX(Îlots!$E$8:$E$57,$Z226))</f>
        <v/>
      </c>
      <c r="AC226" s="53" t="str">
        <f>IF($Z226="","",INDEX(Îlots!$G$8:$G$57,$Z226)&amp;"")</f>
        <v/>
      </c>
      <c r="AD226" s="53" t="str">
        <f>IF($Z226="","",IF($F226=ApportCouvert,OccCouvert,INDEX(Îlots!$O$8:$O$57,$Z226)&amp;""))</f>
        <v/>
      </c>
      <c r="AE226" s="53" t="str">
        <f t="shared" si="45"/>
        <v/>
      </c>
      <c r="AF226" s="53" t="str">
        <f t="shared" si="46"/>
        <v/>
      </c>
      <c r="AG226" s="53" t="str">
        <f t="shared" si="47"/>
        <v/>
      </c>
      <c r="AH226" s="53">
        <f t="shared" si="48"/>
        <v>0</v>
      </c>
      <c r="AI226" s="53">
        <f t="shared" si="49"/>
        <v>0</v>
      </c>
      <c r="AJ226" s="53">
        <f t="shared" si="50"/>
        <v>0</v>
      </c>
      <c r="AK226" s="53">
        <f t="shared" si="51"/>
        <v>0</v>
      </c>
      <c r="AL226" s="53">
        <f t="shared" si="52"/>
        <v>0</v>
      </c>
      <c r="AM226" s="53">
        <f>IF($AA226="",0,IF(INDEX(Fertilisants!$C$8:$C$47,$AA226)="Effluent d'élevage",1,0))</f>
        <v>0</v>
      </c>
      <c r="AN226" s="53" t="str">
        <f>IF($AA226="","",IF(INDEX(Fertilisants!$C$8:$C$47,$AA226)="Engrais minéral","Minéral","Organique"))</f>
        <v/>
      </c>
      <c r="AO226" s="53" t="str">
        <f t="shared" si="53"/>
        <v/>
      </c>
      <c r="AP226" s="53" t="str">
        <f t="shared" si="54"/>
        <v/>
      </c>
      <c r="AQ226" s="53" t="str">
        <f t="shared" si="55"/>
        <v/>
      </c>
      <c r="AR226" s="53" t="str">
        <f>IF(AND($D226&lt;&gt;"",$D226=FicheIlot),COUNTIF($D$8:$D226,FicheIlot),"")</f>
        <v/>
      </c>
    </row>
    <row r="227" spans="2:44" ht="18.95" customHeight="1" x14ac:dyDescent="0.25">
      <c r="B227" s="42" t="str">
        <f>IF(C227="","",COUNT($C$8:C227))</f>
        <v/>
      </c>
      <c r="C227" s="43"/>
      <c r="D227" s="44"/>
      <c r="E227" s="45" t="str">
        <f>IF($Z227="","",IF($F227=ApportCouvert,INDEX(Îlots!$I$8:$I$57,$Z227)&amp;"",INDEX(Îlots!$N$8:$N$57,$Z227)&amp;""))</f>
        <v/>
      </c>
      <c r="F227" s="44"/>
      <c r="G227" s="44"/>
      <c r="H227" s="46" t="str">
        <f>IF($AA227="","",INDEX(Fertilisants!$D$8:$D$47,$AA227)&amp;"")</f>
        <v/>
      </c>
      <c r="I227" s="47"/>
      <c r="J227" s="48"/>
      <c r="K227" s="46" t="str">
        <f>IF($AA227="","",INDEX(Fertilisants!$E$8:$E$47,$AA227)&amp;"")</f>
        <v/>
      </c>
      <c r="L227" s="49" t="str">
        <f t="shared" si="42"/>
        <v/>
      </c>
      <c r="M227" s="50" t="str">
        <f>IF(OR($J227="",$AA227=""),"",$J227*N(INDEX(Fertilisants!$G$8:$G$47,$AA227)))</f>
        <v/>
      </c>
      <c r="N227" s="50" t="str">
        <f>IF(OR($J227="",$AA227=""),"",$J227*N(INDEX(Fertilisants!$I$8:$I$47,$AA227)))</f>
        <v/>
      </c>
      <c r="O227" s="50" t="str">
        <f>IF(OR($J227="",$AA227=""),"",$J227*N(INDEX(Fertilisants!$J$8:$J$47,$AA227)))</f>
        <v/>
      </c>
      <c r="P227" s="50" t="str">
        <f>IF(OR($J227="",$AA227=""),"",$J227*N(INDEX(Fertilisants!$K$8:$K$47,$AA227)))</f>
        <v/>
      </c>
      <c r="Q227" s="50" t="str">
        <f t="shared" si="43"/>
        <v/>
      </c>
      <c r="R227" s="44"/>
      <c r="S227" s="44"/>
      <c r="T227" s="51"/>
      <c r="U227" s="44"/>
      <c r="V227" s="43"/>
      <c r="W227" s="52" t="str">
        <f t="shared" si="44"/>
        <v/>
      </c>
      <c r="X227" s="44"/>
      <c r="Z227" s="53" t="str">
        <f>IF($D227="","",IFERROR(MATCH($D227,Îlots!$D$8:$D$57,0),""))</f>
        <v/>
      </c>
      <c r="AA227" s="53" t="str">
        <f>IF($G227="","",IFERROR(MATCH($G227,Fertilisants!$B$8:$B$47,0),""))</f>
        <v/>
      </c>
      <c r="AB227" s="53" t="str">
        <f>IF($Z227="","",INDEX(Îlots!$E$8:$E$57,$Z227))</f>
        <v/>
      </c>
      <c r="AC227" s="53" t="str">
        <f>IF($Z227="","",INDEX(Îlots!$G$8:$G$57,$Z227)&amp;"")</f>
        <v/>
      </c>
      <c r="AD227" s="53" t="str">
        <f>IF($Z227="","",IF($F227=ApportCouvert,OccCouvert,INDEX(Îlots!$O$8:$O$57,$Z227)&amp;""))</f>
        <v/>
      </c>
      <c r="AE227" s="53" t="str">
        <f t="shared" si="45"/>
        <v/>
      </c>
      <c r="AF227" s="53" t="str">
        <f t="shared" si="46"/>
        <v/>
      </c>
      <c r="AG227" s="53" t="str">
        <f t="shared" si="47"/>
        <v/>
      </c>
      <c r="AH227" s="53">
        <f t="shared" si="48"/>
        <v>0</v>
      </c>
      <c r="AI227" s="53">
        <f t="shared" si="49"/>
        <v>0</v>
      </c>
      <c r="AJ227" s="53">
        <f t="shared" si="50"/>
        <v>0</v>
      </c>
      <c r="AK227" s="53">
        <f t="shared" si="51"/>
        <v>0</v>
      </c>
      <c r="AL227" s="53">
        <f t="shared" si="52"/>
        <v>0</v>
      </c>
      <c r="AM227" s="53">
        <f>IF($AA227="",0,IF(INDEX(Fertilisants!$C$8:$C$47,$AA227)="Effluent d'élevage",1,0))</f>
        <v>0</v>
      </c>
      <c r="AN227" s="53" t="str">
        <f>IF($AA227="","",IF(INDEX(Fertilisants!$C$8:$C$47,$AA227)="Engrais minéral","Minéral","Organique"))</f>
        <v/>
      </c>
      <c r="AO227" s="53" t="str">
        <f t="shared" si="53"/>
        <v/>
      </c>
      <c r="AP227" s="53" t="str">
        <f t="shared" si="54"/>
        <v/>
      </c>
      <c r="AQ227" s="53" t="str">
        <f t="shared" si="55"/>
        <v/>
      </c>
      <c r="AR227" s="53" t="str">
        <f>IF(AND($D227&lt;&gt;"",$D227=FicheIlot),COUNTIF($D$8:$D227,FicheIlot),"")</f>
        <v/>
      </c>
    </row>
    <row r="228" spans="2:44" ht="18.95" customHeight="1" x14ac:dyDescent="0.25">
      <c r="B228" s="42" t="str">
        <f>IF(C228="","",COUNT($C$8:C228))</f>
        <v/>
      </c>
      <c r="C228" s="43"/>
      <c r="D228" s="44"/>
      <c r="E228" s="45" t="str">
        <f>IF($Z228="","",IF($F228=ApportCouvert,INDEX(Îlots!$I$8:$I$57,$Z228)&amp;"",INDEX(Îlots!$N$8:$N$57,$Z228)&amp;""))</f>
        <v/>
      </c>
      <c r="F228" s="44"/>
      <c r="G228" s="44"/>
      <c r="H228" s="46" t="str">
        <f>IF($AA228="","",INDEX(Fertilisants!$D$8:$D$47,$AA228)&amp;"")</f>
        <v/>
      </c>
      <c r="I228" s="47"/>
      <c r="J228" s="48"/>
      <c r="K228" s="46" t="str">
        <f>IF($AA228="","",INDEX(Fertilisants!$E$8:$E$47,$AA228)&amp;"")</f>
        <v/>
      </c>
      <c r="L228" s="49" t="str">
        <f t="shared" si="42"/>
        <v/>
      </c>
      <c r="M228" s="50" t="str">
        <f>IF(OR($J228="",$AA228=""),"",$J228*N(INDEX(Fertilisants!$G$8:$G$47,$AA228)))</f>
        <v/>
      </c>
      <c r="N228" s="50" t="str">
        <f>IF(OR($J228="",$AA228=""),"",$J228*N(INDEX(Fertilisants!$I$8:$I$47,$AA228)))</f>
        <v/>
      </c>
      <c r="O228" s="50" t="str">
        <f>IF(OR($J228="",$AA228=""),"",$J228*N(INDEX(Fertilisants!$J$8:$J$47,$AA228)))</f>
        <v/>
      </c>
      <c r="P228" s="50" t="str">
        <f>IF(OR($J228="",$AA228=""),"",$J228*N(INDEX(Fertilisants!$K$8:$K$47,$AA228)))</f>
        <v/>
      </c>
      <c r="Q228" s="50" t="str">
        <f t="shared" si="43"/>
        <v/>
      </c>
      <c r="R228" s="44"/>
      <c r="S228" s="44"/>
      <c r="T228" s="51"/>
      <c r="U228" s="44"/>
      <c r="V228" s="43"/>
      <c r="W228" s="52" t="str">
        <f t="shared" si="44"/>
        <v/>
      </c>
      <c r="X228" s="44"/>
      <c r="Z228" s="53" t="str">
        <f>IF($D228="","",IFERROR(MATCH($D228,Îlots!$D$8:$D$57,0),""))</f>
        <v/>
      </c>
      <c r="AA228" s="53" t="str">
        <f>IF($G228="","",IFERROR(MATCH($G228,Fertilisants!$B$8:$B$47,0),""))</f>
        <v/>
      </c>
      <c r="AB228" s="53" t="str">
        <f>IF($Z228="","",INDEX(Îlots!$E$8:$E$57,$Z228))</f>
        <v/>
      </c>
      <c r="AC228" s="53" t="str">
        <f>IF($Z228="","",INDEX(Îlots!$G$8:$G$57,$Z228)&amp;"")</f>
        <v/>
      </c>
      <c r="AD228" s="53" t="str">
        <f>IF($Z228="","",IF($F228=ApportCouvert,OccCouvert,INDEX(Îlots!$O$8:$O$57,$Z228)&amp;""))</f>
        <v/>
      </c>
      <c r="AE228" s="53" t="str">
        <f t="shared" si="45"/>
        <v/>
      </c>
      <c r="AF228" s="53" t="str">
        <f t="shared" si="46"/>
        <v/>
      </c>
      <c r="AG228" s="53" t="str">
        <f t="shared" si="47"/>
        <v/>
      </c>
      <c r="AH228" s="53">
        <f t="shared" si="48"/>
        <v>0</v>
      </c>
      <c r="AI228" s="53">
        <f t="shared" si="49"/>
        <v>0</v>
      </c>
      <c r="AJ228" s="53">
        <f t="shared" si="50"/>
        <v>0</v>
      </c>
      <c r="AK228" s="53">
        <f t="shared" si="51"/>
        <v>0</v>
      </c>
      <c r="AL228" s="53">
        <f t="shared" si="52"/>
        <v>0</v>
      </c>
      <c r="AM228" s="53">
        <f>IF($AA228="",0,IF(INDEX(Fertilisants!$C$8:$C$47,$AA228)="Effluent d'élevage",1,0))</f>
        <v>0</v>
      </c>
      <c r="AN228" s="53" t="str">
        <f>IF($AA228="","",IF(INDEX(Fertilisants!$C$8:$C$47,$AA228)="Engrais minéral","Minéral","Organique"))</f>
        <v/>
      </c>
      <c r="AO228" s="53" t="str">
        <f t="shared" si="53"/>
        <v/>
      </c>
      <c r="AP228" s="53" t="str">
        <f t="shared" si="54"/>
        <v/>
      </c>
      <c r="AQ228" s="53" t="str">
        <f t="shared" si="55"/>
        <v/>
      </c>
      <c r="AR228" s="53" t="str">
        <f>IF(AND($D228&lt;&gt;"",$D228=FicheIlot),COUNTIF($D$8:$D228,FicheIlot),"")</f>
        <v/>
      </c>
    </row>
    <row r="229" spans="2:44" ht="18.95" customHeight="1" x14ac:dyDescent="0.25">
      <c r="B229" s="42" t="str">
        <f>IF(C229="","",COUNT($C$8:C229))</f>
        <v/>
      </c>
      <c r="C229" s="43"/>
      <c r="D229" s="44"/>
      <c r="E229" s="45" t="str">
        <f>IF($Z229="","",IF($F229=ApportCouvert,INDEX(Îlots!$I$8:$I$57,$Z229)&amp;"",INDEX(Îlots!$N$8:$N$57,$Z229)&amp;""))</f>
        <v/>
      </c>
      <c r="F229" s="44"/>
      <c r="G229" s="44"/>
      <c r="H229" s="46" t="str">
        <f>IF($AA229="","",INDEX(Fertilisants!$D$8:$D$47,$AA229)&amp;"")</f>
        <v/>
      </c>
      <c r="I229" s="47"/>
      <c r="J229" s="48"/>
      <c r="K229" s="46" t="str">
        <f>IF($AA229="","",INDEX(Fertilisants!$E$8:$E$47,$AA229)&amp;"")</f>
        <v/>
      </c>
      <c r="L229" s="49" t="str">
        <f t="shared" si="42"/>
        <v/>
      </c>
      <c r="M229" s="50" t="str">
        <f>IF(OR($J229="",$AA229=""),"",$J229*N(INDEX(Fertilisants!$G$8:$G$47,$AA229)))</f>
        <v/>
      </c>
      <c r="N229" s="50" t="str">
        <f>IF(OR($J229="",$AA229=""),"",$J229*N(INDEX(Fertilisants!$I$8:$I$47,$AA229)))</f>
        <v/>
      </c>
      <c r="O229" s="50" t="str">
        <f>IF(OR($J229="",$AA229=""),"",$J229*N(INDEX(Fertilisants!$J$8:$J$47,$AA229)))</f>
        <v/>
      </c>
      <c r="P229" s="50" t="str">
        <f>IF(OR($J229="",$AA229=""),"",$J229*N(INDEX(Fertilisants!$K$8:$K$47,$AA229)))</f>
        <v/>
      </c>
      <c r="Q229" s="50" t="str">
        <f t="shared" si="43"/>
        <v/>
      </c>
      <c r="R229" s="44"/>
      <c r="S229" s="44"/>
      <c r="T229" s="51"/>
      <c r="U229" s="44"/>
      <c r="V229" s="43"/>
      <c r="W229" s="52" t="str">
        <f t="shared" si="44"/>
        <v/>
      </c>
      <c r="X229" s="44"/>
      <c r="Z229" s="53" t="str">
        <f>IF($D229="","",IFERROR(MATCH($D229,Îlots!$D$8:$D$57,0),""))</f>
        <v/>
      </c>
      <c r="AA229" s="53" t="str">
        <f>IF($G229="","",IFERROR(MATCH($G229,Fertilisants!$B$8:$B$47,0),""))</f>
        <v/>
      </c>
      <c r="AB229" s="53" t="str">
        <f>IF($Z229="","",INDEX(Îlots!$E$8:$E$57,$Z229))</f>
        <v/>
      </c>
      <c r="AC229" s="53" t="str">
        <f>IF($Z229="","",INDEX(Îlots!$G$8:$G$57,$Z229)&amp;"")</f>
        <v/>
      </c>
      <c r="AD229" s="53" t="str">
        <f>IF($Z229="","",IF($F229=ApportCouvert,OccCouvert,INDEX(Îlots!$O$8:$O$57,$Z229)&amp;""))</f>
        <v/>
      </c>
      <c r="AE229" s="53" t="str">
        <f t="shared" si="45"/>
        <v/>
      </c>
      <c r="AF229" s="53" t="str">
        <f t="shared" si="46"/>
        <v/>
      </c>
      <c r="AG229" s="53" t="str">
        <f t="shared" si="47"/>
        <v/>
      </c>
      <c r="AH229" s="53">
        <f t="shared" si="48"/>
        <v>0</v>
      </c>
      <c r="AI229" s="53">
        <f t="shared" si="49"/>
        <v>0</v>
      </c>
      <c r="AJ229" s="53">
        <f t="shared" si="50"/>
        <v>0</v>
      </c>
      <c r="AK229" s="53">
        <f t="shared" si="51"/>
        <v>0</v>
      </c>
      <c r="AL229" s="53">
        <f t="shared" si="52"/>
        <v>0</v>
      </c>
      <c r="AM229" s="53">
        <f>IF($AA229="",0,IF(INDEX(Fertilisants!$C$8:$C$47,$AA229)="Effluent d'élevage",1,0))</f>
        <v>0</v>
      </c>
      <c r="AN229" s="53" t="str">
        <f>IF($AA229="","",IF(INDEX(Fertilisants!$C$8:$C$47,$AA229)="Engrais minéral","Minéral","Organique"))</f>
        <v/>
      </c>
      <c r="AO229" s="53" t="str">
        <f t="shared" si="53"/>
        <v/>
      </c>
      <c r="AP229" s="53" t="str">
        <f t="shared" si="54"/>
        <v/>
      </c>
      <c r="AQ229" s="53" t="str">
        <f t="shared" si="55"/>
        <v/>
      </c>
      <c r="AR229" s="53" t="str">
        <f>IF(AND($D229&lt;&gt;"",$D229=FicheIlot),COUNTIF($D$8:$D229,FicheIlot),"")</f>
        <v/>
      </c>
    </row>
    <row r="230" spans="2:44" ht="18.95" customHeight="1" x14ac:dyDescent="0.25">
      <c r="B230" s="42" t="str">
        <f>IF(C230="","",COUNT($C$8:C230))</f>
        <v/>
      </c>
      <c r="C230" s="43"/>
      <c r="D230" s="44"/>
      <c r="E230" s="45" t="str">
        <f>IF($Z230="","",IF($F230=ApportCouvert,INDEX(Îlots!$I$8:$I$57,$Z230)&amp;"",INDEX(Îlots!$N$8:$N$57,$Z230)&amp;""))</f>
        <v/>
      </c>
      <c r="F230" s="44"/>
      <c r="G230" s="44"/>
      <c r="H230" s="46" t="str">
        <f>IF($AA230="","",INDEX(Fertilisants!$D$8:$D$47,$AA230)&amp;"")</f>
        <v/>
      </c>
      <c r="I230" s="47"/>
      <c r="J230" s="48"/>
      <c r="K230" s="46" t="str">
        <f>IF($AA230="","",INDEX(Fertilisants!$E$8:$E$47,$AA230)&amp;"")</f>
        <v/>
      </c>
      <c r="L230" s="49" t="str">
        <f t="shared" si="42"/>
        <v/>
      </c>
      <c r="M230" s="50" t="str">
        <f>IF(OR($J230="",$AA230=""),"",$J230*N(INDEX(Fertilisants!$G$8:$G$47,$AA230)))</f>
        <v/>
      </c>
      <c r="N230" s="50" t="str">
        <f>IF(OR($J230="",$AA230=""),"",$J230*N(INDEX(Fertilisants!$I$8:$I$47,$AA230)))</f>
        <v/>
      </c>
      <c r="O230" s="50" t="str">
        <f>IF(OR($J230="",$AA230=""),"",$J230*N(INDEX(Fertilisants!$J$8:$J$47,$AA230)))</f>
        <v/>
      </c>
      <c r="P230" s="50" t="str">
        <f>IF(OR($J230="",$AA230=""),"",$J230*N(INDEX(Fertilisants!$K$8:$K$47,$AA230)))</f>
        <v/>
      </c>
      <c r="Q230" s="50" t="str">
        <f t="shared" si="43"/>
        <v/>
      </c>
      <c r="R230" s="44"/>
      <c r="S230" s="44"/>
      <c r="T230" s="51"/>
      <c r="U230" s="44"/>
      <c r="V230" s="43"/>
      <c r="W230" s="52" t="str">
        <f t="shared" si="44"/>
        <v/>
      </c>
      <c r="X230" s="44"/>
      <c r="Z230" s="53" t="str">
        <f>IF($D230="","",IFERROR(MATCH($D230,Îlots!$D$8:$D$57,0),""))</f>
        <v/>
      </c>
      <c r="AA230" s="53" t="str">
        <f>IF($G230="","",IFERROR(MATCH($G230,Fertilisants!$B$8:$B$47,0),""))</f>
        <v/>
      </c>
      <c r="AB230" s="53" t="str">
        <f>IF($Z230="","",INDEX(Îlots!$E$8:$E$57,$Z230))</f>
        <v/>
      </c>
      <c r="AC230" s="53" t="str">
        <f>IF($Z230="","",INDEX(Îlots!$G$8:$G$57,$Z230)&amp;"")</f>
        <v/>
      </c>
      <c r="AD230" s="53" t="str">
        <f>IF($Z230="","",IF($F230=ApportCouvert,OccCouvert,INDEX(Îlots!$O$8:$O$57,$Z230)&amp;""))</f>
        <v/>
      </c>
      <c r="AE230" s="53" t="str">
        <f t="shared" si="45"/>
        <v/>
      </c>
      <c r="AF230" s="53" t="str">
        <f t="shared" si="46"/>
        <v/>
      </c>
      <c r="AG230" s="53" t="str">
        <f t="shared" si="47"/>
        <v/>
      </c>
      <c r="AH230" s="53">
        <f t="shared" si="48"/>
        <v>0</v>
      </c>
      <c r="AI230" s="53">
        <f t="shared" si="49"/>
        <v>0</v>
      </c>
      <c r="AJ230" s="53">
        <f t="shared" si="50"/>
        <v>0</v>
      </c>
      <c r="AK230" s="53">
        <f t="shared" si="51"/>
        <v>0</v>
      </c>
      <c r="AL230" s="53">
        <f t="shared" si="52"/>
        <v>0</v>
      </c>
      <c r="AM230" s="53">
        <f>IF($AA230="",0,IF(INDEX(Fertilisants!$C$8:$C$47,$AA230)="Effluent d'élevage",1,0))</f>
        <v>0</v>
      </c>
      <c r="AN230" s="53" t="str">
        <f>IF($AA230="","",IF(INDEX(Fertilisants!$C$8:$C$47,$AA230)="Engrais minéral","Minéral","Organique"))</f>
        <v/>
      </c>
      <c r="AO230" s="53" t="str">
        <f t="shared" si="53"/>
        <v/>
      </c>
      <c r="AP230" s="53" t="str">
        <f t="shared" si="54"/>
        <v/>
      </c>
      <c r="AQ230" s="53" t="str">
        <f t="shared" si="55"/>
        <v/>
      </c>
      <c r="AR230" s="53" t="str">
        <f>IF(AND($D230&lt;&gt;"",$D230=FicheIlot),COUNTIF($D$8:$D230,FicheIlot),"")</f>
        <v/>
      </c>
    </row>
    <row r="231" spans="2:44" ht="18.95" customHeight="1" x14ac:dyDescent="0.25">
      <c r="B231" s="42" t="str">
        <f>IF(C231="","",COUNT($C$8:C231))</f>
        <v/>
      </c>
      <c r="C231" s="43"/>
      <c r="D231" s="44"/>
      <c r="E231" s="45" t="str">
        <f>IF($Z231="","",IF($F231=ApportCouvert,INDEX(Îlots!$I$8:$I$57,$Z231)&amp;"",INDEX(Îlots!$N$8:$N$57,$Z231)&amp;""))</f>
        <v/>
      </c>
      <c r="F231" s="44"/>
      <c r="G231" s="44"/>
      <c r="H231" s="46" t="str">
        <f>IF($AA231="","",INDEX(Fertilisants!$D$8:$D$47,$AA231)&amp;"")</f>
        <v/>
      </c>
      <c r="I231" s="47"/>
      <c r="J231" s="48"/>
      <c r="K231" s="46" t="str">
        <f>IF($AA231="","",INDEX(Fertilisants!$E$8:$E$47,$AA231)&amp;"")</f>
        <v/>
      </c>
      <c r="L231" s="49" t="str">
        <f t="shared" si="42"/>
        <v/>
      </c>
      <c r="M231" s="50" t="str">
        <f>IF(OR($J231="",$AA231=""),"",$J231*N(INDEX(Fertilisants!$G$8:$G$47,$AA231)))</f>
        <v/>
      </c>
      <c r="N231" s="50" t="str">
        <f>IF(OR($J231="",$AA231=""),"",$J231*N(INDEX(Fertilisants!$I$8:$I$47,$AA231)))</f>
        <v/>
      </c>
      <c r="O231" s="50" t="str">
        <f>IF(OR($J231="",$AA231=""),"",$J231*N(INDEX(Fertilisants!$J$8:$J$47,$AA231)))</f>
        <v/>
      </c>
      <c r="P231" s="50" t="str">
        <f>IF(OR($J231="",$AA231=""),"",$J231*N(INDEX(Fertilisants!$K$8:$K$47,$AA231)))</f>
        <v/>
      </c>
      <c r="Q231" s="50" t="str">
        <f t="shared" si="43"/>
        <v/>
      </c>
      <c r="R231" s="44"/>
      <c r="S231" s="44"/>
      <c r="T231" s="51"/>
      <c r="U231" s="44"/>
      <c r="V231" s="43"/>
      <c r="W231" s="52" t="str">
        <f t="shared" si="44"/>
        <v/>
      </c>
      <c r="X231" s="44"/>
      <c r="Z231" s="53" t="str">
        <f>IF($D231="","",IFERROR(MATCH($D231,Îlots!$D$8:$D$57,0),""))</f>
        <v/>
      </c>
      <c r="AA231" s="53" t="str">
        <f>IF($G231="","",IFERROR(MATCH($G231,Fertilisants!$B$8:$B$47,0),""))</f>
        <v/>
      </c>
      <c r="AB231" s="53" t="str">
        <f>IF($Z231="","",INDEX(Îlots!$E$8:$E$57,$Z231))</f>
        <v/>
      </c>
      <c r="AC231" s="53" t="str">
        <f>IF($Z231="","",INDEX(Îlots!$G$8:$G$57,$Z231)&amp;"")</f>
        <v/>
      </c>
      <c r="AD231" s="53" t="str">
        <f>IF($Z231="","",IF($F231=ApportCouvert,OccCouvert,INDEX(Îlots!$O$8:$O$57,$Z231)&amp;""))</f>
        <v/>
      </c>
      <c r="AE231" s="53" t="str">
        <f t="shared" si="45"/>
        <v/>
      </c>
      <c r="AF231" s="53" t="str">
        <f t="shared" si="46"/>
        <v/>
      </c>
      <c r="AG231" s="53" t="str">
        <f t="shared" si="47"/>
        <v/>
      </c>
      <c r="AH231" s="53">
        <f t="shared" si="48"/>
        <v>0</v>
      </c>
      <c r="AI231" s="53">
        <f t="shared" si="49"/>
        <v>0</v>
      </c>
      <c r="AJ231" s="53">
        <f t="shared" si="50"/>
        <v>0</v>
      </c>
      <c r="AK231" s="53">
        <f t="shared" si="51"/>
        <v>0</v>
      </c>
      <c r="AL231" s="53">
        <f t="shared" si="52"/>
        <v>0</v>
      </c>
      <c r="AM231" s="53">
        <f>IF($AA231="",0,IF(INDEX(Fertilisants!$C$8:$C$47,$AA231)="Effluent d'élevage",1,0))</f>
        <v>0</v>
      </c>
      <c r="AN231" s="53" t="str">
        <f>IF($AA231="","",IF(INDEX(Fertilisants!$C$8:$C$47,$AA231)="Engrais minéral","Minéral","Organique"))</f>
        <v/>
      </c>
      <c r="AO231" s="53" t="str">
        <f t="shared" si="53"/>
        <v/>
      </c>
      <c r="AP231" s="53" t="str">
        <f t="shared" si="54"/>
        <v/>
      </c>
      <c r="AQ231" s="53" t="str">
        <f t="shared" si="55"/>
        <v/>
      </c>
      <c r="AR231" s="53" t="str">
        <f>IF(AND($D231&lt;&gt;"",$D231=FicheIlot),COUNTIF($D$8:$D231,FicheIlot),"")</f>
        <v/>
      </c>
    </row>
    <row r="232" spans="2:44" ht="18.95" customHeight="1" x14ac:dyDescent="0.25">
      <c r="B232" s="42" t="str">
        <f>IF(C232="","",COUNT($C$8:C232))</f>
        <v/>
      </c>
      <c r="C232" s="43"/>
      <c r="D232" s="44"/>
      <c r="E232" s="45" t="str">
        <f>IF($Z232="","",IF($F232=ApportCouvert,INDEX(Îlots!$I$8:$I$57,$Z232)&amp;"",INDEX(Îlots!$N$8:$N$57,$Z232)&amp;""))</f>
        <v/>
      </c>
      <c r="F232" s="44"/>
      <c r="G232" s="44"/>
      <c r="H232" s="46" t="str">
        <f>IF($AA232="","",INDEX(Fertilisants!$D$8:$D$47,$AA232)&amp;"")</f>
        <v/>
      </c>
      <c r="I232" s="47"/>
      <c r="J232" s="48"/>
      <c r="K232" s="46" t="str">
        <f>IF($AA232="","",INDEX(Fertilisants!$E$8:$E$47,$AA232)&amp;"")</f>
        <v/>
      </c>
      <c r="L232" s="49" t="str">
        <f t="shared" si="42"/>
        <v/>
      </c>
      <c r="M232" s="50" t="str">
        <f>IF(OR($J232="",$AA232=""),"",$J232*N(INDEX(Fertilisants!$G$8:$G$47,$AA232)))</f>
        <v/>
      </c>
      <c r="N232" s="50" t="str">
        <f>IF(OR($J232="",$AA232=""),"",$J232*N(INDEX(Fertilisants!$I$8:$I$47,$AA232)))</f>
        <v/>
      </c>
      <c r="O232" s="50" t="str">
        <f>IF(OR($J232="",$AA232=""),"",$J232*N(INDEX(Fertilisants!$J$8:$J$47,$AA232)))</f>
        <v/>
      </c>
      <c r="P232" s="50" t="str">
        <f>IF(OR($J232="",$AA232=""),"",$J232*N(INDEX(Fertilisants!$K$8:$K$47,$AA232)))</f>
        <v/>
      </c>
      <c r="Q232" s="50" t="str">
        <f t="shared" si="43"/>
        <v/>
      </c>
      <c r="R232" s="44"/>
      <c r="S232" s="44"/>
      <c r="T232" s="51"/>
      <c r="U232" s="44"/>
      <c r="V232" s="43"/>
      <c r="W232" s="52" t="str">
        <f t="shared" si="44"/>
        <v/>
      </c>
      <c r="X232" s="44"/>
      <c r="Z232" s="53" t="str">
        <f>IF($D232="","",IFERROR(MATCH($D232,Îlots!$D$8:$D$57,0),""))</f>
        <v/>
      </c>
      <c r="AA232" s="53" t="str">
        <f>IF($G232="","",IFERROR(MATCH($G232,Fertilisants!$B$8:$B$47,0),""))</f>
        <v/>
      </c>
      <c r="AB232" s="53" t="str">
        <f>IF($Z232="","",INDEX(Îlots!$E$8:$E$57,$Z232))</f>
        <v/>
      </c>
      <c r="AC232" s="53" t="str">
        <f>IF($Z232="","",INDEX(Îlots!$G$8:$G$57,$Z232)&amp;"")</f>
        <v/>
      </c>
      <c r="AD232" s="53" t="str">
        <f>IF($Z232="","",IF($F232=ApportCouvert,OccCouvert,INDEX(Îlots!$O$8:$O$57,$Z232)&amp;""))</f>
        <v/>
      </c>
      <c r="AE232" s="53" t="str">
        <f t="shared" si="45"/>
        <v/>
      </c>
      <c r="AF232" s="53" t="str">
        <f t="shared" si="46"/>
        <v/>
      </c>
      <c r="AG232" s="53" t="str">
        <f t="shared" si="47"/>
        <v/>
      </c>
      <c r="AH232" s="53">
        <f t="shared" si="48"/>
        <v>0</v>
      </c>
      <c r="AI232" s="53">
        <f t="shared" si="49"/>
        <v>0</v>
      </c>
      <c r="AJ232" s="53">
        <f t="shared" si="50"/>
        <v>0</v>
      </c>
      <c r="AK232" s="53">
        <f t="shared" si="51"/>
        <v>0</v>
      </c>
      <c r="AL232" s="53">
        <f t="shared" si="52"/>
        <v>0</v>
      </c>
      <c r="AM232" s="53">
        <f>IF($AA232="",0,IF(INDEX(Fertilisants!$C$8:$C$47,$AA232)="Effluent d'élevage",1,0))</f>
        <v>0</v>
      </c>
      <c r="AN232" s="53" t="str">
        <f>IF($AA232="","",IF(INDEX(Fertilisants!$C$8:$C$47,$AA232)="Engrais minéral","Minéral","Organique"))</f>
        <v/>
      </c>
      <c r="AO232" s="53" t="str">
        <f t="shared" si="53"/>
        <v/>
      </c>
      <c r="AP232" s="53" t="str">
        <f t="shared" si="54"/>
        <v/>
      </c>
      <c r="AQ232" s="53" t="str">
        <f t="shared" si="55"/>
        <v/>
      </c>
      <c r="AR232" s="53" t="str">
        <f>IF(AND($D232&lt;&gt;"",$D232=FicheIlot),COUNTIF($D$8:$D232,FicheIlot),"")</f>
        <v/>
      </c>
    </row>
    <row r="233" spans="2:44" ht="18.95" customHeight="1" x14ac:dyDescent="0.25">
      <c r="B233" s="42" t="str">
        <f>IF(C233="","",COUNT($C$8:C233))</f>
        <v/>
      </c>
      <c r="C233" s="43"/>
      <c r="D233" s="44"/>
      <c r="E233" s="45" t="str">
        <f>IF($Z233="","",IF($F233=ApportCouvert,INDEX(Îlots!$I$8:$I$57,$Z233)&amp;"",INDEX(Îlots!$N$8:$N$57,$Z233)&amp;""))</f>
        <v/>
      </c>
      <c r="F233" s="44"/>
      <c r="G233" s="44"/>
      <c r="H233" s="46" t="str">
        <f>IF($AA233="","",INDEX(Fertilisants!$D$8:$D$47,$AA233)&amp;"")</f>
        <v/>
      </c>
      <c r="I233" s="47"/>
      <c r="J233" s="48"/>
      <c r="K233" s="46" t="str">
        <f>IF($AA233="","",INDEX(Fertilisants!$E$8:$E$47,$AA233)&amp;"")</f>
        <v/>
      </c>
      <c r="L233" s="49" t="str">
        <f t="shared" si="42"/>
        <v/>
      </c>
      <c r="M233" s="50" t="str">
        <f>IF(OR($J233="",$AA233=""),"",$J233*N(INDEX(Fertilisants!$G$8:$G$47,$AA233)))</f>
        <v/>
      </c>
      <c r="N233" s="50" t="str">
        <f>IF(OR($J233="",$AA233=""),"",$J233*N(INDEX(Fertilisants!$I$8:$I$47,$AA233)))</f>
        <v/>
      </c>
      <c r="O233" s="50" t="str">
        <f>IF(OR($J233="",$AA233=""),"",$J233*N(INDEX(Fertilisants!$J$8:$J$47,$AA233)))</f>
        <v/>
      </c>
      <c r="P233" s="50" t="str">
        <f>IF(OR($J233="",$AA233=""),"",$J233*N(INDEX(Fertilisants!$K$8:$K$47,$AA233)))</f>
        <v/>
      </c>
      <c r="Q233" s="50" t="str">
        <f t="shared" si="43"/>
        <v/>
      </c>
      <c r="R233" s="44"/>
      <c r="S233" s="44"/>
      <c r="T233" s="51"/>
      <c r="U233" s="44"/>
      <c r="V233" s="43"/>
      <c r="W233" s="52" t="str">
        <f t="shared" si="44"/>
        <v/>
      </c>
      <c r="X233" s="44"/>
      <c r="Z233" s="53" t="str">
        <f>IF($D233="","",IFERROR(MATCH($D233,Îlots!$D$8:$D$57,0),""))</f>
        <v/>
      </c>
      <c r="AA233" s="53" t="str">
        <f>IF($G233="","",IFERROR(MATCH($G233,Fertilisants!$B$8:$B$47,0),""))</f>
        <v/>
      </c>
      <c r="AB233" s="53" t="str">
        <f>IF($Z233="","",INDEX(Îlots!$E$8:$E$57,$Z233))</f>
        <v/>
      </c>
      <c r="AC233" s="53" t="str">
        <f>IF($Z233="","",INDEX(Îlots!$G$8:$G$57,$Z233)&amp;"")</f>
        <v/>
      </c>
      <c r="AD233" s="53" t="str">
        <f>IF($Z233="","",IF($F233=ApportCouvert,OccCouvert,INDEX(Îlots!$O$8:$O$57,$Z233)&amp;""))</f>
        <v/>
      </c>
      <c r="AE233" s="53" t="str">
        <f t="shared" si="45"/>
        <v/>
      </c>
      <c r="AF233" s="53" t="str">
        <f t="shared" si="46"/>
        <v/>
      </c>
      <c r="AG233" s="53" t="str">
        <f t="shared" si="47"/>
        <v/>
      </c>
      <c r="AH233" s="53">
        <f t="shared" si="48"/>
        <v>0</v>
      </c>
      <c r="AI233" s="53">
        <f t="shared" si="49"/>
        <v>0</v>
      </c>
      <c r="AJ233" s="53">
        <f t="shared" si="50"/>
        <v>0</v>
      </c>
      <c r="AK233" s="53">
        <f t="shared" si="51"/>
        <v>0</v>
      </c>
      <c r="AL233" s="53">
        <f t="shared" si="52"/>
        <v>0</v>
      </c>
      <c r="AM233" s="53">
        <f>IF($AA233="",0,IF(INDEX(Fertilisants!$C$8:$C$47,$AA233)="Effluent d'élevage",1,0))</f>
        <v>0</v>
      </c>
      <c r="AN233" s="53" t="str">
        <f>IF($AA233="","",IF(INDEX(Fertilisants!$C$8:$C$47,$AA233)="Engrais minéral","Minéral","Organique"))</f>
        <v/>
      </c>
      <c r="AO233" s="53" t="str">
        <f t="shared" si="53"/>
        <v/>
      </c>
      <c r="AP233" s="53" t="str">
        <f t="shared" si="54"/>
        <v/>
      </c>
      <c r="AQ233" s="53" t="str">
        <f t="shared" si="55"/>
        <v/>
      </c>
      <c r="AR233" s="53" t="str">
        <f>IF(AND($D233&lt;&gt;"",$D233=FicheIlot),COUNTIF($D$8:$D233,FicheIlot),"")</f>
        <v/>
      </c>
    </row>
    <row r="234" spans="2:44" ht="18.95" customHeight="1" x14ac:dyDescent="0.25">
      <c r="B234" s="42" t="str">
        <f>IF(C234="","",COUNT($C$8:C234))</f>
        <v/>
      </c>
      <c r="C234" s="43"/>
      <c r="D234" s="44"/>
      <c r="E234" s="45" t="str">
        <f>IF($Z234="","",IF($F234=ApportCouvert,INDEX(Îlots!$I$8:$I$57,$Z234)&amp;"",INDEX(Îlots!$N$8:$N$57,$Z234)&amp;""))</f>
        <v/>
      </c>
      <c r="F234" s="44"/>
      <c r="G234" s="44"/>
      <c r="H234" s="46" t="str">
        <f>IF($AA234="","",INDEX(Fertilisants!$D$8:$D$47,$AA234)&amp;"")</f>
        <v/>
      </c>
      <c r="I234" s="47"/>
      <c r="J234" s="48"/>
      <c r="K234" s="46" t="str">
        <f>IF($AA234="","",INDEX(Fertilisants!$E$8:$E$47,$AA234)&amp;"")</f>
        <v/>
      </c>
      <c r="L234" s="49" t="str">
        <f t="shared" si="42"/>
        <v/>
      </c>
      <c r="M234" s="50" t="str">
        <f>IF(OR($J234="",$AA234=""),"",$J234*N(INDEX(Fertilisants!$G$8:$G$47,$AA234)))</f>
        <v/>
      </c>
      <c r="N234" s="50" t="str">
        <f>IF(OR($J234="",$AA234=""),"",$J234*N(INDEX(Fertilisants!$I$8:$I$47,$AA234)))</f>
        <v/>
      </c>
      <c r="O234" s="50" t="str">
        <f>IF(OR($J234="",$AA234=""),"",$J234*N(INDEX(Fertilisants!$J$8:$J$47,$AA234)))</f>
        <v/>
      </c>
      <c r="P234" s="50" t="str">
        <f>IF(OR($J234="",$AA234=""),"",$J234*N(INDEX(Fertilisants!$K$8:$K$47,$AA234)))</f>
        <v/>
      </c>
      <c r="Q234" s="50" t="str">
        <f t="shared" si="43"/>
        <v/>
      </c>
      <c r="R234" s="44"/>
      <c r="S234" s="44"/>
      <c r="T234" s="51"/>
      <c r="U234" s="44"/>
      <c r="V234" s="43"/>
      <c r="W234" s="52" t="str">
        <f t="shared" si="44"/>
        <v/>
      </c>
      <c r="X234" s="44"/>
      <c r="Z234" s="53" t="str">
        <f>IF($D234="","",IFERROR(MATCH($D234,Îlots!$D$8:$D$57,0),""))</f>
        <v/>
      </c>
      <c r="AA234" s="53" t="str">
        <f>IF($G234="","",IFERROR(MATCH($G234,Fertilisants!$B$8:$B$47,0),""))</f>
        <v/>
      </c>
      <c r="AB234" s="53" t="str">
        <f>IF($Z234="","",INDEX(Îlots!$E$8:$E$57,$Z234))</f>
        <v/>
      </c>
      <c r="AC234" s="53" t="str">
        <f>IF($Z234="","",INDEX(Îlots!$G$8:$G$57,$Z234)&amp;"")</f>
        <v/>
      </c>
      <c r="AD234" s="53" t="str">
        <f>IF($Z234="","",IF($F234=ApportCouvert,OccCouvert,INDEX(Îlots!$O$8:$O$57,$Z234)&amp;""))</f>
        <v/>
      </c>
      <c r="AE234" s="53" t="str">
        <f t="shared" si="45"/>
        <v/>
      </c>
      <c r="AF234" s="53" t="str">
        <f t="shared" si="46"/>
        <v/>
      </c>
      <c r="AG234" s="53" t="str">
        <f t="shared" si="47"/>
        <v/>
      </c>
      <c r="AH234" s="53">
        <f t="shared" si="48"/>
        <v>0</v>
      </c>
      <c r="AI234" s="53">
        <f t="shared" si="49"/>
        <v>0</v>
      </c>
      <c r="AJ234" s="53">
        <f t="shared" si="50"/>
        <v>0</v>
      </c>
      <c r="AK234" s="53">
        <f t="shared" si="51"/>
        <v>0</v>
      </c>
      <c r="AL234" s="53">
        <f t="shared" si="52"/>
        <v>0</v>
      </c>
      <c r="AM234" s="53">
        <f>IF($AA234="",0,IF(INDEX(Fertilisants!$C$8:$C$47,$AA234)="Effluent d'élevage",1,0))</f>
        <v>0</v>
      </c>
      <c r="AN234" s="53" t="str">
        <f>IF($AA234="","",IF(INDEX(Fertilisants!$C$8:$C$47,$AA234)="Engrais minéral","Minéral","Organique"))</f>
        <v/>
      </c>
      <c r="AO234" s="53" t="str">
        <f t="shared" si="53"/>
        <v/>
      </c>
      <c r="AP234" s="53" t="str">
        <f t="shared" si="54"/>
        <v/>
      </c>
      <c r="AQ234" s="53" t="str">
        <f t="shared" si="55"/>
        <v/>
      </c>
      <c r="AR234" s="53" t="str">
        <f>IF(AND($D234&lt;&gt;"",$D234=FicheIlot),COUNTIF($D$8:$D234,FicheIlot),"")</f>
        <v/>
      </c>
    </row>
    <row r="235" spans="2:44" ht="18.95" customHeight="1" x14ac:dyDescent="0.25">
      <c r="B235" s="42" t="str">
        <f>IF(C235="","",COUNT($C$8:C235))</f>
        <v/>
      </c>
      <c r="C235" s="43"/>
      <c r="D235" s="44"/>
      <c r="E235" s="45" t="str">
        <f>IF($Z235="","",IF($F235=ApportCouvert,INDEX(Îlots!$I$8:$I$57,$Z235)&amp;"",INDEX(Îlots!$N$8:$N$57,$Z235)&amp;""))</f>
        <v/>
      </c>
      <c r="F235" s="44"/>
      <c r="G235" s="44"/>
      <c r="H235" s="46" t="str">
        <f>IF($AA235="","",INDEX(Fertilisants!$D$8:$D$47,$AA235)&amp;"")</f>
        <v/>
      </c>
      <c r="I235" s="47"/>
      <c r="J235" s="48"/>
      <c r="K235" s="46" t="str">
        <f>IF($AA235="","",INDEX(Fertilisants!$E$8:$E$47,$AA235)&amp;"")</f>
        <v/>
      </c>
      <c r="L235" s="49" t="str">
        <f t="shared" si="42"/>
        <v/>
      </c>
      <c r="M235" s="50" t="str">
        <f>IF(OR($J235="",$AA235=""),"",$J235*N(INDEX(Fertilisants!$G$8:$G$47,$AA235)))</f>
        <v/>
      </c>
      <c r="N235" s="50" t="str">
        <f>IF(OR($J235="",$AA235=""),"",$J235*N(INDEX(Fertilisants!$I$8:$I$47,$AA235)))</f>
        <v/>
      </c>
      <c r="O235" s="50" t="str">
        <f>IF(OR($J235="",$AA235=""),"",$J235*N(INDEX(Fertilisants!$J$8:$J$47,$AA235)))</f>
        <v/>
      </c>
      <c r="P235" s="50" t="str">
        <f>IF(OR($J235="",$AA235=""),"",$J235*N(INDEX(Fertilisants!$K$8:$K$47,$AA235)))</f>
        <v/>
      </c>
      <c r="Q235" s="50" t="str">
        <f t="shared" si="43"/>
        <v/>
      </c>
      <c r="R235" s="44"/>
      <c r="S235" s="44"/>
      <c r="T235" s="51"/>
      <c r="U235" s="44"/>
      <c r="V235" s="43"/>
      <c r="W235" s="52" t="str">
        <f t="shared" si="44"/>
        <v/>
      </c>
      <c r="X235" s="44"/>
      <c r="Z235" s="53" t="str">
        <f>IF($D235="","",IFERROR(MATCH($D235,Îlots!$D$8:$D$57,0),""))</f>
        <v/>
      </c>
      <c r="AA235" s="53" t="str">
        <f>IF($G235="","",IFERROR(MATCH($G235,Fertilisants!$B$8:$B$47,0),""))</f>
        <v/>
      </c>
      <c r="AB235" s="53" t="str">
        <f>IF($Z235="","",INDEX(Îlots!$E$8:$E$57,$Z235))</f>
        <v/>
      </c>
      <c r="AC235" s="53" t="str">
        <f>IF($Z235="","",INDEX(Îlots!$G$8:$G$57,$Z235)&amp;"")</f>
        <v/>
      </c>
      <c r="AD235" s="53" t="str">
        <f>IF($Z235="","",IF($F235=ApportCouvert,OccCouvert,INDEX(Îlots!$O$8:$O$57,$Z235)&amp;""))</f>
        <v/>
      </c>
      <c r="AE235" s="53" t="str">
        <f t="shared" si="45"/>
        <v/>
      </c>
      <c r="AF235" s="53" t="str">
        <f t="shared" si="46"/>
        <v/>
      </c>
      <c r="AG235" s="53" t="str">
        <f t="shared" si="47"/>
        <v/>
      </c>
      <c r="AH235" s="53">
        <f t="shared" si="48"/>
        <v>0</v>
      </c>
      <c r="AI235" s="53">
        <f t="shared" si="49"/>
        <v>0</v>
      </c>
      <c r="AJ235" s="53">
        <f t="shared" si="50"/>
        <v>0</v>
      </c>
      <c r="AK235" s="53">
        <f t="shared" si="51"/>
        <v>0</v>
      </c>
      <c r="AL235" s="53">
        <f t="shared" si="52"/>
        <v>0</v>
      </c>
      <c r="AM235" s="53">
        <f>IF($AA235="",0,IF(INDEX(Fertilisants!$C$8:$C$47,$AA235)="Effluent d'élevage",1,0))</f>
        <v>0</v>
      </c>
      <c r="AN235" s="53" t="str">
        <f>IF($AA235="","",IF(INDEX(Fertilisants!$C$8:$C$47,$AA235)="Engrais minéral","Minéral","Organique"))</f>
        <v/>
      </c>
      <c r="AO235" s="53" t="str">
        <f t="shared" si="53"/>
        <v/>
      </c>
      <c r="AP235" s="53" t="str">
        <f t="shared" si="54"/>
        <v/>
      </c>
      <c r="AQ235" s="53" t="str">
        <f t="shared" si="55"/>
        <v/>
      </c>
      <c r="AR235" s="53" t="str">
        <f>IF(AND($D235&lt;&gt;"",$D235=FicheIlot),COUNTIF($D$8:$D235,FicheIlot),"")</f>
        <v/>
      </c>
    </row>
    <row r="236" spans="2:44" ht="18.95" customHeight="1" x14ac:dyDescent="0.25">
      <c r="B236" s="42" t="str">
        <f>IF(C236="","",COUNT($C$8:C236))</f>
        <v/>
      </c>
      <c r="C236" s="43"/>
      <c r="D236" s="44"/>
      <c r="E236" s="45" t="str">
        <f>IF($Z236="","",IF($F236=ApportCouvert,INDEX(Îlots!$I$8:$I$57,$Z236)&amp;"",INDEX(Îlots!$N$8:$N$57,$Z236)&amp;""))</f>
        <v/>
      </c>
      <c r="F236" s="44"/>
      <c r="G236" s="44"/>
      <c r="H236" s="46" t="str">
        <f>IF($AA236="","",INDEX(Fertilisants!$D$8:$D$47,$AA236)&amp;"")</f>
        <v/>
      </c>
      <c r="I236" s="47"/>
      <c r="J236" s="48"/>
      <c r="K236" s="46" t="str">
        <f>IF($AA236="","",INDEX(Fertilisants!$E$8:$E$47,$AA236)&amp;"")</f>
        <v/>
      </c>
      <c r="L236" s="49" t="str">
        <f t="shared" si="42"/>
        <v/>
      </c>
      <c r="M236" s="50" t="str">
        <f>IF(OR($J236="",$AA236=""),"",$J236*N(INDEX(Fertilisants!$G$8:$G$47,$AA236)))</f>
        <v/>
      </c>
      <c r="N236" s="50" t="str">
        <f>IF(OR($J236="",$AA236=""),"",$J236*N(INDEX(Fertilisants!$I$8:$I$47,$AA236)))</f>
        <v/>
      </c>
      <c r="O236" s="50" t="str">
        <f>IF(OR($J236="",$AA236=""),"",$J236*N(INDEX(Fertilisants!$J$8:$J$47,$AA236)))</f>
        <v/>
      </c>
      <c r="P236" s="50" t="str">
        <f>IF(OR($J236="",$AA236=""),"",$J236*N(INDEX(Fertilisants!$K$8:$K$47,$AA236)))</f>
        <v/>
      </c>
      <c r="Q236" s="50" t="str">
        <f t="shared" si="43"/>
        <v/>
      </c>
      <c r="R236" s="44"/>
      <c r="S236" s="44"/>
      <c r="T236" s="51"/>
      <c r="U236" s="44"/>
      <c r="V236" s="43"/>
      <c r="W236" s="52" t="str">
        <f t="shared" si="44"/>
        <v/>
      </c>
      <c r="X236" s="44"/>
      <c r="Z236" s="53" t="str">
        <f>IF($D236="","",IFERROR(MATCH($D236,Îlots!$D$8:$D$57,0),""))</f>
        <v/>
      </c>
      <c r="AA236" s="53" t="str">
        <f>IF($G236="","",IFERROR(MATCH($G236,Fertilisants!$B$8:$B$47,0),""))</f>
        <v/>
      </c>
      <c r="AB236" s="53" t="str">
        <f>IF($Z236="","",INDEX(Îlots!$E$8:$E$57,$Z236))</f>
        <v/>
      </c>
      <c r="AC236" s="53" t="str">
        <f>IF($Z236="","",INDEX(Îlots!$G$8:$G$57,$Z236)&amp;"")</f>
        <v/>
      </c>
      <c r="AD236" s="53" t="str">
        <f>IF($Z236="","",IF($F236=ApportCouvert,OccCouvert,INDEX(Îlots!$O$8:$O$57,$Z236)&amp;""))</f>
        <v/>
      </c>
      <c r="AE236" s="53" t="str">
        <f t="shared" si="45"/>
        <v/>
      </c>
      <c r="AF236" s="53" t="str">
        <f t="shared" si="46"/>
        <v/>
      </c>
      <c r="AG236" s="53" t="str">
        <f t="shared" si="47"/>
        <v/>
      </c>
      <c r="AH236" s="53">
        <f t="shared" si="48"/>
        <v>0</v>
      </c>
      <c r="AI236" s="53">
        <f t="shared" si="49"/>
        <v>0</v>
      </c>
      <c r="AJ236" s="53">
        <f t="shared" si="50"/>
        <v>0</v>
      </c>
      <c r="AK236" s="53">
        <f t="shared" si="51"/>
        <v>0</v>
      </c>
      <c r="AL236" s="53">
        <f t="shared" si="52"/>
        <v>0</v>
      </c>
      <c r="AM236" s="53">
        <f>IF($AA236="",0,IF(INDEX(Fertilisants!$C$8:$C$47,$AA236)="Effluent d'élevage",1,0))</f>
        <v>0</v>
      </c>
      <c r="AN236" s="53" t="str">
        <f>IF($AA236="","",IF(INDEX(Fertilisants!$C$8:$C$47,$AA236)="Engrais minéral","Minéral","Organique"))</f>
        <v/>
      </c>
      <c r="AO236" s="53" t="str">
        <f t="shared" si="53"/>
        <v/>
      </c>
      <c r="AP236" s="53" t="str">
        <f t="shared" si="54"/>
        <v/>
      </c>
      <c r="AQ236" s="53" t="str">
        <f t="shared" si="55"/>
        <v/>
      </c>
      <c r="AR236" s="53" t="str">
        <f>IF(AND($D236&lt;&gt;"",$D236=FicheIlot),COUNTIF($D$8:$D236,FicheIlot),"")</f>
        <v/>
      </c>
    </row>
    <row r="237" spans="2:44" ht="18.95" customHeight="1" x14ac:dyDescent="0.25">
      <c r="B237" s="42" t="str">
        <f>IF(C237="","",COUNT($C$8:C237))</f>
        <v/>
      </c>
      <c r="C237" s="43"/>
      <c r="D237" s="44"/>
      <c r="E237" s="45" t="str">
        <f>IF($Z237="","",IF($F237=ApportCouvert,INDEX(Îlots!$I$8:$I$57,$Z237)&amp;"",INDEX(Îlots!$N$8:$N$57,$Z237)&amp;""))</f>
        <v/>
      </c>
      <c r="F237" s="44"/>
      <c r="G237" s="44"/>
      <c r="H237" s="46" t="str">
        <f>IF($AA237="","",INDEX(Fertilisants!$D$8:$D$47,$AA237)&amp;"")</f>
        <v/>
      </c>
      <c r="I237" s="47"/>
      <c r="J237" s="48"/>
      <c r="K237" s="46" t="str">
        <f>IF($AA237="","",INDEX(Fertilisants!$E$8:$E$47,$AA237)&amp;"")</f>
        <v/>
      </c>
      <c r="L237" s="49" t="str">
        <f t="shared" si="42"/>
        <v/>
      </c>
      <c r="M237" s="50" t="str">
        <f>IF(OR($J237="",$AA237=""),"",$J237*N(INDEX(Fertilisants!$G$8:$G$47,$AA237)))</f>
        <v/>
      </c>
      <c r="N237" s="50" t="str">
        <f>IF(OR($J237="",$AA237=""),"",$J237*N(INDEX(Fertilisants!$I$8:$I$47,$AA237)))</f>
        <v/>
      </c>
      <c r="O237" s="50" t="str">
        <f>IF(OR($J237="",$AA237=""),"",$J237*N(INDEX(Fertilisants!$J$8:$J$47,$AA237)))</f>
        <v/>
      </c>
      <c r="P237" s="50" t="str">
        <f>IF(OR($J237="",$AA237=""),"",$J237*N(INDEX(Fertilisants!$K$8:$K$47,$AA237)))</f>
        <v/>
      </c>
      <c r="Q237" s="50" t="str">
        <f t="shared" si="43"/>
        <v/>
      </c>
      <c r="R237" s="44"/>
      <c r="S237" s="44"/>
      <c r="T237" s="51"/>
      <c r="U237" s="44"/>
      <c r="V237" s="43"/>
      <c r="W237" s="52" t="str">
        <f t="shared" si="44"/>
        <v/>
      </c>
      <c r="X237" s="44"/>
      <c r="Z237" s="53" t="str">
        <f>IF($D237="","",IFERROR(MATCH($D237,Îlots!$D$8:$D$57,0),""))</f>
        <v/>
      </c>
      <c r="AA237" s="53" t="str">
        <f>IF($G237="","",IFERROR(MATCH($G237,Fertilisants!$B$8:$B$47,0),""))</f>
        <v/>
      </c>
      <c r="AB237" s="53" t="str">
        <f>IF($Z237="","",INDEX(Îlots!$E$8:$E$57,$Z237))</f>
        <v/>
      </c>
      <c r="AC237" s="53" t="str">
        <f>IF($Z237="","",INDEX(Îlots!$G$8:$G$57,$Z237)&amp;"")</f>
        <v/>
      </c>
      <c r="AD237" s="53" t="str">
        <f>IF($Z237="","",IF($F237=ApportCouvert,OccCouvert,INDEX(Îlots!$O$8:$O$57,$Z237)&amp;""))</f>
        <v/>
      </c>
      <c r="AE237" s="53" t="str">
        <f t="shared" si="45"/>
        <v/>
      </c>
      <c r="AF237" s="53" t="str">
        <f t="shared" si="46"/>
        <v/>
      </c>
      <c r="AG237" s="53" t="str">
        <f t="shared" si="47"/>
        <v/>
      </c>
      <c r="AH237" s="53">
        <f t="shared" si="48"/>
        <v>0</v>
      </c>
      <c r="AI237" s="53">
        <f t="shared" si="49"/>
        <v>0</v>
      </c>
      <c r="AJ237" s="53">
        <f t="shared" si="50"/>
        <v>0</v>
      </c>
      <c r="AK237" s="53">
        <f t="shared" si="51"/>
        <v>0</v>
      </c>
      <c r="AL237" s="53">
        <f t="shared" si="52"/>
        <v>0</v>
      </c>
      <c r="AM237" s="53">
        <f>IF($AA237="",0,IF(INDEX(Fertilisants!$C$8:$C$47,$AA237)="Effluent d'élevage",1,0))</f>
        <v>0</v>
      </c>
      <c r="AN237" s="53" t="str">
        <f>IF($AA237="","",IF(INDEX(Fertilisants!$C$8:$C$47,$AA237)="Engrais minéral","Minéral","Organique"))</f>
        <v/>
      </c>
      <c r="AO237" s="53" t="str">
        <f t="shared" si="53"/>
        <v/>
      </c>
      <c r="AP237" s="53" t="str">
        <f t="shared" si="54"/>
        <v/>
      </c>
      <c r="AQ237" s="53" t="str">
        <f t="shared" si="55"/>
        <v/>
      </c>
      <c r="AR237" s="53" t="str">
        <f>IF(AND($D237&lt;&gt;"",$D237=FicheIlot),COUNTIF($D$8:$D237,FicheIlot),"")</f>
        <v/>
      </c>
    </row>
    <row r="238" spans="2:44" ht="18.95" customHeight="1" x14ac:dyDescent="0.25">
      <c r="B238" s="42" t="str">
        <f>IF(C238="","",COUNT($C$8:C238))</f>
        <v/>
      </c>
      <c r="C238" s="43"/>
      <c r="D238" s="44"/>
      <c r="E238" s="45" t="str">
        <f>IF($Z238="","",IF($F238=ApportCouvert,INDEX(Îlots!$I$8:$I$57,$Z238)&amp;"",INDEX(Îlots!$N$8:$N$57,$Z238)&amp;""))</f>
        <v/>
      </c>
      <c r="F238" s="44"/>
      <c r="G238" s="44"/>
      <c r="H238" s="46" t="str">
        <f>IF($AA238="","",INDEX(Fertilisants!$D$8:$D$47,$AA238)&amp;"")</f>
        <v/>
      </c>
      <c r="I238" s="47"/>
      <c r="J238" s="48"/>
      <c r="K238" s="46" t="str">
        <f>IF($AA238="","",INDEX(Fertilisants!$E$8:$E$47,$AA238)&amp;"")</f>
        <v/>
      </c>
      <c r="L238" s="49" t="str">
        <f t="shared" si="42"/>
        <v/>
      </c>
      <c r="M238" s="50" t="str">
        <f>IF(OR($J238="",$AA238=""),"",$J238*N(INDEX(Fertilisants!$G$8:$G$47,$AA238)))</f>
        <v/>
      </c>
      <c r="N238" s="50" t="str">
        <f>IF(OR($J238="",$AA238=""),"",$J238*N(INDEX(Fertilisants!$I$8:$I$47,$AA238)))</f>
        <v/>
      </c>
      <c r="O238" s="50" t="str">
        <f>IF(OR($J238="",$AA238=""),"",$J238*N(INDEX(Fertilisants!$J$8:$J$47,$AA238)))</f>
        <v/>
      </c>
      <c r="P238" s="50" t="str">
        <f>IF(OR($J238="",$AA238=""),"",$J238*N(INDEX(Fertilisants!$K$8:$K$47,$AA238)))</f>
        <v/>
      </c>
      <c r="Q238" s="50" t="str">
        <f t="shared" si="43"/>
        <v/>
      </c>
      <c r="R238" s="44"/>
      <c r="S238" s="44"/>
      <c r="T238" s="51"/>
      <c r="U238" s="44"/>
      <c r="V238" s="43"/>
      <c r="W238" s="52" t="str">
        <f t="shared" si="44"/>
        <v/>
      </c>
      <c r="X238" s="44"/>
      <c r="Z238" s="53" t="str">
        <f>IF($D238="","",IFERROR(MATCH($D238,Îlots!$D$8:$D$57,0),""))</f>
        <v/>
      </c>
      <c r="AA238" s="53" t="str">
        <f>IF($G238="","",IFERROR(MATCH($G238,Fertilisants!$B$8:$B$47,0),""))</f>
        <v/>
      </c>
      <c r="AB238" s="53" t="str">
        <f>IF($Z238="","",INDEX(Îlots!$E$8:$E$57,$Z238))</f>
        <v/>
      </c>
      <c r="AC238" s="53" t="str">
        <f>IF($Z238="","",INDEX(Îlots!$G$8:$G$57,$Z238)&amp;"")</f>
        <v/>
      </c>
      <c r="AD238" s="53" t="str">
        <f>IF($Z238="","",IF($F238=ApportCouvert,OccCouvert,INDEX(Îlots!$O$8:$O$57,$Z238)&amp;""))</f>
        <v/>
      </c>
      <c r="AE238" s="53" t="str">
        <f t="shared" si="45"/>
        <v/>
      </c>
      <c r="AF238" s="53" t="str">
        <f t="shared" si="46"/>
        <v/>
      </c>
      <c r="AG238" s="53" t="str">
        <f t="shared" si="47"/>
        <v/>
      </c>
      <c r="AH238" s="53">
        <f t="shared" si="48"/>
        <v>0</v>
      </c>
      <c r="AI238" s="53">
        <f t="shared" si="49"/>
        <v>0</v>
      </c>
      <c r="AJ238" s="53">
        <f t="shared" si="50"/>
        <v>0</v>
      </c>
      <c r="AK238" s="53">
        <f t="shared" si="51"/>
        <v>0</v>
      </c>
      <c r="AL238" s="53">
        <f t="shared" si="52"/>
        <v>0</v>
      </c>
      <c r="AM238" s="53">
        <f>IF($AA238="",0,IF(INDEX(Fertilisants!$C$8:$C$47,$AA238)="Effluent d'élevage",1,0))</f>
        <v>0</v>
      </c>
      <c r="AN238" s="53" t="str">
        <f>IF($AA238="","",IF(INDEX(Fertilisants!$C$8:$C$47,$AA238)="Engrais minéral","Minéral","Organique"))</f>
        <v/>
      </c>
      <c r="AO238" s="53" t="str">
        <f t="shared" si="53"/>
        <v/>
      </c>
      <c r="AP238" s="53" t="str">
        <f t="shared" si="54"/>
        <v/>
      </c>
      <c r="AQ238" s="53" t="str">
        <f t="shared" si="55"/>
        <v/>
      </c>
      <c r="AR238" s="53" t="str">
        <f>IF(AND($D238&lt;&gt;"",$D238=FicheIlot),COUNTIF($D$8:$D238,FicheIlot),"")</f>
        <v/>
      </c>
    </row>
    <row r="239" spans="2:44" ht="18.95" customHeight="1" x14ac:dyDescent="0.25">
      <c r="B239" s="42" t="str">
        <f>IF(C239="","",COUNT($C$8:C239))</f>
        <v/>
      </c>
      <c r="C239" s="43"/>
      <c r="D239" s="44"/>
      <c r="E239" s="45" t="str">
        <f>IF($Z239="","",IF($F239=ApportCouvert,INDEX(Îlots!$I$8:$I$57,$Z239)&amp;"",INDEX(Îlots!$N$8:$N$57,$Z239)&amp;""))</f>
        <v/>
      </c>
      <c r="F239" s="44"/>
      <c r="G239" s="44"/>
      <c r="H239" s="46" t="str">
        <f>IF($AA239="","",INDEX(Fertilisants!$D$8:$D$47,$AA239)&amp;"")</f>
        <v/>
      </c>
      <c r="I239" s="47"/>
      <c r="J239" s="48"/>
      <c r="K239" s="46" t="str">
        <f>IF($AA239="","",INDEX(Fertilisants!$E$8:$E$47,$AA239)&amp;"")</f>
        <v/>
      </c>
      <c r="L239" s="49" t="str">
        <f t="shared" si="42"/>
        <v/>
      </c>
      <c r="M239" s="50" t="str">
        <f>IF(OR($J239="",$AA239=""),"",$J239*N(INDEX(Fertilisants!$G$8:$G$47,$AA239)))</f>
        <v/>
      </c>
      <c r="N239" s="50" t="str">
        <f>IF(OR($J239="",$AA239=""),"",$J239*N(INDEX(Fertilisants!$I$8:$I$47,$AA239)))</f>
        <v/>
      </c>
      <c r="O239" s="50" t="str">
        <f>IF(OR($J239="",$AA239=""),"",$J239*N(INDEX(Fertilisants!$J$8:$J$47,$AA239)))</f>
        <v/>
      </c>
      <c r="P239" s="50" t="str">
        <f>IF(OR($J239="",$AA239=""),"",$J239*N(INDEX(Fertilisants!$K$8:$K$47,$AA239)))</f>
        <v/>
      </c>
      <c r="Q239" s="50" t="str">
        <f t="shared" si="43"/>
        <v/>
      </c>
      <c r="R239" s="44"/>
      <c r="S239" s="44"/>
      <c r="T239" s="51"/>
      <c r="U239" s="44"/>
      <c r="V239" s="43"/>
      <c r="W239" s="52" t="str">
        <f t="shared" si="44"/>
        <v/>
      </c>
      <c r="X239" s="44"/>
      <c r="Z239" s="53" t="str">
        <f>IF($D239="","",IFERROR(MATCH($D239,Îlots!$D$8:$D$57,0),""))</f>
        <v/>
      </c>
      <c r="AA239" s="53" t="str">
        <f>IF($G239="","",IFERROR(MATCH($G239,Fertilisants!$B$8:$B$47,0),""))</f>
        <v/>
      </c>
      <c r="AB239" s="53" t="str">
        <f>IF($Z239="","",INDEX(Îlots!$E$8:$E$57,$Z239))</f>
        <v/>
      </c>
      <c r="AC239" s="53" t="str">
        <f>IF($Z239="","",INDEX(Îlots!$G$8:$G$57,$Z239)&amp;"")</f>
        <v/>
      </c>
      <c r="AD239" s="53" t="str">
        <f>IF($Z239="","",IF($F239=ApportCouvert,OccCouvert,INDEX(Îlots!$O$8:$O$57,$Z239)&amp;""))</f>
        <v/>
      </c>
      <c r="AE239" s="53" t="str">
        <f t="shared" si="45"/>
        <v/>
      </c>
      <c r="AF239" s="53" t="str">
        <f t="shared" si="46"/>
        <v/>
      </c>
      <c r="AG239" s="53" t="str">
        <f t="shared" si="47"/>
        <v/>
      </c>
      <c r="AH239" s="53">
        <f t="shared" si="48"/>
        <v>0</v>
      </c>
      <c r="AI239" s="53">
        <f t="shared" si="49"/>
        <v>0</v>
      </c>
      <c r="AJ239" s="53">
        <f t="shared" si="50"/>
        <v>0</v>
      </c>
      <c r="AK239" s="53">
        <f t="shared" si="51"/>
        <v>0</v>
      </c>
      <c r="AL239" s="53">
        <f t="shared" si="52"/>
        <v>0</v>
      </c>
      <c r="AM239" s="53">
        <f>IF($AA239="",0,IF(INDEX(Fertilisants!$C$8:$C$47,$AA239)="Effluent d'élevage",1,0))</f>
        <v>0</v>
      </c>
      <c r="AN239" s="53" t="str">
        <f>IF($AA239="","",IF(INDEX(Fertilisants!$C$8:$C$47,$AA239)="Engrais minéral","Minéral","Organique"))</f>
        <v/>
      </c>
      <c r="AO239" s="53" t="str">
        <f t="shared" si="53"/>
        <v/>
      </c>
      <c r="AP239" s="53" t="str">
        <f t="shared" si="54"/>
        <v/>
      </c>
      <c r="AQ239" s="53" t="str">
        <f t="shared" si="55"/>
        <v/>
      </c>
      <c r="AR239" s="53" t="str">
        <f>IF(AND($D239&lt;&gt;"",$D239=FicheIlot),COUNTIF($D$8:$D239,FicheIlot),"")</f>
        <v/>
      </c>
    </row>
    <row r="240" spans="2:44" ht="18.95" customHeight="1" x14ac:dyDescent="0.25">
      <c r="B240" s="42" t="str">
        <f>IF(C240="","",COUNT($C$8:C240))</f>
        <v/>
      </c>
      <c r="C240" s="43"/>
      <c r="D240" s="44"/>
      <c r="E240" s="45" t="str">
        <f>IF($Z240="","",IF($F240=ApportCouvert,INDEX(Îlots!$I$8:$I$57,$Z240)&amp;"",INDEX(Îlots!$N$8:$N$57,$Z240)&amp;""))</f>
        <v/>
      </c>
      <c r="F240" s="44"/>
      <c r="G240" s="44"/>
      <c r="H240" s="46" t="str">
        <f>IF($AA240="","",INDEX(Fertilisants!$D$8:$D$47,$AA240)&amp;"")</f>
        <v/>
      </c>
      <c r="I240" s="47"/>
      <c r="J240" s="48"/>
      <c r="K240" s="46" t="str">
        <f>IF($AA240="","",INDEX(Fertilisants!$E$8:$E$47,$AA240)&amp;"")</f>
        <v/>
      </c>
      <c r="L240" s="49" t="str">
        <f t="shared" si="42"/>
        <v/>
      </c>
      <c r="M240" s="50" t="str">
        <f>IF(OR($J240="",$AA240=""),"",$J240*N(INDEX(Fertilisants!$G$8:$G$47,$AA240)))</f>
        <v/>
      </c>
      <c r="N240" s="50" t="str">
        <f>IF(OR($J240="",$AA240=""),"",$J240*N(INDEX(Fertilisants!$I$8:$I$47,$AA240)))</f>
        <v/>
      </c>
      <c r="O240" s="50" t="str">
        <f>IF(OR($J240="",$AA240=""),"",$J240*N(INDEX(Fertilisants!$J$8:$J$47,$AA240)))</f>
        <v/>
      </c>
      <c r="P240" s="50" t="str">
        <f>IF(OR($J240="",$AA240=""),"",$J240*N(INDEX(Fertilisants!$K$8:$K$47,$AA240)))</f>
        <v/>
      </c>
      <c r="Q240" s="50" t="str">
        <f t="shared" si="43"/>
        <v/>
      </c>
      <c r="R240" s="44"/>
      <c r="S240" s="44"/>
      <c r="T240" s="51"/>
      <c r="U240" s="44"/>
      <c r="V240" s="43"/>
      <c r="W240" s="52" t="str">
        <f t="shared" si="44"/>
        <v/>
      </c>
      <c r="X240" s="44"/>
      <c r="Z240" s="53" t="str">
        <f>IF($D240="","",IFERROR(MATCH($D240,Îlots!$D$8:$D$57,0),""))</f>
        <v/>
      </c>
      <c r="AA240" s="53" t="str">
        <f>IF($G240="","",IFERROR(MATCH($G240,Fertilisants!$B$8:$B$47,0),""))</f>
        <v/>
      </c>
      <c r="AB240" s="53" t="str">
        <f>IF($Z240="","",INDEX(Îlots!$E$8:$E$57,$Z240))</f>
        <v/>
      </c>
      <c r="AC240" s="53" t="str">
        <f>IF($Z240="","",INDEX(Îlots!$G$8:$G$57,$Z240)&amp;"")</f>
        <v/>
      </c>
      <c r="AD240" s="53" t="str">
        <f>IF($Z240="","",IF($F240=ApportCouvert,OccCouvert,INDEX(Îlots!$O$8:$O$57,$Z240)&amp;""))</f>
        <v/>
      </c>
      <c r="AE240" s="53" t="str">
        <f t="shared" si="45"/>
        <v/>
      </c>
      <c r="AF240" s="53" t="str">
        <f t="shared" si="46"/>
        <v/>
      </c>
      <c r="AG240" s="53" t="str">
        <f t="shared" si="47"/>
        <v/>
      </c>
      <c r="AH240" s="53">
        <f t="shared" si="48"/>
        <v>0</v>
      </c>
      <c r="AI240" s="53">
        <f t="shared" si="49"/>
        <v>0</v>
      </c>
      <c r="AJ240" s="53">
        <f t="shared" si="50"/>
        <v>0</v>
      </c>
      <c r="AK240" s="53">
        <f t="shared" si="51"/>
        <v>0</v>
      </c>
      <c r="AL240" s="53">
        <f t="shared" si="52"/>
        <v>0</v>
      </c>
      <c r="AM240" s="53">
        <f>IF($AA240="",0,IF(INDEX(Fertilisants!$C$8:$C$47,$AA240)="Effluent d'élevage",1,0))</f>
        <v>0</v>
      </c>
      <c r="AN240" s="53" t="str">
        <f>IF($AA240="","",IF(INDEX(Fertilisants!$C$8:$C$47,$AA240)="Engrais minéral","Minéral","Organique"))</f>
        <v/>
      </c>
      <c r="AO240" s="53" t="str">
        <f t="shared" si="53"/>
        <v/>
      </c>
      <c r="AP240" s="53" t="str">
        <f t="shared" si="54"/>
        <v/>
      </c>
      <c r="AQ240" s="53" t="str">
        <f t="shared" si="55"/>
        <v/>
      </c>
      <c r="AR240" s="53" t="str">
        <f>IF(AND($D240&lt;&gt;"",$D240=FicheIlot),COUNTIF($D$8:$D240,FicheIlot),"")</f>
        <v/>
      </c>
    </row>
    <row r="241" spans="2:44" ht="18.95" customHeight="1" x14ac:dyDescent="0.25">
      <c r="B241" s="42" t="str">
        <f>IF(C241="","",COUNT($C$8:C241))</f>
        <v/>
      </c>
      <c r="C241" s="43"/>
      <c r="D241" s="44"/>
      <c r="E241" s="45" t="str">
        <f>IF($Z241="","",IF($F241=ApportCouvert,INDEX(Îlots!$I$8:$I$57,$Z241)&amp;"",INDEX(Îlots!$N$8:$N$57,$Z241)&amp;""))</f>
        <v/>
      </c>
      <c r="F241" s="44"/>
      <c r="G241" s="44"/>
      <c r="H241" s="46" t="str">
        <f>IF($AA241="","",INDEX(Fertilisants!$D$8:$D$47,$AA241)&amp;"")</f>
        <v/>
      </c>
      <c r="I241" s="47"/>
      <c r="J241" s="48"/>
      <c r="K241" s="46" t="str">
        <f>IF($AA241="","",INDEX(Fertilisants!$E$8:$E$47,$AA241)&amp;"")</f>
        <v/>
      </c>
      <c r="L241" s="49" t="str">
        <f t="shared" si="42"/>
        <v/>
      </c>
      <c r="M241" s="50" t="str">
        <f>IF(OR($J241="",$AA241=""),"",$J241*N(INDEX(Fertilisants!$G$8:$G$47,$AA241)))</f>
        <v/>
      </c>
      <c r="N241" s="50" t="str">
        <f>IF(OR($J241="",$AA241=""),"",$J241*N(INDEX(Fertilisants!$I$8:$I$47,$AA241)))</f>
        <v/>
      </c>
      <c r="O241" s="50" t="str">
        <f>IF(OR($J241="",$AA241=""),"",$J241*N(INDEX(Fertilisants!$J$8:$J$47,$AA241)))</f>
        <v/>
      </c>
      <c r="P241" s="50" t="str">
        <f>IF(OR($J241="",$AA241=""),"",$J241*N(INDEX(Fertilisants!$K$8:$K$47,$AA241)))</f>
        <v/>
      </c>
      <c r="Q241" s="50" t="str">
        <f t="shared" si="43"/>
        <v/>
      </c>
      <c r="R241" s="44"/>
      <c r="S241" s="44"/>
      <c r="T241" s="51"/>
      <c r="U241" s="44"/>
      <c r="V241" s="43"/>
      <c r="W241" s="52" t="str">
        <f t="shared" si="44"/>
        <v/>
      </c>
      <c r="X241" s="44"/>
      <c r="Z241" s="53" t="str">
        <f>IF($D241="","",IFERROR(MATCH($D241,Îlots!$D$8:$D$57,0),""))</f>
        <v/>
      </c>
      <c r="AA241" s="53" t="str">
        <f>IF($G241="","",IFERROR(MATCH($G241,Fertilisants!$B$8:$B$47,0),""))</f>
        <v/>
      </c>
      <c r="AB241" s="53" t="str">
        <f>IF($Z241="","",INDEX(Îlots!$E$8:$E$57,$Z241))</f>
        <v/>
      </c>
      <c r="AC241" s="53" t="str">
        <f>IF($Z241="","",INDEX(Îlots!$G$8:$G$57,$Z241)&amp;"")</f>
        <v/>
      </c>
      <c r="AD241" s="53" t="str">
        <f>IF($Z241="","",IF($F241=ApportCouvert,OccCouvert,INDEX(Îlots!$O$8:$O$57,$Z241)&amp;""))</f>
        <v/>
      </c>
      <c r="AE241" s="53" t="str">
        <f t="shared" si="45"/>
        <v/>
      </c>
      <c r="AF241" s="53" t="str">
        <f t="shared" si="46"/>
        <v/>
      </c>
      <c r="AG241" s="53" t="str">
        <f t="shared" si="47"/>
        <v/>
      </c>
      <c r="AH241" s="53">
        <f t="shared" si="48"/>
        <v>0</v>
      </c>
      <c r="AI241" s="53">
        <f t="shared" si="49"/>
        <v>0</v>
      </c>
      <c r="AJ241" s="53">
        <f t="shared" si="50"/>
        <v>0</v>
      </c>
      <c r="AK241" s="53">
        <f t="shared" si="51"/>
        <v>0</v>
      </c>
      <c r="AL241" s="53">
        <f t="shared" si="52"/>
        <v>0</v>
      </c>
      <c r="AM241" s="53">
        <f>IF($AA241="",0,IF(INDEX(Fertilisants!$C$8:$C$47,$AA241)="Effluent d'élevage",1,0))</f>
        <v>0</v>
      </c>
      <c r="AN241" s="53" t="str">
        <f>IF($AA241="","",IF(INDEX(Fertilisants!$C$8:$C$47,$AA241)="Engrais minéral","Minéral","Organique"))</f>
        <v/>
      </c>
      <c r="AO241" s="53" t="str">
        <f t="shared" si="53"/>
        <v/>
      </c>
      <c r="AP241" s="53" t="str">
        <f t="shared" si="54"/>
        <v/>
      </c>
      <c r="AQ241" s="53" t="str">
        <f t="shared" si="55"/>
        <v/>
      </c>
      <c r="AR241" s="53" t="str">
        <f>IF(AND($D241&lt;&gt;"",$D241=FicheIlot),COUNTIF($D$8:$D241,FicheIlot),"")</f>
        <v/>
      </c>
    </row>
    <row r="242" spans="2:44" ht="18.95" customHeight="1" x14ac:dyDescent="0.25">
      <c r="B242" s="42" t="str">
        <f>IF(C242="","",COUNT($C$8:C242))</f>
        <v/>
      </c>
      <c r="C242" s="43"/>
      <c r="D242" s="44"/>
      <c r="E242" s="45" t="str">
        <f>IF($Z242="","",IF($F242=ApportCouvert,INDEX(Îlots!$I$8:$I$57,$Z242)&amp;"",INDEX(Îlots!$N$8:$N$57,$Z242)&amp;""))</f>
        <v/>
      </c>
      <c r="F242" s="44"/>
      <c r="G242" s="44"/>
      <c r="H242" s="46" t="str">
        <f>IF($AA242="","",INDEX(Fertilisants!$D$8:$D$47,$AA242)&amp;"")</f>
        <v/>
      </c>
      <c r="I242" s="47"/>
      <c r="J242" s="48"/>
      <c r="K242" s="46" t="str">
        <f>IF($AA242="","",INDEX(Fertilisants!$E$8:$E$47,$AA242)&amp;"")</f>
        <v/>
      </c>
      <c r="L242" s="49" t="str">
        <f t="shared" si="42"/>
        <v/>
      </c>
      <c r="M242" s="50" t="str">
        <f>IF(OR($J242="",$AA242=""),"",$J242*N(INDEX(Fertilisants!$G$8:$G$47,$AA242)))</f>
        <v/>
      </c>
      <c r="N242" s="50" t="str">
        <f>IF(OR($J242="",$AA242=""),"",$J242*N(INDEX(Fertilisants!$I$8:$I$47,$AA242)))</f>
        <v/>
      </c>
      <c r="O242" s="50" t="str">
        <f>IF(OR($J242="",$AA242=""),"",$J242*N(INDEX(Fertilisants!$J$8:$J$47,$AA242)))</f>
        <v/>
      </c>
      <c r="P242" s="50" t="str">
        <f>IF(OR($J242="",$AA242=""),"",$J242*N(INDEX(Fertilisants!$K$8:$K$47,$AA242)))</f>
        <v/>
      </c>
      <c r="Q242" s="50" t="str">
        <f t="shared" si="43"/>
        <v/>
      </c>
      <c r="R242" s="44"/>
      <c r="S242" s="44"/>
      <c r="T242" s="51"/>
      <c r="U242" s="44"/>
      <c r="V242" s="43"/>
      <c r="W242" s="52" t="str">
        <f t="shared" si="44"/>
        <v/>
      </c>
      <c r="X242" s="44"/>
      <c r="Z242" s="53" t="str">
        <f>IF($D242="","",IFERROR(MATCH($D242,Îlots!$D$8:$D$57,0),""))</f>
        <v/>
      </c>
      <c r="AA242" s="53" t="str">
        <f>IF($G242="","",IFERROR(MATCH($G242,Fertilisants!$B$8:$B$47,0),""))</f>
        <v/>
      </c>
      <c r="AB242" s="53" t="str">
        <f>IF($Z242="","",INDEX(Îlots!$E$8:$E$57,$Z242))</f>
        <v/>
      </c>
      <c r="AC242" s="53" t="str">
        <f>IF($Z242="","",INDEX(Îlots!$G$8:$G$57,$Z242)&amp;"")</f>
        <v/>
      </c>
      <c r="AD242" s="53" t="str">
        <f>IF($Z242="","",IF($F242=ApportCouvert,OccCouvert,INDEX(Îlots!$O$8:$O$57,$Z242)&amp;""))</f>
        <v/>
      </c>
      <c r="AE242" s="53" t="str">
        <f t="shared" si="45"/>
        <v/>
      </c>
      <c r="AF242" s="53" t="str">
        <f t="shared" si="46"/>
        <v/>
      </c>
      <c r="AG242" s="53" t="str">
        <f t="shared" si="47"/>
        <v/>
      </c>
      <c r="AH242" s="53">
        <f t="shared" si="48"/>
        <v>0</v>
      </c>
      <c r="AI242" s="53">
        <f t="shared" si="49"/>
        <v>0</v>
      </c>
      <c r="AJ242" s="53">
        <f t="shared" si="50"/>
        <v>0</v>
      </c>
      <c r="AK242" s="53">
        <f t="shared" si="51"/>
        <v>0</v>
      </c>
      <c r="AL242" s="53">
        <f t="shared" si="52"/>
        <v>0</v>
      </c>
      <c r="AM242" s="53">
        <f>IF($AA242="",0,IF(INDEX(Fertilisants!$C$8:$C$47,$AA242)="Effluent d'élevage",1,0))</f>
        <v>0</v>
      </c>
      <c r="AN242" s="53" t="str">
        <f>IF($AA242="","",IF(INDEX(Fertilisants!$C$8:$C$47,$AA242)="Engrais minéral","Minéral","Organique"))</f>
        <v/>
      </c>
      <c r="AO242" s="53" t="str">
        <f t="shared" si="53"/>
        <v/>
      </c>
      <c r="AP242" s="53" t="str">
        <f t="shared" si="54"/>
        <v/>
      </c>
      <c r="AQ242" s="53" t="str">
        <f t="shared" si="55"/>
        <v/>
      </c>
      <c r="AR242" s="53" t="str">
        <f>IF(AND($D242&lt;&gt;"",$D242=FicheIlot),COUNTIF($D$8:$D242,FicheIlot),"")</f>
        <v/>
      </c>
    </row>
    <row r="243" spans="2:44" ht="18.95" customHeight="1" x14ac:dyDescent="0.25">
      <c r="B243" s="42" t="str">
        <f>IF(C243="","",COUNT($C$8:C243))</f>
        <v/>
      </c>
      <c r="C243" s="43"/>
      <c r="D243" s="44"/>
      <c r="E243" s="45" t="str">
        <f>IF($Z243="","",IF($F243=ApportCouvert,INDEX(Îlots!$I$8:$I$57,$Z243)&amp;"",INDEX(Îlots!$N$8:$N$57,$Z243)&amp;""))</f>
        <v/>
      </c>
      <c r="F243" s="44"/>
      <c r="G243" s="44"/>
      <c r="H243" s="46" t="str">
        <f>IF($AA243="","",INDEX(Fertilisants!$D$8:$D$47,$AA243)&amp;"")</f>
        <v/>
      </c>
      <c r="I243" s="47"/>
      <c r="J243" s="48"/>
      <c r="K243" s="46" t="str">
        <f>IF($AA243="","",INDEX(Fertilisants!$E$8:$E$47,$AA243)&amp;"")</f>
        <v/>
      </c>
      <c r="L243" s="49" t="str">
        <f t="shared" si="42"/>
        <v/>
      </c>
      <c r="M243" s="50" t="str">
        <f>IF(OR($J243="",$AA243=""),"",$J243*N(INDEX(Fertilisants!$G$8:$G$47,$AA243)))</f>
        <v/>
      </c>
      <c r="N243" s="50" t="str">
        <f>IF(OR($J243="",$AA243=""),"",$J243*N(INDEX(Fertilisants!$I$8:$I$47,$AA243)))</f>
        <v/>
      </c>
      <c r="O243" s="50" t="str">
        <f>IF(OR($J243="",$AA243=""),"",$J243*N(INDEX(Fertilisants!$J$8:$J$47,$AA243)))</f>
        <v/>
      </c>
      <c r="P243" s="50" t="str">
        <f>IF(OR($J243="",$AA243=""),"",$J243*N(INDEX(Fertilisants!$K$8:$K$47,$AA243)))</f>
        <v/>
      </c>
      <c r="Q243" s="50" t="str">
        <f t="shared" si="43"/>
        <v/>
      </c>
      <c r="R243" s="44"/>
      <c r="S243" s="44"/>
      <c r="T243" s="51"/>
      <c r="U243" s="44"/>
      <c r="V243" s="43"/>
      <c r="W243" s="52" t="str">
        <f t="shared" si="44"/>
        <v/>
      </c>
      <c r="X243" s="44"/>
      <c r="Z243" s="53" t="str">
        <f>IF($D243="","",IFERROR(MATCH($D243,Îlots!$D$8:$D$57,0),""))</f>
        <v/>
      </c>
      <c r="AA243" s="53" t="str">
        <f>IF($G243="","",IFERROR(MATCH($G243,Fertilisants!$B$8:$B$47,0),""))</f>
        <v/>
      </c>
      <c r="AB243" s="53" t="str">
        <f>IF($Z243="","",INDEX(Îlots!$E$8:$E$57,$Z243))</f>
        <v/>
      </c>
      <c r="AC243" s="53" t="str">
        <f>IF($Z243="","",INDEX(Îlots!$G$8:$G$57,$Z243)&amp;"")</f>
        <v/>
      </c>
      <c r="AD243" s="53" t="str">
        <f>IF($Z243="","",IF($F243=ApportCouvert,OccCouvert,INDEX(Îlots!$O$8:$O$57,$Z243)&amp;""))</f>
        <v/>
      </c>
      <c r="AE243" s="53" t="str">
        <f t="shared" si="45"/>
        <v/>
      </c>
      <c r="AF243" s="53" t="str">
        <f t="shared" si="46"/>
        <v/>
      </c>
      <c r="AG243" s="53" t="str">
        <f t="shared" si="47"/>
        <v/>
      </c>
      <c r="AH243" s="53">
        <f t="shared" si="48"/>
        <v>0</v>
      </c>
      <c r="AI243" s="53">
        <f t="shared" si="49"/>
        <v>0</v>
      </c>
      <c r="AJ243" s="53">
        <f t="shared" si="50"/>
        <v>0</v>
      </c>
      <c r="AK243" s="53">
        <f t="shared" si="51"/>
        <v>0</v>
      </c>
      <c r="AL243" s="53">
        <f t="shared" si="52"/>
        <v>0</v>
      </c>
      <c r="AM243" s="53">
        <f>IF($AA243="",0,IF(INDEX(Fertilisants!$C$8:$C$47,$AA243)="Effluent d'élevage",1,0))</f>
        <v>0</v>
      </c>
      <c r="AN243" s="53" t="str">
        <f>IF($AA243="","",IF(INDEX(Fertilisants!$C$8:$C$47,$AA243)="Engrais minéral","Minéral","Organique"))</f>
        <v/>
      </c>
      <c r="AO243" s="53" t="str">
        <f t="shared" si="53"/>
        <v/>
      </c>
      <c r="AP243" s="53" t="str">
        <f t="shared" si="54"/>
        <v/>
      </c>
      <c r="AQ243" s="53" t="str">
        <f t="shared" si="55"/>
        <v/>
      </c>
      <c r="AR243" s="53" t="str">
        <f>IF(AND($D243&lt;&gt;"",$D243=FicheIlot),COUNTIF($D$8:$D243,FicheIlot),"")</f>
        <v/>
      </c>
    </row>
    <row r="244" spans="2:44" ht="18.95" customHeight="1" x14ac:dyDescent="0.25">
      <c r="B244" s="42" t="str">
        <f>IF(C244="","",COUNT($C$8:C244))</f>
        <v/>
      </c>
      <c r="C244" s="43"/>
      <c r="D244" s="44"/>
      <c r="E244" s="45" t="str">
        <f>IF($Z244="","",IF($F244=ApportCouvert,INDEX(Îlots!$I$8:$I$57,$Z244)&amp;"",INDEX(Îlots!$N$8:$N$57,$Z244)&amp;""))</f>
        <v/>
      </c>
      <c r="F244" s="44"/>
      <c r="G244" s="44"/>
      <c r="H244" s="46" t="str">
        <f>IF($AA244="","",INDEX(Fertilisants!$D$8:$D$47,$AA244)&amp;"")</f>
        <v/>
      </c>
      <c r="I244" s="47"/>
      <c r="J244" s="48"/>
      <c r="K244" s="46" t="str">
        <f>IF($AA244="","",INDEX(Fertilisants!$E$8:$E$47,$AA244)&amp;"")</f>
        <v/>
      </c>
      <c r="L244" s="49" t="str">
        <f t="shared" si="42"/>
        <v/>
      </c>
      <c r="M244" s="50" t="str">
        <f>IF(OR($J244="",$AA244=""),"",$J244*N(INDEX(Fertilisants!$G$8:$G$47,$AA244)))</f>
        <v/>
      </c>
      <c r="N244" s="50" t="str">
        <f>IF(OR($J244="",$AA244=""),"",$J244*N(INDEX(Fertilisants!$I$8:$I$47,$AA244)))</f>
        <v/>
      </c>
      <c r="O244" s="50" t="str">
        <f>IF(OR($J244="",$AA244=""),"",$J244*N(INDEX(Fertilisants!$J$8:$J$47,$AA244)))</f>
        <v/>
      </c>
      <c r="P244" s="50" t="str">
        <f>IF(OR($J244="",$AA244=""),"",$J244*N(INDEX(Fertilisants!$K$8:$K$47,$AA244)))</f>
        <v/>
      </c>
      <c r="Q244" s="50" t="str">
        <f t="shared" si="43"/>
        <v/>
      </c>
      <c r="R244" s="44"/>
      <c r="S244" s="44"/>
      <c r="T244" s="51"/>
      <c r="U244" s="44"/>
      <c r="V244" s="43"/>
      <c r="W244" s="52" t="str">
        <f t="shared" si="44"/>
        <v/>
      </c>
      <c r="X244" s="44"/>
      <c r="Z244" s="53" t="str">
        <f>IF($D244="","",IFERROR(MATCH($D244,Îlots!$D$8:$D$57,0),""))</f>
        <v/>
      </c>
      <c r="AA244" s="53" t="str">
        <f>IF($G244="","",IFERROR(MATCH($G244,Fertilisants!$B$8:$B$47,0),""))</f>
        <v/>
      </c>
      <c r="AB244" s="53" t="str">
        <f>IF($Z244="","",INDEX(Îlots!$E$8:$E$57,$Z244))</f>
        <v/>
      </c>
      <c r="AC244" s="53" t="str">
        <f>IF($Z244="","",INDEX(Îlots!$G$8:$G$57,$Z244)&amp;"")</f>
        <v/>
      </c>
      <c r="AD244" s="53" t="str">
        <f>IF($Z244="","",IF($F244=ApportCouvert,OccCouvert,INDEX(Îlots!$O$8:$O$57,$Z244)&amp;""))</f>
        <v/>
      </c>
      <c r="AE244" s="53" t="str">
        <f t="shared" si="45"/>
        <v/>
      </c>
      <c r="AF244" s="53" t="str">
        <f t="shared" si="46"/>
        <v/>
      </c>
      <c r="AG244" s="53" t="str">
        <f t="shared" si="47"/>
        <v/>
      </c>
      <c r="AH244" s="53">
        <f t="shared" si="48"/>
        <v>0</v>
      </c>
      <c r="AI244" s="53">
        <f t="shared" si="49"/>
        <v>0</v>
      </c>
      <c r="AJ244" s="53">
        <f t="shared" si="50"/>
        <v>0</v>
      </c>
      <c r="AK244" s="53">
        <f t="shared" si="51"/>
        <v>0</v>
      </c>
      <c r="AL244" s="53">
        <f t="shared" si="52"/>
        <v>0</v>
      </c>
      <c r="AM244" s="53">
        <f>IF($AA244="",0,IF(INDEX(Fertilisants!$C$8:$C$47,$AA244)="Effluent d'élevage",1,0))</f>
        <v>0</v>
      </c>
      <c r="AN244" s="53" t="str">
        <f>IF($AA244="","",IF(INDEX(Fertilisants!$C$8:$C$47,$AA244)="Engrais minéral","Minéral","Organique"))</f>
        <v/>
      </c>
      <c r="AO244" s="53" t="str">
        <f t="shared" si="53"/>
        <v/>
      </c>
      <c r="AP244" s="53" t="str">
        <f t="shared" si="54"/>
        <v/>
      </c>
      <c r="AQ244" s="53" t="str">
        <f t="shared" si="55"/>
        <v/>
      </c>
      <c r="AR244" s="53" t="str">
        <f>IF(AND($D244&lt;&gt;"",$D244=FicheIlot),COUNTIF($D$8:$D244,FicheIlot),"")</f>
        <v/>
      </c>
    </row>
    <row r="245" spans="2:44" ht="18.95" customHeight="1" x14ac:dyDescent="0.25">
      <c r="B245" s="42" t="str">
        <f>IF(C245="","",COUNT($C$8:C245))</f>
        <v/>
      </c>
      <c r="C245" s="43"/>
      <c r="D245" s="44"/>
      <c r="E245" s="45" t="str">
        <f>IF($Z245="","",IF($F245=ApportCouvert,INDEX(Îlots!$I$8:$I$57,$Z245)&amp;"",INDEX(Îlots!$N$8:$N$57,$Z245)&amp;""))</f>
        <v/>
      </c>
      <c r="F245" s="44"/>
      <c r="G245" s="44"/>
      <c r="H245" s="46" t="str">
        <f>IF($AA245="","",INDEX(Fertilisants!$D$8:$D$47,$AA245)&amp;"")</f>
        <v/>
      </c>
      <c r="I245" s="47"/>
      <c r="J245" s="48"/>
      <c r="K245" s="46" t="str">
        <f>IF($AA245="","",INDEX(Fertilisants!$E$8:$E$47,$AA245)&amp;"")</f>
        <v/>
      </c>
      <c r="L245" s="49" t="str">
        <f t="shared" si="42"/>
        <v/>
      </c>
      <c r="M245" s="50" t="str">
        <f>IF(OR($J245="",$AA245=""),"",$J245*N(INDEX(Fertilisants!$G$8:$G$47,$AA245)))</f>
        <v/>
      </c>
      <c r="N245" s="50" t="str">
        <f>IF(OR($J245="",$AA245=""),"",$J245*N(INDEX(Fertilisants!$I$8:$I$47,$AA245)))</f>
        <v/>
      </c>
      <c r="O245" s="50" t="str">
        <f>IF(OR($J245="",$AA245=""),"",$J245*N(INDEX(Fertilisants!$J$8:$J$47,$AA245)))</f>
        <v/>
      </c>
      <c r="P245" s="50" t="str">
        <f>IF(OR($J245="",$AA245=""),"",$J245*N(INDEX(Fertilisants!$K$8:$K$47,$AA245)))</f>
        <v/>
      </c>
      <c r="Q245" s="50" t="str">
        <f t="shared" si="43"/>
        <v/>
      </c>
      <c r="R245" s="44"/>
      <c r="S245" s="44"/>
      <c r="T245" s="51"/>
      <c r="U245" s="44"/>
      <c r="V245" s="43"/>
      <c r="W245" s="52" t="str">
        <f t="shared" si="44"/>
        <v/>
      </c>
      <c r="X245" s="44"/>
      <c r="Z245" s="53" t="str">
        <f>IF($D245="","",IFERROR(MATCH($D245,Îlots!$D$8:$D$57,0),""))</f>
        <v/>
      </c>
      <c r="AA245" s="53" t="str">
        <f>IF($G245="","",IFERROR(MATCH($G245,Fertilisants!$B$8:$B$47,0),""))</f>
        <v/>
      </c>
      <c r="AB245" s="53" t="str">
        <f>IF($Z245="","",INDEX(Îlots!$E$8:$E$57,$Z245))</f>
        <v/>
      </c>
      <c r="AC245" s="53" t="str">
        <f>IF($Z245="","",INDEX(Îlots!$G$8:$G$57,$Z245)&amp;"")</f>
        <v/>
      </c>
      <c r="AD245" s="53" t="str">
        <f>IF($Z245="","",IF($F245=ApportCouvert,OccCouvert,INDEX(Îlots!$O$8:$O$57,$Z245)&amp;""))</f>
        <v/>
      </c>
      <c r="AE245" s="53" t="str">
        <f t="shared" si="45"/>
        <v/>
      </c>
      <c r="AF245" s="53" t="str">
        <f t="shared" si="46"/>
        <v/>
      </c>
      <c r="AG245" s="53" t="str">
        <f t="shared" si="47"/>
        <v/>
      </c>
      <c r="AH245" s="53">
        <f t="shared" si="48"/>
        <v>0</v>
      </c>
      <c r="AI245" s="53">
        <f t="shared" si="49"/>
        <v>0</v>
      </c>
      <c r="AJ245" s="53">
        <f t="shared" si="50"/>
        <v>0</v>
      </c>
      <c r="AK245" s="53">
        <f t="shared" si="51"/>
        <v>0</v>
      </c>
      <c r="AL245" s="53">
        <f t="shared" si="52"/>
        <v>0</v>
      </c>
      <c r="AM245" s="53">
        <f>IF($AA245="",0,IF(INDEX(Fertilisants!$C$8:$C$47,$AA245)="Effluent d'élevage",1,0))</f>
        <v>0</v>
      </c>
      <c r="AN245" s="53" t="str">
        <f>IF($AA245="","",IF(INDEX(Fertilisants!$C$8:$C$47,$AA245)="Engrais minéral","Minéral","Organique"))</f>
        <v/>
      </c>
      <c r="AO245" s="53" t="str">
        <f t="shared" si="53"/>
        <v/>
      </c>
      <c r="AP245" s="53" t="str">
        <f t="shared" si="54"/>
        <v/>
      </c>
      <c r="AQ245" s="53" t="str">
        <f t="shared" si="55"/>
        <v/>
      </c>
      <c r="AR245" s="53" t="str">
        <f>IF(AND($D245&lt;&gt;"",$D245=FicheIlot),COUNTIF($D$8:$D245,FicheIlot),"")</f>
        <v/>
      </c>
    </row>
    <row r="246" spans="2:44" ht="18.95" customHeight="1" x14ac:dyDescent="0.25">
      <c r="B246" s="42" t="str">
        <f>IF(C246="","",COUNT($C$8:C246))</f>
        <v/>
      </c>
      <c r="C246" s="43"/>
      <c r="D246" s="44"/>
      <c r="E246" s="45" t="str">
        <f>IF($Z246="","",IF($F246=ApportCouvert,INDEX(Îlots!$I$8:$I$57,$Z246)&amp;"",INDEX(Îlots!$N$8:$N$57,$Z246)&amp;""))</f>
        <v/>
      </c>
      <c r="F246" s="44"/>
      <c r="G246" s="44"/>
      <c r="H246" s="46" t="str">
        <f>IF($AA246="","",INDEX(Fertilisants!$D$8:$D$47,$AA246)&amp;"")</f>
        <v/>
      </c>
      <c r="I246" s="47"/>
      <c r="J246" s="48"/>
      <c r="K246" s="46" t="str">
        <f>IF($AA246="","",INDEX(Fertilisants!$E$8:$E$47,$AA246)&amp;"")</f>
        <v/>
      </c>
      <c r="L246" s="49" t="str">
        <f t="shared" si="42"/>
        <v/>
      </c>
      <c r="M246" s="50" t="str">
        <f>IF(OR($J246="",$AA246=""),"",$J246*N(INDEX(Fertilisants!$G$8:$G$47,$AA246)))</f>
        <v/>
      </c>
      <c r="N246" s="50" t="str">
        <f>IF(OR($J246="",$AA246=""),"",$J246*N(INDEX(Fertilisants!$I$8:$I$47,$AA246)))</f>
        <v/>
      </c>
      <c r="O246" s="50" t="str">
        <f>IF(OR($J246="",$AA246=""),"",$J246*N(INDEX(Fertilisants!$J$8:$J$47,$AA246)))</f>
        <v/>
      </c>
      <c r="P246" s="50" t="str">
        <f>IF(OR($J246="",$AA246=""),"",$J246*N(INDEX(Fertilisants!$K$8:$K$47,$AA246)))</f>
        <v/>
      </c>
      <c r="Q246" s="50" t="str">
        <f t="shared" si="43"/>
        <v/>
      </c>
      <c r="R246" s="44"/>
      <c r="S246" s="44"/>
      <c r="T246" s="51"/>
      <c r="U246" s="44"/>
      <c r="V246" s="43"/>
      <c r="W246" s="52" t="str">
        <f t="shared" si="44"/>
        <v/>
      </c>
      <c r="X246" s="44"/>
      <c r="Z246" s="53" t="str">
        <f>IF($D246="","",IFERROR(MATCH($D246,Îlots!$D$8:$D$57,0),""))</f>
        <v/>
      </c>
      <c r="AA246" s="53" t="str">
        <f>IF($G246="","",IFERROR(MATCH($G246,Fertilisants!$B$8:$B$47,0),""))</f>
        <v/>
      </c>
      <c r="AB246" s="53" t="str">
        <f>IF($Z246="","",INDEX(Îlots!$E$8:$E$57,$Z246))</f>
        <v/>
      </c>
      <c r="AC246" s="53" t="str">
        <f>IF($Z246="","",INDEX(Îlots!$G$8:$G$57,$Z246)&amp;"")</f>
        <v/>
      </c>
      <c r="AD246" s="53" t="str">
        <f>IF($Z246="","",IF($F246=ApportCouvert,OccCouvert,INDEX(Îlots!$O$8:$O$57,$Z246)&amp;""))</f>
        <v/>
      </c>
      <c r="AE246" s="53" t="str">
        <f t="shared" si="45"/>
        <v/>
      </c>
      <c r="AF246" s="53" t="str">
        <f t="shared" si="46"/>
        <v/>
      </c>
      <c r="AG246" s="53" t="str">
        <f t="shared" si="47"/>
        <v/>
      </c>
      <c r="AH246" s="53">
        <f t="shared" si="48"/>
        <v>0</v>
      </c>
      <c r="AI246" s="53">
        <f t="shared" si="49"/>
        <v>0</v>
      </c>
      <c r="AJ246" s="53">
        <f t="shared" si="50"/>
        <v>0</v>
      </c>
      <c r="AK246" s="53">
        <f t="shared" si="51"/>
        <v>0</v>
      </c>
      <c r="AL246" s="53">
        <f t="shared" si="52"/>
        <v>0</v>
      </c>
      <c r="AM246" s="53">
        <f>IF($AA246="",0,IF(INDEX(Fertilisants!$C$8:$C$47,$AA246)="Effluent d'élevage",1,0))</f>
        <v>0</v>
      </c>
      <c r="AN246" s="53" t="str">
        <f>IF($AA246="","",IF(INDEX(Fertilisants!$C$8:$C$47,$AA246)="Engrais minéral","Minéral","Organique"))</f>
        <v/>
      </c>
      <c r="AO246" s="53" t="str">
        <f t="shared" si="53"/>
        <v/>
      </c>
      <c r="AP246" s="53" t="str">
        <f t="shared" si="54"/>
        <v/>
      </c>
      <c r="AQ246" s="53" t="str">
        <f t="shared" si="55"/>
        <v/>
      </c>
      <c r="AR246" s="53" t="str">
        <f>IF(AND($D246&lt;&gt;"",$D246=FicheIlot),COUNTIF($D$8:$D246,FicheIlot),"")</f>
        <v/>
      </c>
    </row>
    <row r="247" spans="2:44" ht="18.95" customHeight="1" x14ac:dyDescent="0.25">
      <c r="B247" s="42" t="str">
        <f>IF(C247="","",COUNT($C$8:C247))</f>
        <v/>
      </c>
      <c r="C247" s="43"/>
      <c r="D247" s="44"/>
      <c r="E247" s="45" t="str">
        <f>IF($Z247="","",IF($F247=ApportCouvert,INDEX(Îlots!$I$8:$I$57,$Z247)&amp;"",INDEX(Îlots!$N$8:$N$57,$Z247)&amp;""))</f>
        <v/>
      </c>
      <c r="F247" s="44"/>
      <c r="G247" s="44"/>
      <c r="H247" s="46" t="str">
        <f>IF($AA247="","",INDEX(Fertilisants!$D$8:$D$47,$AA247)&amp;"")</f>
        <v/>
      </c>
      <c r="I247" s="47"/>
      <c r="J247" s="48"/>
      <c r="K247" s="46" t="str">
        <f>IF($AA247="","",INDEX(Fertilisants!$E$8:$E$47,$AA247)&amp;"")</f>
        <v/>
      </c>
      <c r="L247" s="49" t="str">
        <f t="shared" si="42"/>
        <v/>
      </c>
      <c r="M247" s="50" t="str">
        <f>IF(OR($J247="",$AA247=""),"",$J247*N(INDEX(Fertilisants!$G$8:$G$47,$AA247)))</f>
        <v/>
      </c>
      <c r="N247" s="50" t="str">
        <f>IF(OR($J247="",$AA247=""),"",$J247*N(INDEX(Fertilisants!$I$8:$I$47,$AA247)))</f>
        <v/>
      </c>
      <c r="O247" s="50" t="str">
        <f>IF(OR($J247="",$AA247=""),"",$J247*N(INDEX(Fertilisants!$J$8:$J$47,$AA247)))</f>
        <v/>
      </c>
      <c r="P247" s="50" t="str">
        <f>IF(OR($J247="",$AA247=""),"",$J247*N(INDEX(Fertilisants!$K$8:$K$47,$AA247)))</f>
        <v/>
      </c>
      <c r="Q247" s="50" t="str">
        <f t="shared" si="43"/>
        <v/>
      </c>
      <c r="R247" s="44"/>
      <c r="S247" s="44"/>
      <c r="T247" s="51"/>
      <c r="U247" s="44"/>
      <c r="V247" s="43"/>
      <c r="W247" s="52" t="str">
        <f t="shared" si="44"/>
        <v/>
      </c>
      <c r="X247" s="44"/>
      <c r="Z247" s="53" t="str">
        <f>IF($D247="","",IFERROR(MATCH($D247,Îlots!$D$8:$D$57,0),""))</f>
        <v/>
      </c>
      <c r="AA247" s="53" t="str">
        <f>IF($G247="","",IFERROR(MATCH($G247,Fertilisants!$B$8:$B$47,0),""))</f>
        <v/>
      </c>
      <c r="AB247" s="53" t="str">
        <f>IF($Z247="","",INDEX(Îlots!$E$8:$E$57,$Z247))</f>
        <v/>
      </c>
      <c r="AC247" s="53" t="str">
        <f>IF($Z247="","",INDEX(Îlots!$G$8:$G$57,$Z247)&amp;"")</f>
        <v/>
      </c>
      <c r="AD247" s="53" t="str">
        <f>IF($Z247="","",IF($F247=ApportCouvert,OccCouvert,INDEX(Îlots!$O$8:$O$57,$Z247)&amp;""))</f>
        <v/>
      </c>
      <c r="AE247" s="53" t="str">
        <f t="shared" si="45"/>
        <v/>
      </c>
      <c r="AF247" s="53" t="str">
        <f t="shared" si="46"/>
        <v/>
      </c>
      <c r="AG247" s="53" t="str">
        <f t="shared" si="47"/>
        <v/>
      </c>
      <c r="AH247" s="53">
        <f t="shared" si="48"/>
        <v>0</v>
      </c>
      <c r="AI247" s="53">
        <f t="shared" si="49"/>
        <v>0</v>
      </c>
      <c r="AJ247" s="53">
        <f t="shared" si="50"/>
        <v>0</v>
      </c>
      <c r="AK247" s="53">
        <f t="shared" si="51"/>
        <v>0</v>
      </c>
      <c r="AL247" s="53">
        <f t="shared" si="52"/>
        <v>0</v>
      </c>
      <c r="AM247" s="53">
        <f>IF($AA247="",0,IF(INDEX(Fertilisants!$C$8:$C$47,$AA247)="Effluent d'élevage",1,0))</f>
        <v>0</v>
      </c>
      <c r="AN247" s="53" t="str">
        <f>IF($AA247="","",IF(INDEX(Fertilisants!$C$8:$C$47,$AA247)="Engrais minéral","Minéral","Organique"))</f>
        <v/>
      </c>
      <c r="AO247" s="53" t="str">
        <f t="shared" si="53"/>
        <v/>
      </c>
      <c r="AP247" s="53" t="str">
        <f t="shared" si="54"/>
        <v/>
      </c>
      <c r="AQ247" s="53" t="str">
        <f t="shared" si="55"/>
        <v/>
      </c>
      <c r="AR247" s="53" t="str">
        <f>IF(AND($D247&lt;&gt;"",$D247=FicheIlot),COUNTIF($D$8:$D247,FicheIlot),"")</f>
        <v/>
      </c>
    </row>
    <row r="248" spans="2:44" ht="18.95" customHeight="1" x14ac:dyDescent="0.25">
      <c r="B248" s="42" t="str">
        <f>IF(C248="","",COUNT($C$8:C248))</f>
        <v/>
      </c>
      <c r="C248" s="43"/>
      <c r="D248" s="44"/>
      <c r="E248" s="45" t="str">
        <f>IF($Z248="","",IF($F248=ApportCouvert,INDEX(Îlots!$I$8:$I$57,$Z248)&amp;"",INDEX(Îlots!$N$8:$N$57,$Z248)&amp;""))</f>
        <v/>
      </c>
      <c r="F248" s="44"/>
      <c r="G248" s="44"/>
      <c r="H248" s="46" t="str">
        <f>IF($AA248="","",INDEX(Fertilisants!$D$8:$D$47,$AA248)&amp;"")</f>
        <v/>
      </c>
      <c r="I248" s="47"/>
      <c r="J248" s="48"/>
      <c r="K248" s="46" t="str">
        <f>IF($AA248="","",INDEX(Fertilisants!$E$8:$E$47,$AA248)&amp;"")</f>
        <v/>
      </c>
      <c r="L248" s="49" t="str">
        <f t="shared" si="42"/>
        <v/>
      </c>
      <c r="M248" s="50" t="str">
        <f>IF(OR($J248="",$AA248=""),"",$J248*N(INDEX(Fertilisants!$G$8:$G$47,$AA248)))</f>
        <v/>
      </c>
      <c r="N248" s="50" t="str">
        <f>IF(OR($J248="",$AA248=""),"",$J248*N(INDEX(Fertilisants!$I$8:$I$47,$AA248)))</f>
        <v/>
      </c>
      <c r="O248" s="50" t="str">
        <f>IF(OR($J248="",$AA248=""),"",$J248*N(INDEX(Fertilisants!$J$8:$J$47,$AA248)))</f>
        <v/>
      </c>
      <c r="P248" s="50" t="str">
        <f>IF(OR($J248="",$AA248=""),"",$J248*N(INDEX(Fertilisants!$K$8:$K$47,$AA248)))</f>
        <v/>
      </c>
      <c r="Q248" s="50" t="str">
        <f t="shared" si="43"/>
        <v/>
      </c>
      <c r="R248" s="44"/>
      <c r="S248" s="44"/>
      <c r="T248" s="51"/>
      <c r="U248" s="44"/>
      <c r="V248" s="43"/>
      <c r="W248" s="52" t="str">
        <f t="shared" si="44"/>
        <v/>
      </c>
      <c r="X248" s="44"/>
      <c r="Z248" s="53" t="str">
        <f>IF($D248="","",IFERROR(MATCH($D248,Îlots!$D$8:$D$57,0),""))</f>
        <v/>
      </c>
      <c r="AA248" s="53" t="str">
        <f>IF($G248="","",IFERROR(MATCH($G248,Fertilisants!$B$8:$B$47,0),""))</f>
        <v/>
      </c>
      <c r="AB248" s="53" t="str">
        <f>IF($Z248="","",INDEX(Îlots!$E$8:$E$57,$Z248))</f>
        <v/>
      </c>
      <c r="AC248" s="53" t="str">
        <f>IF($Z248="","",INDEX(Îlots!$G$8:$G$57,$Z248)&amp;"")</f>
        <v/>
      </c>
      <c r="AD248" s="53" t="str">
        <f>IF($Z248="","",IF($F248=ApportCouvert,OccCouvert,INDEX(Îlots!$O$8:$O$57,$Z248)&amp;""))</f>
        <v/>
      </c>
      <c r="AE248" s="53" t="str">
        <f t="shared" si="45"/>
        <v/>
      </c>
      <c r="AF248" s="53" t="str">
        <f t="shared" si="46"/>
        <v/>
      </c>
      <c r="AG248" s="53" t="str">
        <f t="shared" si="47"/>
        <v/>
      </c>
      <c r="AH248" s="53">
        <f t="shared" si="48"/>
        <v>0</v>
      </c>
      <c r="AI248" s="53">
        <f t="shared" si="49"/>
        <v>0</v>
      </c>
      <c r="AJ248" s="53">
        <f t="shared" si="50"/>
        <v>0</v>
      </c>
      <c r="AK248" s="53">
        <f t="shared" si="51"/>
        <v>0</v>
      </c>
      <c r="AL248" s="53">
        <f t="shared" si="52"/>
        <v>0</v>
      </c>
      <c r="AM248" s="53">
        <f>IF($AA248="",0,IF(INDEX(Fertilisants!$C$8:$C$47,$AA248)="Effluent d'élevage",1,0))</f>
        <v>0</v>
      </c>
      <c r="AN248" s="53" t="str">
        <f>IF($AA248="","",IF(INDEX(Fertilisants!$C$8:$C$47,$AA248)="Engrais minéral","Minéral","Organique"))</f>
        <v/>
      </c>
      <c r="AO248" s="53" t="str">
        <f t="shared" si="53"/>
        <v/>
      </c>
      <c r="AP248" s="53" t="str">
        <f t="shared" si="54"/>
        <v/>
      </c>
      <c r="AQ248" s="53" t="str">
        <f t="shared" si="55"/>
        <v/>
      </c>
      <c r="AR248" s="53" t="str">
        <f>IF(AND($D248&lt;&gt;"",$D248=FicheIlot),COUNTIF($D$8:$D248,FicheIlot),"")</f>
        <v/>
      </c>
    </row>
    <row r="249" spans="2:44" ht="18.95" customHeight="1" x14ac:dyDescent="0.25">
      <c r="B249" s="42" t="str">
        <f>IF(C249="","",COUNT($C$8:C249))</f>
        <v/>
      </c>
      <c r="C249" s="43"/>
      <c r="D249" s="44"/>
      <c r="E249" s="45" t="str">
        <f>IF($Z249="","",IF($F249=ApportCouvert,INDEX(Îlots!$I$8:$I$57,$Z249)&amp;"",INDEX(Îlots!$N$8:$N$57,$Z249)&amp;""))</f>
        <v/>
      </c>
      <c r="F249" s="44"/>
      <c r="G249" s="44"/>
      <c r="H249" s="46" t="str">
        <f>IF($AA249="","",INDEX(Fertilisants!$D$8:$D$47,$AA249)&amp;"")</f>
        <v/>
      </c>
      <c r="I249" s="47"/>
      <c r="J249" s="48"/>
      <c r="K249" s="46" t="str">
        <f>IF($AA249="","",INDEX(Fertilisants!$E$8:$E$47,$AA249)&amp;"")</f>
        <v/>
      </c>
      <c r="L249" s="49" t="str">
        <f t="shared" si="42"/>
        <v/>
      </c>
      <c r="M249" s="50" t="str">
        <f>IF(OR($J249="",$AA249=""),"",$J249*N(INDEX(Fertilisants!$G$8:$G$47,$AA249)))</f>
        <v/>
      </c>
      <c r="N249" s="50" t="str">
        <f>IF(OR($J249="",$AA249=""),"",$J249*N(INDEX(Fertilisants!$I$8:$I$47,$AA249)))</f>
        <v/>
      </c>
      <c r="O249" s="50" t="str">
        <f>IF(OR($J249="",$AA249=""),"",$J249*N(INDEX(Fertilisants!$J$8:$J$47,$AA249)))</f>
        <v/>
      </c>
      <c r="P249" s="50" t="str">
        <f>IF(OR($J249="",$AA249=""),"",$J249*N(INDEX(Fertilisants!$K$8:$K$47,$AA249)))</f>
        <v/>
      </c>
      <c r="Q249" s="50" t="str">
        <f t="shared" si="43"/>
        <v/>
      </c>
      <c r="R249" s="44"/>
      <c r="S249" s="44"/>
      <c r="T249" s="51"/>
      <c r="U249" s="44"/>
      <c r="V249" s="43"/>
      <c r="W249" s="52" t="str">
        <f t="shared" si="44"/>
        <v/>
      </c>
      <c r="X249" s="44"/>
      <c r="Z249" s="53" t="str">
        <f>IF($D249="","",IFERROR(MATCH($D249,Îlots!$D$8:$D$57,0),""))</f>
        <v/>
      </c>
      <c r="AA249" s="53" t="str">
        <f>IF($G249="","",IFERROR(MATCH($G249,Fertilisants!$B$8:$B$47,0),""))</f>
        <v/>
      </c>
      <c r="AB249" s="53" t="str">
        <f>IF($Z249="","",INDEX(Îlots!$E$8:$E$57,$Z249))</f>
        <v/>
      </c>
      <c r="AC249" s="53" t="str">
        <f>IF($Z249="","",INDEX(Îlots!$G$8:$G$57,$Z249)&amp;"")</f>
        <v/>
      </c>
      <c r="AD249" s="53" t="str">
        <f>IF($Z249="","",IF($F249=ApportCouvert,OccCouvert,INDEX(Îlots!$O$8:$O$57,$Z249)&amp;""))</f>
        <v/>
      </c>
      <c r="AE249" s="53" t="str">
        <f t="shared" si="45"/>
        <v/>
      </c>
      <c r="AF249" s="53" t="str">
        <f t="shared" si="46"/>
        <v/>
      </c>
      <c r="AG249" s="53" t="str">
        <f t="shared" si="47"/>
        <v/>
      </c>
      <c r="AH249" s="53">
        <f t="shared" si="48"/>
        <v>0</v>
      </c>
      <c r="AI249" s="53">
        <f t="shared" si="49"/>
        <v>0</v>
      </c>
      <c r="AJ249" s="53">
        <f t="shared" si="50"/>
        <v>0</v>
      </c>
      <c r="AK249" s="53">
        <f t="shared" si="51"/>
        <v>0</v>
      </c>
      <c r="AL249" s="53">
        <f t="shared" si="52"/>
        <v>0</v>
      </c>
      <c r="AM249" s="53">
        <f>IF($AA249="",0,IF(INDEX(Fertilisants!$C$8:$C$47,$AA249)="Effluent d'élevage",1,0))</f>
        <v>0</v>
      </c>
      <c r="AN249" s="53" t="str">
        <f>IF($AA249="","",IF(INDEX(Fertilisants!$C$8:$C$47,$AA249)="Engrais minéral","Minéral","Organique"))</f>
        <v/>
      </c>
      <c r="AO249" s="53" t="str">
        <f t="shared" si="53"/>
        <v/>
      </c>
      <c r="AP249" s="53" t="str">
        <f t="shared" si="54"/>
        <v/>
      </c>
      <c r="AQ249" s="53" t="str">
        <f t="shared" si="55"/>
        <v/>
      </c>
      <c r="AR249" s="53" t="str">
        <f>IF(AND($D249&lt;&gt;"",$D249=FicheIlot),COUNTIF($D$8:$D249,FicheIlot),"")</f>
        <v/>
      </c>
    </row>
    <row r="250" spans="2:44" ht="18.95" customHeight="1" x14ac:dyDescent="0.25">
      <c r="B250" s="42" t="str">
        <f>IF(C250="","",COUNT($C$8:C250))</f>
        <v/>
      </c>
      <c r="C250" s="43"/>
      <c r="D250" s="44"/>
      <c r="E250" s="45" t="str">
        <f>IF($Z250="","",IF($F250=ApportCouvert,INDEX(Îlots!$I$8:$I$57,$Z250)&amp;"",INDEX(Îlots!$N$8:$N$57,$Z250)&amp;""))</f>
        <v/>
      </c>
      <c r="F250" s="44"/>
      <c r="G250" s="44"/>
      <c r="H250" s="46" t="str">
        <f>IF($AA250="","",INDEX(Fertilisants!$D$8:$D$47,$AA250)&amp;"")</f>
        <v/>
      </c>
      <c r="I250" s="47"/>
      <c r="J250" s="48"/>
      <c r="K250" s="46" t="str">
        <f>IF($AA250="","",INDEX(Fertilisants!$E$8:$E$47,$AA250)&amp;"")</f>
        <v/>
      </c>
      <c r="L250" s="49" t="str">
        <f t="shared" si="42"/>
        <v/>
      </c>
      <c r="M250" s="50" t="str">
        <f>IF(OR($J250="",$AA250=""),"",$J250*N(INDEX(Fertilisants!$G$8:$G$47,$AA250)))</f>
        <v/>
      </c>
      <c r="N250" s="50" t="str">
        <f>IF(OR($J250="",$AA250=""),"",$J250*N(INDEX(Fertilisants!$I$8:$I$47,$AA250)))</f>
        <v/>
      </c>
      <c r="O250" s="50" t="str">
        <f>IF(OR($J250="",$AA250=""),"",$J250*N(INDEX(Fertilisants!$J$8:$J$47,$AA250)))</f>
        <v/>
      </c>
      <c r="P250" s="50" t="str">
        <f>IF(OR($J250="",$AA250=""),"",$J250*N(INDEX(Fertilisants!$K$8:$K$47,$AA250)))</f>
        <v/>
      </c>
      <c r="Q250" s="50" t="str">
        <f t="shared" si="43"/>
        <v/>
      </c>
      <c r="R250" s="44"/>
      <c r="S250" s="44"/>
      <c r="T250" s="51"/>
      <c r="U250" s="44"/>
      <c r="V250" s="43"/>
      <c r="W250" s="52" t="str">
        <f t="shared" si="44"/>
        <v/>
      </c>
      <c r="X250" s="44"/>
      <c r="Z250" s="53" t="str">
        <f>IF($D250="","",IFERROR(MATCH($D250,Îlots!$D$8:$D$57,0),""))</f>
        <v/>
      </c>
      <c r="AA250" s="53" t="str">
        <f>IF($G250="","",IFERROR(MATCH($G250,Fertilisants!$B$8:$B$47,0),""))</f>
        <v/>
      </c>
      <c r="AB250" s="53" t="str">
        <f>IF($Z250="","",INDEX(Îlots!$E$8:$E$57,$Z250))</f>
        <v/>
      </c>
      <c r="AC250" s="53" t="str">
        <f>IF($Z250="","",INDEX(Îlots!$G$8:$G$57,$Z250)&amp;"")</f>
        <v/>
      </c>
      <c r="AD250" s="53" t="str">
        <f>IF($Z250="","",IF($F250=ApportCouvert,OccCouvert,INDEX(Îlots!$O$8:$O$57,$Z250)&amp;""))</f>
        <v/>
      </c>
      <c r="AE250" s="53" t="str">
        <f t="shared" si="45"/>
        <v/>
      </c>
      <c r="AF250" s="53" t="str">
        <f t="shared" si="46"/>
        <v/>
      </c>
      <c r="AG250" s="53" t="str">
        <f t="shared" si="47"/>
        <v/>
      </c>
      <c r="AH250" s="53">
        <f t="shared" si="48"/>
        <v>0</v>
      </c>
      <c r="AI250" s="53">
        <f t="shared" si="49"/>
        <v>0</v>
      </c>
      <c r="AJ250" s="53">
        <f t="shared" si="50"/>
        <v>0</v>
      </c>
      <c r="AK250" s="53">
        <f t="shared" si="51"/>
        <v>0</v>
      </c>
      <c r="AL250" s="53">
        <f t="shared" si="52"/>
        <v>0</v>
      </c>
      <c r="AM250" s="53">
        <f>IF($AA250="",0,IF(INDEX(Fertilisants!$C$8:$C$47,$AA250)="Effluent d'élevage",1,0))</f>
        <v>0</v>
      </c>
      <c r="AN250" s="53" t="str">
        <f>IF($AA250="","",IF(INDEX(Fertilisants!$C$8:$C$47,$AA250)="Engrais minéral","Minéral","Organique"))</f>
        <v/>
      </c>
      <c r="AO250" s="53" t="str">
        <f t="shared" si="53"/>
        <v/>
      </c>
      <c r="AP250" s="53" t="str">
        <f t="shared" si="54"/>
        <v/>
      </c>
      <c r="AQ250" s="53" t="str">
        <f t="shared" si="55"/>
        <v/>
      </c>
      <c r="AR250" s="53" t="str">
        <f>IF(AND($D250&lt;&gt;"",$D250=FicheIlot),COUNTIF($D$8:$D250,FicheIlot),"")</f>
        <v/>
      </c>
    </row>
    <row r="251" spans="2:44" ht="18.95" customHeight="1" x14ac:dyDescent="0.25">
      <c r="B251" s="42" t="str">
        <f>IF(C251="","",COUNT($C$8:C251))</f>
        <v/>
      </c>
      <c r="C251" s="43"/>
      <c r="D251" s="44"/>
      <c r="E251" s="45" t="str">
        <f>IF($Z251="","",IF($F251=ApportCouvert,INDEX(Îlots!$I$8:$I$57,$Z251)&amp;"",INDEX(Îlots!$N$8:$N$57,$Z251)&amp;""))</f>
        <v/>
      </c>
      <c r="F251" s="44"/>
      <c r="G251" s="44"/>
      <c r="H251" s="46" t="str">
        <f>IF($AA251="","",INDEX(Fertilisants!$D$8:$D$47,$AA251)&amp;"")</f>
        <v/>
      </c>
      <c r="I251" s="47"/>
      <c r="J251" s="48"/>
      <c r="K251" s="46" t="str">
        <f>IF($AA251="","",INDEX(Fertilisants!$E$8:$E$47,$AA251)&amp;"")</f>
        <v/>
      </c>
      <c r="L251" s="49" t="str">
        <f t="shared" si="42"/>
        <v/>
      </c>
      <c r="M251" s="50" t="str">
        <f>IF(OR($J251="",$AA251=""),"",$J251*N(INDEX(Fertilisants!$G$8:$G$47,$AA251)))</f>
        <v/>
      </c>
      <c r="N251" s="50" t="str">
        <f>IF(OR($J251="",$AA251=""),"",$J251*N(INDEX(Fertilisants!$I$8:$I$47,$AA251)))</f>
        <v/>
      </c>
      <c r="O251" s="50" t="str">
        <f>IF(OR($J251="",$AA251=""),"",$J251*N(INDEX(Fertilisants!$J$8:$J$47,$AA251)))</f>
        <v/>
      </c>
      <c r="P251" s="50" t="str">
        <f>IF(OR($J251="",$AA251=""),"",$J251*N(INDEX(Fertilisants!$K$8:$K$47,$AA251)))</f>
        <v/>
      </c>
      <c r="Q251" s="50" t="str">
        <f t="shared" si="43"/>
        <v/>
      </c>
      <c r="R251" s="44"/>
      <c r="S251" s="44"/>
      <c r="T251" s="51"/>
      <c r="U251" s="44"/>
      <c r="V251" s="43"/>
      <c r="W251" s="52" t="str">
        <f t="shared" si="44"/>
        <v/>
      </c>
      <c r="X251" s="44"/>
      <c r="Z251" s="53" t="str">
        <f>IF($D251="","",IFERROR(MATCH($D251,Îlots!$D$8:$D$57,0),""))</f>
        <v/>
      </c>
      <c r="AA251" s="53" t="str">
        <f>IF($G251="","",IFERROR(MATCH($G251,Fertilisants!$B$8:$B$47,0),""))</f>
        <v/>
      </c>
      <c r="AB251" s="53" t="str">
        <f>IF($Z251="","",INDEX(Îlots!$E$8:$E$57,$Z251))</f>
        <v/>
      </c>
      <c r="AC251" s="53" t="str">
        <f>IF($Z251="","",INDEX(Îlots!$G$8:$G$57,$Z251)&amp;"")</f>
        <v/>
      </c>
      <c r="AD251" s="53" t="str">
        <f>IF($Z251="","",IF($F251=ApportCouvert,OccCouvert,INDEX(Îlots!$O$8:$O$57,$Z251)&amp;""))</f>
        <v/>
      </c>
      <c r="AE251" s="53" t="str">
        <f t="shared" si="45"/>
        <v/>
      </c>
      <c r="AF251" s="53" t="str">
        <f t="shared" si="46"/>
        <v/>
      </c>
      <c r="AG251" s="53" t="str">
        <f t="shared" si="47"/>
        <v/>
      </c>
      <c r="AH251" s="53">
        <f t="shared" si="48"/>
        <v>0</v>
      </c>
      <c r="AI251" s="53">
        <f t="shared" si="49"/>
        <v>0</v>
      </c>
      <c r="AJ251" s="53">
        <f t="shared" si="50"/>
        <v>0</v>
      </c>
      <c r="AK251" s="53">
        <f t="shared" si="51"/>
        <v>0</v>
      </c>
      <c r="AL251" s="53">
        <f t="shared" si="52"/>
        <v>0</v>
      </c>
      <c r="AM251" s="53">
        <f>IF($AA251="",0,IF(INDEX(Fertilisants!$C$8:$C$47,$AA251)="Effluent d'élevage",1,0))</f>
        <v>0</v>
      </c>
      <c r="AN251" s="53" t="str">
        <f>IF($AA251="","",IF(INDEX(Fertilisants!$C$8:$C$47,$AA251)="Engrais minéral","Minéral","Organique"))</f>
        <v/>
      </c>
      <c r="AO251" s="53" t="str">
        <f t="shared" si="53"/>
        <v/>
      </c>
      <c r="AP251" s="53" t="str">
        <f t="shared" si="54"/>
        <v/>
      </c>
      <c r="AQ251" s="53" t="str">
        <f t="shared" si="55"/>
        <v/>
      </c>
      <c r="AR251" s="53" t="str">
        <f>IF(AND($D251&lt;&gt;"",$D251=FicheIlot),COUNTIF($D$8:$D251,FicheIlot),"")</f>
        <v/>
      </c>
    </row>
    <row r="252" spans="2:44" ht="18.95" customHeight="1" x14ac:dyDescent="0.25">
      <c r="B252" s="42" t="str">
        <f>IF(C252="","",COUNT($C$8:C252))</f>
        <v/>
      </c>
      <c r="C252" s="43"/>
      <c r="D252" s="44"/>
      <c r="E252" s="45" t="str">
        <f>IF($Z252="","",IF($F252=ApportCouvert,INDEX(Îlots!$I$8:$I$57,$Z252)&amp;"",INDEX(Îlots!$N$8:$N$57,$Z252)&amp;""))</f>
        <v/>
      </c>
      <c r="F252" s="44"/>
      <c r="G252" s="44"/>
      <c r="H252" s="46" t="str">
        <f>IF($AA252="","",INDEX(Fertilisants!$D$8:$D$47,$AA252)&amp;"")</f>
        <v/>
      </c>
      <c r="I252" s="47"/>
      <c r="J252" s="48"/>
      <c r="K252" s="46" t="str">
        <f>IF($AA252="","",INDEX(Fertilisants!$E$8:$E$47,$AA252)&amp;"")</f>
        <v/>
      </c>
      <c r="L252" s="49" t="str">
        <f t="shared" si="42"/>
        <v/>
      </c>
      <c r="M252" s="50" t="str">
        <f>IF(OR($J252="",$AA252=""),"",$J252*N(INDEX(Fertilisants!$G$8:$G$47,$AA252)))</f>
        <v/>
      </c>
      <c r="N252" s="50" t="str">
        <f>IF(OR($J252="",$AA252=""),"",$J252*N(INDEX(Fertilisants!$I$8:$I$47,$AA252)))</f>
        <v/>
      </c>
      <c r="O252" s="50" t="str">
        <f>IF(OR($J252="",$AA252=""),"",$J252*N(INDEX(Fertilisants!$J$8:$J$47,$AA252)))</f>
        <v/>
      </c>
      <c r="P252" s="50" t="str">
        <f>IF(OR($J252="",$AA252=""),"",$J252*N(INDEX(Fertilisants!$K$8:$K$47,$AA252)))</f>
        <v/>
      </c>
      <c r="Q252" s="50" t="str">
        <f t="shared" si="43"/>
        <v/>
      </c>
      <c r="R252" s="44"/>
      <c r="S252" s="44"/>
      <c r="T252" s="51"/>
      <c r="U252" s="44"/>
      <c r="V252" s="43"/>
      <c r="W252" s="52" t="str">
        <f t="shared" si="44"/>
        <v/>
      </c>
      <c r="X252" s="44"/>
      <c r="Z252" s="53" t="str">
        <f>IF($D252="","",IFERROR(MATCH($D252,Îlots!$D$8:$D$57,0),""))</f>
        <v/>
      </c>
      <c r="AA252" s="53" t="str">
        <f>IF($G252="","",IFERROR(MATCH($G252,Fertilisants!$B$8:$B$47,0),""))</f>
        <v/>
      </c>
      <c r="AB252" s="53" t="str">
        <f>IF($Z252="","",INDEX(Îlots!$E$8:$E$57,$Z252))</f>
        <v/>
      </c>
      <c r="AC252" s="53" t="str">
        <f>IF($Z252="","",INDEX(Îlots!$G$8:$G$57,$Z252)&amp;"")</f>
        <v/>
      </c>
      <c r="AD252" s="53" t="str">
        <f>IF($Z252="","",IF($F252=ApportCouvert,OccCouvert,INDEX(Îlots!$O$8:$O$57,$Z252)&amp;""))</f>
        <v/>
      </c>
      <c r="AE252" s="53" t="str">
        <f t="shared" si="45"/>
        <v/>
      </c>
      <c r="AF252" s="53" t="str">
        <f t="shared" si="46"/>
        <v/>
      </c>
      <c r="AG252" s="53" t="str">
        <f t="shared" si="47"/>
        <v/>
      </c>
      <c r="AH252" s="53">
        <f t="shared" si="48"/>
        <v>0</v>
      </c>
      <c r="AI252" s="53">
        <f t="shared" si="49"/>
        <v>0</v>
      </c>
      <c r="AJ252" s="53">
        <f t="shared" si="50"/>
        <v>0</v>
      </c>
      <c r="AK252" s="53">
        <f t="shared" si="51"/>
        <v>0</v>
      </c>
      <c r="AL252" s="53">
        <f t="shared" si="52"/>
        <v>0</v>
      </c>
      <c r="AM252" s="53">
        <f>IF($AA252="",0,IF(INDEX(Fertilisants!$C$8:$C$47,$AA252)="Effluent d'élevage",1,0))</f>
        <v>0</v>
      </c>
      <c r="AN252" s="53" t="str">
        <f>IF($AA252="","",IF(INDEX(Fertilisants!$C$8:$C$47,$AA252)="Engrais minéral","Minéral","Organique"))</f>
        <v/>
      </c>
      <c r="AO252" s="53" t="str">
        <f t="shared" si="53"/>
        <v/>
      </c>
      <c r="AP252" s="53" t="str">
        <f t="shared" si="54"/>
        <v/>
      </c>
      <c r="AQ252" s="53" t="str">
        <f t="shared" si="55"/>
        <v/>
      </c>
      <c r="AR252" s="53" t="str">
        <f>IF(AND($D252&lt;&gt;"",$D252=FicheIlot),COUNTIF($D$8:$D252,FicheIlot),"")</f>
        <v/>
      </c>
    </row>
    <row r="253" spans="2:44" ht="18.95" customHeight="1" x14ac:dyDescent="0.25">
      <c r="B253" s="42" t="str">
        <f>IF(C253="","",COUNT($C$8:C253))</f>
        <v/>
      </c>
      <c r="C253" s="43"/>
      <c r="D253" s="44"/>
      <c r="E253" s="45" t="str">
        <f>IF($Z253="","",IF($F253=ApportCouvert,INDEX(Îlots!$I$8:$I$57,$Z253)&amp;"",INDEX(Îlots!$N$8:$N$57,$Z253)&amp;""))</f>
        <v/>
      </c>
      <c r="F253" s="44"/>
      <c r="G253" s="44"/>
      <c r="H253" s="46" t="str">
        <f>IF($AA253="","",INDEX(Fertilisants!$D$8:$D$47,$AA253)&amp;"")</f>
        <v/>
      </c>
      <c r="I253" s="47"/>
      <c r="J253" s="48"/>
      <c r="K253" s="46" t="str">
        <f>IF($AA253="","",INDEX(Fertilisants!$E$8:$E$47,$AA253)&amp;"")</f>
        <v/>
      </c>
      <c r="L253" s="49" t="str">
        <f t="shared" si="42"/>
        <v/>
      </c>
      <c r="M253" s="50" t="str">
        <f>IF(OR($J253="",$AA253=""),"",$J253*N(INDEX(Fertilisants!$G$8:$G$47,$AA253)))</f>
        <v/>
      </c>
      <c r="N253" s="50" t="str">
        <f>IF(OR($J253="",$AA253=""),"",$J253*N(INDEX(Fertilisants!$I$8:$I$47,$AA253)))</f>
        <v/>
      </c>
      <c r="O253" s="50" t="str">
        <f>IF(OR($J253="",$AA253=""),"",$J253*N(INDEX(Fertilisants!$J$8:$J$47,$AA253)))</f>
        <v/>
      </c>
      <c r="P253" s="50" t="str">
        <f>IF(OR($J253="",$AA253=""),"",$J253*N(INDEX(Fertilisants!$K$8:$K$47,$AA253)))</f>
        <v/>
      </c>
      <c r="Q253" s="50" t="str">
        <f t="shared" si="43"/>
        <v/>
      </c>
      <c r="R253" s="44"/>
      <c r="S253" s="44"/>
      <c r="T253" s="51"/>
      <c r="U253" s="44"/>
      <c r="V253" s="43"/>
      <c r="W253" s="52" t="str">
        <f t="shared" si="44"/>
        <v/>
      </c>
      <c r="X253" s="44"/>
      <c r="Z253" s="53" t="str">
        <f>IF($D253="","",IFERROR(MATCH($D253,Îlots!$D$8:$D$57,0),""))</f>
        <v/>
      </c>
      <c r="AA253" s="53" t="str">
        <f>IF($G253="","",IFERROR(MATCH($G253,Fertilisants!$B$8:$B$47,0),""))</f>
        <v/>
      </c>
      <c r="AB253" s="53" t="str">
        <f>IF($Z253="","",INDEX(Îlots!$E$8:$E$57,$Z253))</f>
        <v/>
      </c>
      <c r="AC253" s="53" t="str">
        <f>IF($Z253="","",INDEX(Îlots!$G$8:$G$57,$Z253)&amp;"")</f>
        <v/>
      </c>
      <c r="AD253" s="53" t="str">
        <f>IF($Z253="","",IF($F253=ApportCouvert,OccCouvert,INDEX(Îlots!$O$8:$O$57,$Z253)&amp;""))</f>
        <v/>
      </c>
      <c r="AE253" s="53" t="str">
        <f t="shared" si="45"/>
        <v/>
      </c>
      <c r="AF253" s="53" t="str">
        <f t="shared" si="46"/>
        <v/>
      </c>
      <c r="AG253" s="53" t="str">
        <f t="shared" si="47"/>
        <v/>
      </c>
      <c r="AH253" s="53">
        <f t="shared" si="48"/>
        <v>0</v>
      </c>
      <c r="AI253" s="53">
        <f t="shared" si="49"/>
        <v>0</v>
      </c>
      <c r="AJ253" s="53">
        <f t="shared" si="50"/>
        <v>0</v>
      </c>
      <c r="AK253" s="53">
        <f t="shared" si="51"/>
        <v>0</v>
      </c>
      <c r="AL253" s="53">
        <f t="shared" si="52"/>
        <v>0</v>
      </c>
      <c r="AM253" s="53">
        <f>IF($AA253="",0,IF(INDEX(Fertilisants!$C$8:$C$47,$AA253)="Effluent d'élevage",1,0))</f>
        <v>0</v>
      </c>
      <c r="AN253" s="53" t="str">
        <f>IF($AA253="","",IF(INDEX(Fertilisants!$C$8:$C$47,$AA253)="Engrais minéral","Minéral","Organique"))</f>
        <v/>
      </c>
      <c r="AO253" s="53" t="str">
        <f t="shared" si="53"/>
        <v/>
      </c>
      <c r="AP253" s="53" t="str">
        <f t="shared" si="54"/>
        <v/>
      </c>
      <c r="AQ253" s="53" t="str">
        <f t="shared" si="55"/>
        <v/>
      </c>
      <c r="AR253" s="53" t="str">
        <f>IF(AND($D253&lt;&gt;"",$D253=FicheIlot),COUNTIF($D$8:$D253,FicheIlot),"")</f>
        <v/>
      </c>
    </row>
    <row r="254" spans="2:44" ht="18.95" customHeight="1" x14ac:dyDescent="0.25">
      <c r="B254" s="42" t="str">
        <f>IF(C254="","",COUNT($C$8:C254))</f>
        <v/>
      </c>
      <c r="C254" s="43"/>
      <c r="D254" s="44"/>
      <c r="E254" s="45" t="str">
        <f>IF($Z254="","",IF($F254=ApportCouvert,INDEX(Îlots!$I$8:$I$57,$Z254)&amp;"",INDEX(Îlots!$N$8:$N$57,$Z254)&amp;""))</f>
        <v/>
      </c>
      <c r="F254" s="44"/>
      <c r="G254" s="44"/>
      <c r="H254" s="46" t="str">
        <f>IF($AA254="","",INDEX(Fertilisants!$D$8:$D$47,$AA254)&amp;"")</f>
        <v/>
      </c>
      <c r="I254" s="47"/>
      <c r="J254" s="48"/>
      <c r="K254" s="46" t="str">
        <f>IF($AA254="","",INDEX(Fertilisants!$E$8:$E$47,$AA254)&amp;"")</f>
        <v/>
      </c>
      <c r="L254" s="49" t="str">
        <f t="shared" si="42"/>
        <v/>
      </c>
      <c r="M254" s="50" t="str">
        <f>IF(OR($J254="",$AA254=""),"",$J254*N(INDEX(Fertilisants!$G$8:$G$47,$AA254)))</f>
        <v/>
      </c>
      <c r="N254" s="50" t="str">
        <f>IF(OR($J254="",$AA254=""),"",$J254*N(INDEX(Fertilisants!$I$8:$I$47,$AA254)))</f>
        <v/>
      </c>
      <c r="O254" s="50" t="str">
        <f>IF(OR($J254="",$AA254=""),"",$J254*N(INDEX(Fertilisants!$J$8:$J$47,$AA254)))</f>
        <v/>
      </c>
      <c r="P254" s="50" t="str">
        <f>IF(OR($J254="",$AA254=""),"",$J254*N(INDEX(Fertilisants!$K$8:$K$47,$AA254)))</f>
        <v/>
      </c>
      <c r="Q254" s="50" t="str">
        <f t="shared" si="43"/>
        <v/>
      </c>
      <c r="R254" s="44"/>
      <c r="S254" s="44"/>
      <c r="T254" s="51"/>
      <c r="U254" s="44"/>
      <c r="V254" s="43"/>
      <c r="W254" s="52" t="str">
        <f t="shared" si="44"/>
        <v/>
      </c>
      <c r="X254" s="44"/>
      <c r="Z254" s="53" t="str">
        <f>IF($D254="","",IFERROR(MATCH($D254,Îlots!$D$8:$D$57,0),""))</f>
        <v/>
      </c>
      <c r="AA254" s="53" t="str">
        <f>IF($G254="","",IFERROR(MATCH($G254,Fertilisants!$B$8:$B$47,0),""))</f>
        <v/>
      </c>
      <c r="AB254" s="53" t="str">
        <f>IF($Z254="","",INDEX(Îlots!$E$8:$E$57,$Z254))</f>
        <v/>
      </c>
      <c r="AC254" s="53" t="str">
        <f>IF($Z254="","",INDEX(Îlots!$G$8:$G$57,$Z254)&amp;"")</f>
        <v/>
      </c>
      <c r="AD254" s="53" t="str">
        <f>IF($Z254="","",IF($F254=ApportCouvert,OccCouvert,INDEX(Îlots!$O$8:$O$57,$Z254)&amp;""))</f>
        <v/>
      </c>
      <c r="AE254" s="53" t="str">
        <f t="shared" si="45"/>
        <v/>
      </c>
      <c r="AF254" s="53" t="str">
        <f t="shared" si="46"/>
        <v/>
      </c>
      <c r="AG254" s="53" t="str">
        <f t="shared" si="47"/>
        <v/>
      </c>
      <c r="AH254" s="53">
        <f t="shared" si="48"/>
        <v>0</v>
      </c>
      <c r="AI254" s="53">
        <f t="shared" si="49"/>
        <v>0</v>
      </c>
      <c r="AJ254" s="53">
        <f t="shared" si="50"/>
        <v>0</v>
      </c>
      <c r="AK254" s="53">
        <f t="shared" si="51"/>
        <v>0</v>
      </c>
      <c r="AL254" s="53">
        <f t="shared" si="52"/>
        <v>0</v>
      </c>
      <c r="AM254" s="53">
        <f>IF($AA254="",0,IF(INDEX(Fertilisants!$C$8:$C$47,$AA254)="Effluent d'élevage",1,0))</f>
        <v>0</v>
      </c>
      <c r="AN254" s="53" t="str">
        <f>IF($AA254="","",IF(INDEX(Fertilisants!$C$8:$C$47,$AA254)="Engrais minéral","Minéral","Organique"))</f>
        <v/>
      </c>
      <c r="AO254" s="53" t="str">
        <f t="shared" si="53"/>
        <v/>
      </c>
      <c r="AP254" s="53" t="str">
        <f t="shared" si="54"/>
        <v/>
      </c>
      <c r="AQ254" s="53" t="str">
        <f t="shared" si="55"/>
        <v/>
      </c>
      <c r="AR254" s="53" t="str">
        <f>IF(AND($D254&lt;&gt;"",$D254=FicheIlot),COUNTIF($D$8:$D254,FicheIlot),"")</f>
        <v/>
      </c>
    </row>
    <row r="255" spans="2:44" ht="18.95" customHeight="1" x14ac:dyDescent="0.25">
      <c r="B255" s="42" t="str">
        <f>IF(C255="","",COUNT($C$8:C255))</f>
        <v/>
      </c>
      <c r="C255" s="43"/>
      <c r="D255" s="44"/>
      <c r="E255" s="45" t="str">
        <f>IF($Z255="","",IF($F255=ApportCouvert,INDEX(Îlots!$I$8:$I$57,$Z255)&amp;"",INDEX(Îlots!$N$8:$N$57,$Z255)&amp;""))</f>
        <v/>
      </c>
      <c r="F255" s="44"/>
      <c r="G255" s="44"/>
      <c r="H255" s="46" t="str">
        <f>IF($AA255="","",INDEX(Fertilisants!$D$8:$D$47,$AA255)&amp;"")</f>
        <v/>
      </c>
      <c r="I255" s="47"/>
      <c r="J255" s="48"/>
      <c r="K255" s="46" t="str">
        <f>IF($AA255="","",INDEX(Fertilisants!$E$8:$E$47,$AA255)&amp;"")</f>
        <v/>
      </c>
      <c r="L255" s="49" t="str">
        <f t="shared" si="42"/>
        <v/>
      </c>
      <c r="M255" s="50" t="str">
        <f>IF(OR($J255="",$AA255=""),"",$J255*N(INDEX(Fertilisants!$G$8:$G$47,$AA255)))</f>
        <v/>
      </c>
      <c r="N255" s="50" t="str">
        <f>IF(OR($J255="",$AA255=""),"",$J255*N(INDEX(Fertilisants!$I$8:$I$47,$AA255)))</f>
        <v/>
      </c>
      <c r="O255" s="50" t="str">
        <f>IF(OR($J255="",$AA255=""),"",$J255*N(INDEX(Fertilisants!$J$8:$J$47,$AA255)))</f>
        <v/>
      </c>
      <c r="P255" s="50" t="str">
        <f>IF(OR($J255="",$AA255=""),"",$J255*N(INDEX(Fertilisants!$K$8:$K$47,$AA255)))</f>
        <v/>
      </c>
      <c r="Q255" s="50" t="str">
        <f t="shared" si="43"/>
        <v/>
      </c>
      <c r="R255" s="44"/>
      <c r="S255" s="44"/>
      <c r="T255" s="51"/>
      <c r="U255" s="44"/>
      <c r="V255" s="43"/>
      <c r="W255" s="52" t="str">
        <f t="shared" si="44"/>
        <v/>
      </c>
      <c r="X255" s="44"/>
      <c r="Z255" s="53" t="str">
        <f>IF($D255="","",IFERROR(MATCH($D255,Îlots!$D$8:$D$57,0),""))</f>
        <v/>
      </c>
      <c r="AA255" s="53" t="str">
        <f>IF($G255="","",IFERROR(MATCH($G255,Fertilisants!$B$8:$B$47,0),""))</f>
        <v/>
      </c>
      <c r="AB255" s="53" t="str">
        <f>IF($Z255="","",INDEX(Îlots!$E$8:$E$57,$Z255))</f>
        <v/>
      </c>
      <c r="AC255" s="53" t="str">
        <f>IF($Z255="","",INDEX(Îlots!$G$8:$G$57,$Z255)&amp;"")</f>
        <v/>
      </c>
      <c r="AD255" s="53" t="str">
        <f>IF($Z255="","",IF($F255=ApportCouvert,OccCouvert,INDEX(Îlots!$O$8:$O$57,$Z255)&amp;""))</f>
        <v/>
      </c>
      <c r="AE255" s="53" t="str">
        <f t="shared" si="45"/>
        <v/>
      </c>
      <c r="AF255" s="53" t="str">
        <f t="shared" si="46"/>
        <v/>
      </c>
      <c r="AG255" s="53" t="str">
        <f t="shared" si="47"/>
        <v/>
      </c>
      <c r="AH255" s="53">
        <f t="shared" si="48"/>
        <v>0</v>
      </c>
      <c r="AI255" s="53">
        <f t="shared" si="49"/>
        <v>0</v>
      </c>
      <c r="AJ255" s="53">
        <f t="shared" si="50"/>
        <v>0</v>
      </c>
      <c r="AK255" s="53">
        <f t="shared" si="51"/>
        <v>0</v>
      </c>
      <c r="AL255" s="53">
        <f t="shared" si="52"/>
        <v>0</v>
      </c>
      <c r="AM255" s="53">
        <f>IF($AA255="",0,IF(INDEX(Fertilisants!$C$8:$C$47,$AA255)="Effluent d'élevage",1,0))</f>
        <v>0</v>
      </c>
      <c r="AN255" s="53" t="str">
        <f>IF($AA255="","",IF(INDEX(Fertilisants!$C$8:$C$47,$AA255)="Engrais minéral","Minéral","Organique"))</f>
        <v/>
      </c>
      <c r="AO255" s="53" t="str">
        <f t="shared" si="53"/>
        <v/>
      </c>
      <c r="AP255" s="53" t="str">
        <f t="shared" si="54"/>
        <v/>
      </c>
      <c r="AQ255" s="53" t="str">
        <f t="shared" si="55"/>
        <v/>
      </c>
      <c r="AR255" s="53" t="str">
        <f>IF(AND($D255&lt;&gt;"",$D255=FicheIlot),COUNTIF($D$8:$D255,FicheIlot),"")</f>
        <v/>
      </c>
    </row>
    <row r="256" spans="2:44" ht="18.95" customHeight="1" x14ac:dyDescent="0.25">
      <c r="B256" s="42" t="str">
        <f>IF(C256="","",COUNT($C$8:C256))</f>
        <v/>
      </c>
      <c r="C256" s="43"/>
      <c r="D256" s="44"/>
      <c r="E256" s="45" t="str">
        <f>IF($Z256="","",IF($F256=ApportCouvert,INDEX(Îlots!$I$8:$I$57,$Z256)&amp;"",INDEX(Îlots!$N$8:$N$57,$Z256)&amp;""))</f>
        <v/>
      </c>
      <c r="F256" s="44"/>
      <c r="G256" s="44"/>
      <c r="H256" s="46" t="str">
        <f>IF($AA256="","",INDEX(Fertilisants!$D$8:$D$47,$AA256)&amp;"")</f>
        <v/>
      </c>
      <c r="I256" s="47"/>
      <c r="J256" s="48"/>
      <c r="K256" s="46" t="str">
        <f>IF($AA256="","",INDEX(Fertilisants!$E$8:$E$47,$AA256)&amp;"")</f>
        <v/>
      </c>
      <c r="L256" s="49" t="str">
        <f t="shared" si="42"/>
        <v/>
      </c>
      <c r="M256" s="50" t="str">
        <f>IF(OR($J256="",$AA256=""),"",$J256*N(INDEX(Fertilisants!$G$8:$G$47,$AA256)))</f>
        <v/>
      </c>
      <c r="N256" s="50" t="str">
        <f>IF(OR($J256="",$AA256=""),"",$J256*N(INDEX(Fertilisants!$I$8:$I$47,$AA256)))</f>
        <v/>
      </c>
      <c r="O256" s="50" t="str">
        <f>IF(OR($J256="",$AA256=""),"",$J256*N(INDEX(Fertilisants!$J$8:$J$47,$AA256)))</f>
        <v/>
      </c>
      <c r="P256" s="50" t="str">
        <f>IF(OR($J256="",$AA256=""),"",$J256*N(INDEX(Fertilisants!$K$8:$K$47,$AA256)))</f>
        <v/>
      </c>
      <c r="Q256" s="50" t="str">
        <f t="shared" si="43"/>
        <v/>
      </c>
      <c r="R256" s="44"/>
      <c r="S256" s="44"/>
      <c r="T256" s="51"/>
      <c r="U256" s="44"/>
      <c r="V256" s="43"/>
      <c r="W256" s="52" t="str">
        <f t="shared" si="44"/>
        <v/>
      </c>
      <c r="X256" s="44"/>
      <c r="Z256" s="53" t="str">
        <f>IF($D256="","",IFERROR(MATCH($D256,Îlots!$D$8:$D$57,0),""))</f>
        <v/>
      </c>
      <c r="AA256" s="53" t="str">
        <f>IF($G256="","",IFERROR(MATCH($G256,Fertilisants!$B$8:$B$47,0),""))</f>
        <v/>
      </c>
      <c r="AB256" s="53" t="str">
        <f>IF($Z256="","",INDEX(Îlots!$E$8:$E$57,$Z256))</f>
        <v/>
      </c>
      <c r="AC256" s="53" t="str">
        <f>IF($Z256="","",INDEX(Îlots!$G$8:$G$57,$Z256)&amp;"")</f>
        <v/>
      </c>
      <c r="AD256" s="53" t="str">
        <f>IF($Z256="","",IF($F256=ApportCouvert,OccCouvert,INDEX(Îlots!$O$8:$O$57,$Z256)&amp;""))</f>
        <v/>
      </c>
      <c r="AE256" s="53" t="str">
        <f t="shared" si="45"/>
        <v/>
      </c>
      <c r="AF256" s="53" t="str">
        <f t="shared" si="46"/>
        <v/>
      </c>
      <c r="AG256" s="53" t="str">
        <f t="shared" si="47"/>
        <v/>
      </c>
      <c r="AH256" s="53">
        <f t="shared" si="48"/>
        <v>0</v>
      </c>
      <c r="AI256" s="53">
        <f t="shared" si="49"/>
        <v>0</v>
      </c>
      <c r="AJ256" s="53">
        <f t="shared" si="50"/>
        <v>0</v>
      </c>
      <c r="AK256" s="53">
        <f t="shared" si="51"/>
        <v>0</v>
      </c>
      <c r="AL256" s="53">
        <f t="shared" si="52"/>
        <v>0</v>
      </c>
      <c r="AM256" s="53">
        <f>IF($AA256="",0,IF(INDEX(Fertilisants!$C$8:$C$47,$AA256)="Effluent d'élevage",1,0))</f>
        <v>0</v>
      </c>
      <c r="AN256" s="53" t="str">
        <f>IF($AA256="","",IF(INDEX(Fertilisants!$C$8:$C$47,$AA256)="Engrais minéral","Minéral","Organique"))</f>
        <v/>
      </c>
      <c r="AO256" s="53" t="str">
        <f t="shared" si="53"/>
        <v/>
      </c>
      <c r="AP256" s="53" t="str">
        <f t="shared" si="54"/>
        <v/>
      </c>
      <c r="AQ256" s="53" t="str">
        <f t="shared" si="55"/>
        <v/>
      </c>
      <c r="AR256" s="53" t="str">
        <f>IF(AND($D256&lt;&gt;"",$D256=FicheIlot),COUNTIF($D$8:$D256,FicheIlot),"")</f>
        <v/>
      </c>
    </row>
    <row r="257" spans="2:44" ht="18.95" customHeight="1" x14ac:dyDescent="0.25">
      <c r="B257" s="42" t="str">
        <f>IF(C257="","",COUNT($C$8:C257))</f>
        <v/>
      </c>
      <c r="C257" s="43"/>
      <c r="D257" s="44"/>
      <c r="E257" s="45" t="str">
        <f>IF($Z257="","",IF($F257=ApportCouvert,INDEX(Îlots!$I$8:$I$57,$Z257)&amp;"",INDEX(Îlots!$N$8:$N$57,$Z257)&amp;""))</f>
        <v/>
      </c>
      <c r="F257" s="44"/>
      <c r="G257" s="44"/>
      <c r="H257" s="46" t="str">
        <f>IF($AA257="","",INDEX(Fertilisants!$D$8:$D$47,$AA257)&amp;"")</f>
        <v/>
      </c>
      <c r="I257" s="47"/>
      <c r="J257" s="48"/>
      <c r="K257" s="46" t="str">
        <f>IF($AA257="","",INDEX(Fertilisants!$E$8:$E$47,$AA257)&amp;"")</f>
        <v/>
      </c>
      <c r="L257" s="49" t="str">
        <f t="shared" si="42"/>
        <v/>
      </c>
      <c r="M257" s="50" t="str">
        <f>IF(OR($J257="",$AA257=""),"",$J257*N(INDEX(Fertilisants!$G$8:$G$47,$AA257)))</f>
        <v/>
      </c>
      <c r="N257" s="50" t="str">
        <f>IF(OR($J257="",$AA257=""),"",$J257*N(INDEX(Fertilisants!$I$8:$I$47,$AA257)))</f>
        <v/>
      </c>
      <c r="O257" s="50" t="str">
        <f>IF(OR($J257="",$AA257=""),"",$J257*N(INDEX(Fertilisants!$J$8:$J$47,$AA257)))</f>
        <v/>
      </c>
      <c r="P257" s="50" t="str">
        <f>IF(OR($J257="",$AA257=""),"",$J257*N(INDEX(Fertilisants!$K$8:$K$47,$AA257)))</f>
        <v/>
      </c>
      <c r="Q257" s="50" t="str">
        <f t="shared" si="43"/>
        <v/>
      </c>
      <c r="R257" s="44"/>
      <c r="S257" s="44"/>
      <c r="T257" s="51"/>
      <c r="U257" s="44"/>
      <c r="V257" s="43"/>
      <c r="W257" s="52" t="str">
        <f t="shared" si="44"/>
        <v/>
      </c>
      <c r="X257" s="44"/>
      <c r="Z257" s="53" t="str">
        <f>IF($D257="","",IFERROR(MATCH($D257,Îlots!$D$8:$D$57,0),""))</f>
        <v/>
      </c>
      <c r="AA257" s="53" t="str">
        <f>IF($G257="","",IFERROR(MATCH($G257,Fertilisants!$B$8:$B$47,0),""))</f>
        <v/>
      </c>
      <c r="AB257" s="53" t="str">
        <f>IF($Z257="","",INDEX(Îlots!$E$8:$E$57,$Z257))</f>
        <v/>
      </c>
      <c r="AC257" s="53" t="str">
        <f>IF($Z257="","",INDEX(Îlots!$G$8:$G$57,$Z257)&amp;"")</f>
        <v/>
      </c>
      <c r="AD257" s="53" t="str">
        <f>IF($Z257="","",IF($F257=ApportCouvert,OccCouvert,INDEX(Îlots!$O$8:$O$57,$Z257)&amp;""))</f>
        <v/>
      </c>
      <c r="AE257" s="53" t="str">
        <f t="shared" si="45"/>
        <v/>
      </c>
      <c r="AF257" s="53" t="str">
        <f t="shared" si="46"/>
        <v/>
      </c>
      <c r="AG257" s="53" t="str">
        <f t="shared" si="47"/>
        <v/>
      </c>
      <c r="AH257" s="53">
        <f t="shared" si="48"/>
        <v>0</v>
      </c>
      <c r="AI257" s="53">
        <f t="shared" si="49"/>
        <v>0</v>
      </c>
      <c r="AJ257" s="53">
        <f t="shared" si="50"/>
        <v>0</v>
      </c>
      <c r="AK257" s="53">
        <f t="shared" si="51"/>
        <v>0</v>
      </c>
      <c r="AL257" s="53">
        <f t="shared" si="52"/>
        <v>0</v>
      </c>
      <c r="AM257" s="53">
        <f>IF($AA257="",0,IF(INDEX(Fertilisants!$C$8:$C$47,$AA257)="Effluent d'élevage",1,0))</f>
        <v>0</v>
      </c>
      <c r="AN257" s="53" t="str">
        <f>IF($AA257="","",IF(INDEX(Fertilisants!$C$8:$C$47,$AA257)="Engrais minéral","Minéral","Organique"))</f>
        <v/>
      </c>
      <c r="AO257" s="53" t="str">
        <f t="shared" si="53"/>
        <v/>
      </c>
      <c r="AP257" s="53" t="str">
        <f t="shared" si="54"/>
        <v/>
      </c>
      <c r="AQ257" s="53" t="str">
        <f t="shared" si="55"/>
        <v/>
      </c>
      <c r="AR257" s="53" t="str">
        <f>IF(AND($D257&lt;&gt;"",$D257=FicheIlot),COUNTIF($D$8:$D257,FicheIlot),"")</f>
        <v/>
      </c>
    </row>
    <row r="258" spans="2:44" ht="18.95" customHeight="1" x14ac:dyDescent="0.25">
      <c r="B258" s="42" t="str">
        <f>IF(C258="","",COUNT($C$8:C258))</f>
        <v/>
      </c>
      <c r="C258" s="43"/>
      <c r="D258" s="44"/>
      <c r="E258" s="45" t="str">
        <f>IF($Z258="","",IF($F258=ApportCouvert,INDEX(Îlots!$I$8:$I$57,$Z258)&amp;"",INDEX(Îlots!$N$8:$N$57,$Z258)&amp;""))</f>
        <v/>
      </c>
      <c r="F258" s="44"/>
      <c r="G258" s="44"/>
      <c r="H258" s="46" t="str">
        <f>IF($AA258="","",INDEX(Fertilisants!$D$8:$D$47,$AA258)&amp;"")</f>
        <v/>
      </c>
      <c r="I258" s="47"/>
      <c r="J258" s="48"/>
      <c r="K258" s="46" t="str">
        <f>IF($AA258="","",INDEX(Fertilisants!$E$8:$E$47,$AA258)&amp;"")</f>
        <v/>
      </c>
      <c r="L258" s="49" t="str">
        <f t="shared" si="42"/>
        <v/>
      </c>
      <c r="M258" s="50" t="str">
        <f>IF(OR($J258="",$AA258=""),"",$J258*N(INDEX(Fertilisants!$G$8:$G$47,$AA258)))</f>
        <v/>
      </c>
      <c r="N258" s="50" t="str">
        <f>IF(OR($J258="",$AA258=""),"",$J258*N(INDEX(Fertilisants!$I$8:$I$47,$AA258)))</f>
        <v/>
      </c>
      <c r="O258" s="50" t="str">
        <f>IF(OR($J258="",$AA258=""),"",$J258*N(INDEX(Fertilisants!$J$8:$J$47,$AA258)))</f>
        <v/>
      </c>
      <c r="P258" s="50" t="str">
        <f>IF(OR($J258="",$AA258=""),"",$J258*N(INDEX(Fertilisants!$K$8:$K$47,$AA258)))</f>
        <v/>
      </c>
      <c r="Q258" s="50" t="str">
        <f t="shared" si="43"/>
        <v/>
      </c>
      <c r="R258" s="44"/>
      <c r="S258" s="44"/>
      <c r="T258" s="51"/>
      <c r="U258" s="44"/>
      <c r="V258" s="43"/>
      <c r="W258" s="52" t="str">
        <f t="shared" si="44"/>
        <v/>
      </c>
      <c r="X258" s="44"/>
      <c r="Z258" s="53" t="str">
        <f>IF($D258="","",IFERROR(MATCH($D258,Îlots!$D$8:$D$57,0),""))</f>
        <v/>
      </c>
      <c r="AA258" s="53" t="str">
        <f>IF($G258="","",IFERROR(MATCH($G258,Fertilisants!$B$8:$B$47,0),""))</f>
        <v/>
      </c>
      <c r="AB258" s="53" t="str">
        <f>IF($Z258="","",INDEX(Îlots!$E$8:$E$57,$Z258))</f>
        <v/>
      </c>
      <c r="AC258" s="53" t="str">
        <f>IF($Z258="","",INDEX(Îlots!$G$8:$G$57,$Z258)&amp;"")</f>
        <v/>
      </c>
      <c r="AD258" s="53" t="str">
        <f>IF($Z258="","",IF($F258=ApportCouvert,OccCouvert,INDEX(Îlots!$O$8:$O$57,$Z258)&amp;""))</f>
        <v/>
      </c>
      <c r="AE258" s="53" t="str">
        <f t="shared" si="45"/>
        <v/>
      </c>
      <c r="AF258" s="53" t="str">
        <f t="shared" si="46"/>
        <v/>
      </c>
      <c r="AG258" s="53" t="str">
        <f t="shared" si="47"/>
        <v/>
      </c>
      <c r="AH258" s="53">
        <f t="shared" si="48"/>
        <v>0</v>
      </c>
      <c r="AI258" s="53">
        <f t="shared" si="49"/>
        <v>0</v>
      </c>
      <c r="AJ258" s="53">
        <f t="shared" si="50"/>
        <v>0</v>
      </c>
      <c r="AK258" s="53">
        <f t="shared" si="51"/>
        <v>0</v>
      </c>
      <c r="AL258" s="53">
        <f t="shared" si="52"/>
        <v>0</v>
      </c>
      <c r="AM258" s="53">
        <f>IF($AA258="",0,IF(INDEX(Fertilisants!$C$8:$C$47,$AA258)="Effluent d'élevage",1,0))</f>
        <v>0</v>
      </c>
      <c r="AN258" s="53" t="str">
        <f>IF($AA258="","",IF(INDEX(Fertilisants!$C$8:$C$47,$AA258)="Engrais minéral","Minéral","Organique"))</f>
        <v/>
      </c>
      <c r="AO258" s="53" t="str">
        <f t="shared" si="53"/>
        <v/>
      </c>
      <c r="AP258" s="53" t="str">
        <f t="shared" si="54"/>
        <v/>
      </c>
      <c r="AQ258" s="53" t="str">
        <f t="shared" si="55"/>
        <v/>
      </c>
      <c r="AR258" s="53" t="str">
        <f>IF(AND($D258&lt;&gt;"",$D258=FicheIlot),COUNTIF($D$8:$D258,FicheIlot),"")</f>
        <v/>
      </c>
    </row>
    <row r="259" spans="2:44" ht="18.95" customHeight="1" x14ac:dyDescent="0.25">
      <c r="B259" s="42" t="str">
        <f>IF(C259="","",COUNT($C$8:C259))</f>
        <v/>
      </c>
      <c r="C259" s="43"/>
      <c r="D259" s="44"/>
      <c r="E259" s="45" t="str">
        <f>IF($Z259="","",IF($F259=ApportCouvert,INDEX(Îlots!$I$8:$I$57,$Z259)&amp;"",INDEX(Îlots!$N$8:$N$57,$Z259)&amp;""))</f>
        <v/>
      </c>
      <c r="F259" s="44"/>
      <c r="G259" s="44"/>
      <c r="H259" s="46" t="str">
        <f>IF($AA259="","",INDEX(Fertilisants!$D$8:$D$47,$AA259)&amp;"")</f>
        <v/>
      </c>
      <c r="I259" s="47"/>
      <c r="J259" s="48"/>
      <c r="K259" s="46" t="str">
        <f>IF($AA259="","",INDEX(Fertilisants!$E$8:$E$47,$AA259)&amp;"")</f>
        <v/>
      </c>
      <c r="L259" s="49" t="str">
        <f t="shared" si="42"/>
        <v/>
      </c>
      <c r="M259" s="50" t="str">
        <f>IF(OR($J259="",$AA259=""),"",$J259*N(INDEX(Fertilisants!$G$8:$G$47,$AA259)))</f>
        <v/>
      </c>
      <c r="N259" s="50" t="str">
        <f>IF(OR($J259="",$AA259=""),"",$J259*N(INDEX(Fertilisants!$I$8:$I$47,$AA259)))</f>
        <v/>
      </c>
      <c r="O259" s="50" t="str">
        <f>IF(OR($J259="",$AA259=""),"",$J259*N(INDEX(Fertilisants!$J$8:$J$47,$AA259)))</f>
        <v/>
      </c>
      <c r="P259" s="50" t="str">
        <f>IF(OR($J259="",$AA259=""),"",$J259*N(INDEX(Fertilisants!$K$8:$K$47,$AA259)))</f>
        <v/>
      </c>
      <c r="Q259" s="50" t="str">
        <f t="shared" si="43"/>
        <v/>
      </c>
      <c r="R259" s="44"/>
      <c r="S259" s="44"/>
      <c r="T259" s="51"/>
      <c r="U259" s="44"/>
      <c r="V259" s="43"/>
      <c r="W259" s="52" t="str">
        <f t="shared" si="44"/>
        <v/>
      </c>
      <c r="X259" s="44"/>
      <c r="Z259" s="53" t="str">
        <f>IF($D259="","",IFERROR(MATCH($D259,Îlots!$D$8:$D$57,0),""))</f>
        <v/>
      </c>
      <c r="AA259" s="53" t="str">
        <f>IF($G259="","",IFERROR(MATCH($G259,Fertilisants!$B$8:$B$47,0),""))</f>
        <v/>
      </c>
      <c r="AB259" s="53" t="str">
        <f>IF($Z259="","",INDEX(Îlots!$E$8:$E$57,$Z259))</f>
        <v/>
      </c>
      <c r="AC259" s="53" t="str">
        <f>IF($Z259="","",INDEX(Îlots!$G$8:$G$57,$Z259)&amp;"")</f>
        <v/>
      </c>
      <c r="AD259" s="53" t="str">
        <f>IF($Z259="","",IF($F259=ApportCouvert,OccCouvert,INDEX(Îlots!$O$8:$O$57,$Z259)&amp;""))</f>
        <v/>
      </c>
      <c r="AE259" s="53" t="str">
        <f t="shared" si="45"/>
        <v/>
      </c>
      <c r="AF259" s="53" t="str">
        <f t="shared" si="46"/>
        <v/>
      </c>
      <c r="AG259" s="53" t="str">
        <f t="shared" si="47"/>
        <v/>
      </c>
      <c r="AH259" s="53">
        <f t="shared" si="48"/>
        <v>0</v>
      </c>
      <c r="AI259" s="53">
        <f t="shared" si="49"/>
        <v>0</v>
      </c>
      <c r="AJ259" s="53">
        <f t="shared" si="50"/>
        <v>0</v>
      </c>
      <c r="AK259" s="53">
        <f t="shared" si="51"/>
        <v>0</v>
      </c>
      <c r="AL259" s="53">
        <f t="shared" si="52"/>
        <v>0</v>
      </c>
      <c r="AM259" s="53">
        <f>IF($AA259="",0,IF(INDEX(Fertilisants!$C$8:$C$47,$AA259)="Effluent d'élevage",1,0))</f>
        <v>0</v>
      </c>
      <c r="AN259" s="53" t="str">
        <f>IF($AA259="","",IF(INDEX(Fertilisants!$C$8:$C$47,$AA259)="Engrais minéral","Minéral","Organique"))</f>
        <v/>
      </c>
      <c r="AO259" s="53" t="str">
        <f t="shared" si="53"/>
        <v/>
      </c>
      <c r="AP259" s="53" t="str">
        <f t="shared" si="54"/>
        <v/>
      </c>
      <c r="AQ259" s="53" t="str">
        <f t="shared" si="55"/>
        <v/>
      </c>
      <c r="AR259" s="53" t="str">
        <f>IF(AND($D259&lt;&gt;"",$D259=FicheIlot),COUNTIF($D$8:$D259,FicheIlot),"")</f>
        <v/>
      </c>
    </row>
    <row r="260" spans="2:44" ht="18.95" customHeight="1" x14ac:dyDescent="0.25">
      <c r="B260" s="42" t="str">
        <f>IF(C260="","",COUNT($C$8:C260))</f>
        <v/>
      </c>
      <c r="C260" s="43"/>
      <c r="D260" s="44"/>
      <c r="E260" s="45" t="str">
        <f>IF($Z260="","",IF($F260=ApportCouvert,INDEX(Îlots!$I$8:$I$57,$Z260)&amp;"",INDEX(Îlots!$N$8:$N$57,$Z260)&amp;""))</f>
        <v/>
      </c>
      <c r="F260" s="44"/>
      <c r="G260" s="44"/>
      <c r="H260" s="46" t="str">
        <f>IF($AA260="","",INDEX(Fertilisants!$D$8:$D$47,$AA260)&amp;"")</f>
        <v/>
      </c>
      <c r="I260" s="47"/>
      <c r="J260" s="48"/>
      <c r="K260" s="46" t="str">
        <f>IF($AA260="","",INDEX(Fertilisants!$E$8:$E$47,$AA260)&amp;"")</f>
        <v/>
      </c>
      <c r="L260" s="49" t="str">
        <f t="shared" si="42"/>
        <v/>
      </c>
      <c r="M260" s="50" t="str">
        <f>IF(OR($J260="",$AA260=""),"",$J260*N(INDEX(Fertilisants!$G$8:$G$47,$AA260)))</f>
        <v/>
      </c>
      <c r="N260" s="50" t="str">
        <f>IF(OR($J260="",$AA260=""),"",$J260*N(INDEX(Fertilisants!$I$8:$I$47,$AA260)))</f>
        <v/>
      </c>
      <c r="O260" s="50" t="str">
        <f>IF(OR($J260="",$AA260=""),"",$J260*N(INDEX(Fertilisants!$J$8:$J$47,$AA260)))</f>
        <v/>
      </c>
      <c r="P260" s="50" t="str">
        <f>IF(OR($J260="",$AA260=""),"",$J260*N(INDEX(Fertilisants!$K$8:$K$47,$AA260)))</f>
        <v/>
      </c>
      <c r="Q260" s="50" t="str">
        <f t="shared" si="43"/>
        <v/>
      </c>
      <c r="R260" s="44"/>
      <c r="S260" s="44"/>
      <c r="T260" s="51"/>
      <c r="U260" s="44"/>
      <c r="V260" s="43"/>
      <c r="W260" s="52" t="str">
        <f t="shared" si="44"/>
        <v/>
      </c>
      <c r="X260" s="44"/>
      <c r="Z260" s="53" t="str">
        <f>IF($D260="","",IFERROR(MATCH($D260,Îlots!$D$8:$D$57,0),""))</f>
        <v/>
      </c>
      <c r="AA260" s="53" t="str">
        <f>IF($G260="","",IFERROR(MATCH($G260,Fertilisants!$B$8:$B$47,0),""))</f>
        <v/>
      </c>
      <c r="AB260" s="53" t="str">
        <f>IF($Z260="","",INDEX(Îlots!$E$8:$E$57,$Z260))</f>
        <v/>
      </c>
      <c r="AC260" s="53" t="str">
        <f>IF($Z260="","",INDEX(Îlots!$G$8:$G$57,$Z260)&amp;"")</f>
        <v/>
      </c>
      <c r="AD260" s="53" t="str">
        <f>IF($Z260="","",IF($F260=ApportCouvert,OccCouvert,INDEX(Îlots!$O$8:$O$57,$Z260)&amp;""))</f>
        <v/>
      </c>
      <c r="AE260" s="53" t="str">
        <f t="shared" si="45"/>
        <v/>
      </c>
      <c r="AF260" s="53" t="str">
        <f t="shared" si="46"/>
        <v/>
      </c>
      <c r="AG260" s="53" t="str">
        <f t="shared" si="47"/>
        <v/>
      </c>
      <c r="AH260" s="53">
        <f t="shared" si="48"/>
        <v>0</v>
      </c>
      <c r="AI260" s="53">
        <f t="shared" si="49"/>
        <v>0</v>
      </c>
      <c r="AJ260" s="53">
        <f t="shared" si="50"/>
        <v>0</v>
      </c>
      <c r="AK260" s="53">
        <f t="shared" si="51"/>
        <v>0</v>
      </c>
      <c r="AL260" s="53">
        <f t="shared" si="52"/>
        <v>0</v>
      </c>
      <c r="AM260" s="53">
        <f>IF($AA260="",0,IF(INDEX(Fertilisants!$C$8:$C$47,$AA260)="Effluent d'élevage",1,0))</f>
        <v>0</v>
      </c>
      <c r="AN260" s="53" t="str">
        <f>IF($AA260="","",IF(INDEX(Fertilisants!$C$8:$C$47,$AA260)="Engrais minéral","Minéral","Organique"))</f>
        <v/>
      </c>
      <c r="AO260" s="53" t="str">
        <f t="shared" si="53"/>
        <v/>
      </c>
      <c r="AP260" s="53" t="str">
        <f t="shared" si="54"/>
        <v/>
      </c>
      <c r="AQ260" s="53" t="str">
        <f t="shared" si="55"/>
        <v/>
      </c>
      <c r="AR260" s="53" t="str">
        <f>IF(AND($D260&lt;&gt;"",$D260=FicheIlot),COUNTIF($D$8:$D260,FicheIlot),"")</f>
        <v/>
      </c>
    </row>
    <row r="261" spans="2:44" ht="18.95" customHeight="1" x14ac:dyDescent="0.25">
      <c r="B261" s="42" t="str">
        <f>IF(C261="","",COUNT($C$8:C261))</f>
        <v/>
      </c>
      <c r="C261" s="43"/>
      <c r="D261" s="44"/>
      <c r="E261" s="45" t="str">
        <f>IF($Z261="","",IF($F261=ApportCouvert,INDEX(Îlots!$I$8:$I$57,$Z261)&amp;"",INDEX(Îlots!$N$8:$N$57,$Z261)&amp;""))</f>
        <v/>
      </c>
      <c r="F261" s="44"/>
      <c r="G261" s="44"/>
      <c r="H261" s="46" t="str">
        <f>IF($AA261="","",INDEX(Fertilisants!$D$8:$D$47,$AA261)&amp;"")</f>
        <v/>
      </c>
      <c r="I261" s="47"/>
      <c r="J261" s="48"/>
      <c r="K261" s="46" t="str">
        <f>IF($AA261="","",INDEX(Fertilisants!$E$8:$E$47,$AA261)&amp;"")</f>
        <v/>
      </c>
      <c r="L261" s="49" t="str">
        <f t="shared" si="42"/>
        <v/>
      </c>
      <c r="M261" s="50" t="str">
        <f>IF(OR($J261="",$AA261=""),"",$J261*N(INDEX(Fertilisants!$G$8:$G$47,$AA261)))</f>
        <v/>
      </c>
      <c r="N261" s="50" t="str">
        <f>IF(OR($J261="",$AA261=""),"",$J261*N(INDEX(Fertilisants!$I$8:$I$47,$AA261)))</f>
        <v/>
      </c>
      <c r="O261" s="50" t="str">
        <f>IF(OR($J261="",$AA261=""),"",$J261*N(INDEX(Fertilisants!$J$8:$J$47,$AA261)))</f>
        <v/>
      </c>
      <c r="P261" s="50" t="str">
        <f>IF(OR($J261="",$AA261=""),"",$J261*N(INDEX(Fertilisants!$K$8:$K$47,$AA261)))</f>
        <v/>
      </c>
      <c r="Q261" s="50" t="str">
        <f t="shared" si="43"/>
        <v/>
      </c>
      <c r="R261" s="44"/>
      <c r="S261" s="44"/>
      <c r="T261" s="51"/>
      <c r="U261" s="44"/>
      <c r="V261" s="43"/>
      <c r="W261" s="52" t="str">
        <f t="shared" si="44"/>
        <v/>
      </c>
      <c r="X261" s="44"/>
      <c r="Z261" s="53" t="str">
        <f>IF($D261="","",IFERROR(MATCH($D261,Îlots!$D$8:$D$57,0),""))</f>
        <v/>
      </c>
      <c r="AA261" s="53" t="str">
        <f>IF($G261="","",IFERROR(MATCH($G261,Fertilisants!$B$8:$B$47,0),""))</f>
        <v/>
      </c>
      <c r="AB261" s="53" t="str">
        <f>IF($Z261="","",INDEX(Îlots!$E$8:$E$57,$Z261))</f>
        <v/>
      </c>
      <c r="AC261" s="53" t="str">
        <f>IF($Z261="","",INDEX(Îlots!$G$8:$G$57,$Z261)&amp;"")</f>
        <v/>
      </c>
      <c r="AD261" s="53" t="str">
        <f>IF($Z261="","",IF($F261=ApportCouvert,OccCouvert,INDEX(Îlots!$O$8:$O$57,$Z261)&amp;""))</f>
        <v/>
      </c>
      <c r="AE261" s="53" t="str">
        <f t="shared" si="45"/>
        <v/>
      </c>
      <c r="AF261" s="53" t="str">
        <f t="shared" si="46"/>
        <v/>
      </c>
      <c r="AG261" s="53" t="str">
        <f t="shared" si="47"/>
        <v/>
      </c>
      <c r="AH261" s="53">
        <f t="shared" si="48"/>
        <v>0</v>
      </c>
      <c r="AI261" s="53">
        <f t="shared" si="49"/>
        <v>0</v>
      </c>
      <c r="AJ261" s="53">
        <f t="shared" si="50"/>
        <v>0</v>
      </c>
      <c r="AK261" s="53">
        <f t="shared" si="51"/>
        <v>0</v>
      </c>
      <c r="AL261" s="53">
        <f t="shared" si="52"/>
        <v>0</v>
      </c>
      <c r="AM261" s="53">
        <f>IF($AA261="",0,IF(INDEX(Fertilisants!$C$8:$C$47,$AA261)="Effluent d'élevage",1,0))</f>
        <v>0</v>
      </c>
      <c r="AN261" s="53" t="str">
        <f>IF($AA261="","",IF(INDEX(Fertilisants!$C$8:$C$47,$AA261)="Engrais minéral","Minéral","Organique"))</f>
        <v/>
      </c>
      <c r="AO261" s="53" t="str">
        <f t="shared" si="53"/>
        <v/>
      </c>
      <c r="AP261" s="53" t="str">
        <f t="shared" si="54"/>
        <v/>
      </c>
      <c r="AQ261" s="53" t="str">
        <f t="shared" si="55"/>
        <v/>
      </c>
      <c r="AR261" s="53" t="str">
        <f>IF(AND($D261&lt;&gt;"",$D261=FicheIlot),COUNTIF($D$8:$D261,FicheIlot),"")</f>
        <v/>
      </c>
    </row>
    <row r="262" spans="2:44" ht="18.95" customHeight="1" x14ac:dyDescent="0.25">
      <c r="B262" s="42" t="str">
        <f>IF(C262="","",COUNT($C$8:C262))</f>
        <v/>
      </c>
      <c r="C262" s="43"/>
      <c r="D262" s="44"/>
      <c r="E262" s="45" t="str">
        <f>IF($Z262="","",IF($F262=ApportCouvert,INDEX(Îlots!$I$8:$I$57,$Z262)&amp;"",INDEX(Îlots!$N$8:$N$57,$Z262)&amp;""))</f>
        <v/>
      </c>
      <c r="F262" s="44"/>
      <c r="G262" s="44"/>
      <c r="H262" s="46" t="str">
        <f>IF($AA262="","",INDEX(Fertilisants!$D$8:$D$47,$AA262)&amp;"")</f>
        <v/>
      </c>
      <c r="I262" s="47"/>
      <c r="J262" s="48"/>
      <c r="K262" s="46" t="str">
        <f>IF($AA262="","",INDEX(Fertilisants!$E$8:$E$47,$AA262)&amp;"")</f>
        <v/>
      </c>
      <c r="L262" s="49" t="str">
        <f t="shared" si="42"/>
        <v/>
      </c>
      <c r="M262" s="50" t="str">
        <f>IF(OR($J262="",$AA262=""),"",$J262*N(INDEX(Fertilisants!$G$8:$G$47,$AA262)))</f>
        <v/>
      </c>
      <c r="N262" s="50" t="str">
        <f>IF(OR($J262="",$AA262=""),"",$J262*N(INDEX(Fertilisants!$I$8:$I$47,$AA262)))</f>
        <v/>
      </c>
      <c r="O262" s="50" t="str">
        <f>IF(OR($J262="",$AA262=""),"",$J262*N(INDEX(Fertilisants!$J$8:$J$47,$AA262)))</f>
        <v/>
      </c>
      <c r="P262" s="50" t="str">
        <f>IF(OR($J262="",$AA262=""),"",$J262*N(INDEX(Fertilisants!$K$8:$K$47,$AA262)))</f>
        <v/>
      </c>
      <c r="Q262" s="50" t="str">
        <f t="shared" si="43"/>
        <v/>
      </c>
      <c r="R262" s="44"/>
      <c r="S262" s="44"/>
      <c r="T262" s="51"/>
      <c r="U262" s="44"/>
      <c r="V262" s="43"/>
      <c r="W262" s="52" t="str">
        <f t="shared" si="44"/>
        <v/>
      </c>
      <c r="X262" s="44"/>
      <c r="Z262" s="53" t="str">
        <f>IF($D262="","",IFERROR(MATCH($D262,Îlots!$D$8:$D$57,0),""))</f>
        <v/>
      </c>
      <c r="AA262" s="53" t="str">
        <f>IF($G262="","",IFERROR(MATCH($G262,Fertilisants!$B$8:$B$47,0),""))</f>
        <v/>
      </c>
      <c r="AB262" s="53" t="str">
        <f>IF($Z262="","",INDEX(Îlots!$E$8:$E$57,$Z262))</f>
        <v/>
      </c>
      <c r="AC262" s="53" t="str">
        <f>IF($Z262="","",INDEX(Îlots!$G$8:$G$57,$Z262)&amp;"")</f>
        <v/>
      </c>
      <c r="AD262" s="53" t="str">
        <f>IF($Z262="","",IF($F262=ApportCouvert,OccCouvert,INDEX(Îlots!$O$8:$O$57,$Z262)&amp;""))</f>
        <v/>
      </c>
      <c r="AE262" s="53" t="str">
        <f t="shared" si="45"/>
        <v/>
      </c>
      <c r="AF262" s="53" t="str">
        <f t="shared" si="46"/>
        <v/>
      </c>
      <c r="AG262" s="53" t="str">
        <f t="shared" si="47"/>
        <v/>
      </c>
      <c r="AH262" s="53">
        <f t="shared" si="48"/>
        <v>0</v>
      </c>
      <c r="AI262" s="53">
        <f t="shared" si="49"/>
        <v>0</v>
      </c>
      <c r="AJ262" s="53">
        <f t="shared" si="50"/>
        <v>0</v>
      </c>
      <c r="AK262" s="53">
        <f t="shared" si="51"/>
        <v>0</v>
      </c>
      <c r="AL262" s="53">
        <f t="shared" si="52"/>
        <v>0</v>
      </c>
      <c r="AM262" s="53">
        <f>IF($AA262="",0,IF(INDEX(Fertilisants!$C$8:$C$47,$AA262)="Effluent d'élevage",1,0))</f>
        <v>0</v>
      </c>
      <c r="AN262" s="53" t="str">
        <f>IF($AA262="","",IF(INDEX(Fertilisants!$C$8:$C$47,$AA262)="Engrais minéral","Minéral","Organique"))</f>
        <v/>
      </c>
      <c r="AO262" s="53" t="str">
        <f t="shared" si="53"/>
        <v/>
      </c>
      <c r="AP262" s="53" t="str">
        <f t="shared" si="54"/>
        <v/>
      </c>
      <c r="AQ262" s="53" t="str">
        <f t="shared" si="55"/>
        <v/>
      </c>
      <c r="AR262" s="53" t="str">
        <f>IF(AND($D262&lt;&gt;"",$D262=FicheIlot),COUNTIF($D$8:$D262,FicheIlot),"")</f>
        <v/>
      </c>
    </row>
    <row r="263" spans="2:44" ht="18.95" customHeight="1" x14ac:dyDescent="0.25">
      <c r="B263" s="42" t="str">
        <f>IF(C263="","",COUNT($C$8:C263))</f>
        <v/>
      </c>
      <c r="C263" s="43"/>
      <c r="D263" s="44"/>
      <c r="E263" s="45" t="str">
        <f>IF($Z263="","",IF($F263=ApportCouvert,INDEX(Îlots!$I$8:$I$57,$Z263)&amp;"",INDEX(Îlots!$N$8:$N$57,$Z263)&amp;""))</f>
        <v/>
      </c>
      <c r="F263" s="44"/>
      <c r="G263" s="44"/>
      <c r="H263" s="46" t="str">
        <f>IF($AA263="","",INDEX(Fertilisants!$D$8:$D$47,$AA263)&amp;"")</f>
        <v/>
      </c>
      <c r="I263" s="47"/>
      <c r="J263" s="48"/>
      <c r="K263" s="46" t="str">
        <f>IF($AA263="","",INDEX(Fertilisants!$E$8:$E$47,$AA263)&amp;"")</f>
        <v/>
      </c>
      <c r="L263" s="49" t="str">
        <f t="shared" si="42"/>
        <v/>
      </c>
      <c r="M263" s="50" t="str">
        <f>IF(OR($J263="",$AA263=""),"",$J263*N(INDEX(Fertilisants!$G$8:$G$47,$AA263)))</f>
        <v/>
      </c>
      <c r="N263" s="50" t="str">
        <f>IF(OR($J263="",$AA263=""),"",$J263*N(INDEX(Fertilisants!$I$8:$I$47,$AA263)))</f>
        <v/>
      </c>
      <c r="O263" s="50" t="str">
        <f>IF(OR($J263="",$AA263=""),"",$J263*N(INDEX(Fertilisants!$J$8:$J$47,$AA263)))</f>
        <v/>
      </c>
      <c r="P263" s="50" t="str">
        <f>IF(OR($J263="",$AA263=""),"",$J263*N(INDEX(Fertilisants!$K$8:$K$47,$AA263)))</f>
        <v/>
      </c>
      <c r="Q263" s="50" t="str">
        <f t="shared" si="43"/>
        <v/>
      </c>
      <c r="R263" s="44"/>
      <c r="S263" s="44"/>
      <c r="T263" s="51"/>
      <c r="U263" s="44"/>
      <c r="V263" s="43"/>
      <c r="W263" s="52" t="str">
        <f t="shared" si="44"/>
        <v/>
      </c>
      <c r="X263" s="44"/>
      <c r="Z263" s="53" t="str">
        <f>IF($D263="","",IFERROR(MATCH($D263,Îlots!$D$8:$D$57,0),""))</f>
        <v/>
      </c>
      <c r="AA263" s="53" t="str">
        <f>IF($G263="","",IFERROR(MATCH($G263,Fertilisants!$B$8:$B$47,0),""))</f>
        <v/>
      </c>
      <c r="AB263" s="53" t="str">
        <f>IF($Z263="","",INDEX(Îlots!$E$8:$E$57,$Z263))</f>
        <v/>
      </c>
      <c r="AC263" s="53" t="str">
        <f>IF($Z263="","",INDEX(Îlots!$G$8:$G$57,$Z263)&amp;"")</f>
        <v/>
      </c>
      <c r="AD263" s="53" t="str">
        <f>IF($Z263="","",IF($F263=ApportCouvert,OccCouvert,INDEX(Îlots!$O$8:$O$57,$Z263)&amp;""))</f>
        <v/>
      </c>
      <c r="AE263" s="53" t="str">
        <f t="shared" si="45"/>
        <v/>
      </c>
      <c r="AF263" s="53" t="str">
        <f t="shared" si="46"/>
        <v/>
      </c>
      <c r="AG263" s="53" t="str">
        <f t="shared" si="47"/>
        <v/>
      </c>
      <c r="AH263" s="53">
        <f t="shared" si="48"/>
        <v>0</v>
      </c>
      <c r="AI263" s="53">
        <f t="shared" si="49"/>
        <v>0</v>
      </c>
      <c r="AJ263" s="53">
        <f t="shared" si="50"/>
        <v>0</v>
      </c>
      <c r="AK263" s="53">
        <f t="shared" si="51"/>
        <v>0</v>
      </c>
      <c r="AL263" s="53">
        <f t="shared" si="52"/>
        <v>0</v>
      </c>
      <c r="AM263" s="53">
        <f>IF($AA263="",0,IF(INDEX(Fertilisants!$C$8:$C$47,$AA263)="Effluent d'élevage",1,0))</f>
        <v>0</v>
      </c>
      <c r="AN263" s="53" t="str">
        <f>IF($AA263="","",IF(INDEX(Fertilisants!$C$8:$C$47,$AA263)="Engrais minéral","Minéral","Organique"))</f>
        <v/>
      </c>
      <c r="AO263" s="53" t="str">
        <f t="shared" si="53"/>
        <v/>
      </c>
      <c r="AP263" s="53" t="str">
        <f t="shared" si="54"/>
        <v/>
      </c>
      <c r="AQ263" s="53" t="str">
        <f t="shared" si="55"/>
        <v/>
      </c>
      <c r="AR263" s="53" t="str">
        <f>IF(AND($D263&lt;&gt;"",$D263=FicheIlot),COUNTIF($D$8:$D263,FicheIlot),"")</f>
        <v/>
      </c>
    </row>
    <row r="264" spans="2:44" ht="18.95" customHeight="1" x14ac:dyDescent="0.25">
      <c r="B264" s="42" t="str">
        <f>IF(C264="","",COUNT($C$8:C264))</f>
        <v/>
      </c>
      <c r="C264" s="43"/>
      <c r="D264" s="44"/>
      <c r="E264" s="45" t="str">
        <f>IF($Z264="","",IF($F264=ApportCouvert,INDEX(Îlots!$I$8:$I$57,$Z264)&amp;"",INDEX(Îlots!$N$8:$N$57,$Z264)&amp;""))</f>
        <v/>
      </c>
      <c r="F264" s="44"/>
      <c r="G264" s="44"/>
      <c r="H264" s="46" t="str">
        <f>IF($AA264="","",INDEX(Fertilisants!$D$8:$D$47,$AA264)&amp;"")</f>
        <v/>
      </c>
      <c r="I264" s="47"/>
      <c r="J264" s="48"/>
      <c r="K264" s="46" t="str">
        <f>IF($AA264="","",INDEX(Fertilisants!$E$8:$E$47,$AA264)&amp;"")</f>
        <v/>
      </c>
      <c r="L264" s="49" t="str">
        <f t="shared" ref="L264:L327" si="56">IF(OR($I264="",$J264=""),"",$I264*$J264)</f>
        <v/>
      </c>
      <c r="M264" s="50" t="str">
        <f>IF(OR($J264="",$AA264=""),"",$J264*N(INDEX(Fertilisants!$G$8:$G$47,$AA264)))</f>
        <v/>
      </c>
      <c r="N264" s="50" t="str">
        <f>IF(OR($J264="",$AA264=""),"",$J264*N(INDEX(Fertilisants!$I$8:$I$47,$AA264)))</f>
        <v/>
      </c>
      <c r="O264" s="50" t="str">
        <f>IF(OR($J264="",$AA264=""),"",$J264*N(INDEX(Fertilisants!$J$8:$J$47,$AA264)))</f>
        <v/>
      </c>
      <c r="P264" s="50" t="str">
        <f>IF(OR($J264="",$AA264=""),"",$J264*N(INDEX(Fertilisants!$K$8:$K$47,$AA264)))</f>
        <v/>
      </c>
      <c r="Q264" s="50" t="str">
        <f t="shared" ref="Q264:Q327" si="57">IF(OR($I264="",$M264=""),"",$I264*$M264)</f>
        <v/>
      </c>
      <c r="R264" s="44"/>
      <c r="S264" s="44"/>
      <c r="T264" s="51"/>
      <c r="U264" s="44"/>
      <c r="V264" s="43"/>
      <c r="W264" s="52" t="str">
        <f t="shared" ref="W264:W327" si="58">IF($C264="","",IF(OR($D264="",$G264="",$I264="",$J264=""),"Incomplet",IF(OR($R264="Enneigé",$R264="Détrempé",$R264="Inondé",AND($R264="Gelé",$H264&lt;&gt;"Type 0",$H264&lt;&gt;"Type Ia")),"Sol interdit",IF($AL264=1,"Période interdite",IF(AND(ISNUMBER($AB264),$I264&gt;$AB264+0.001),"Surface &gt; îlot",IF(OR($C264&lt;DebutCampagne,$C264&gt;FinCampagne),"Hors campagne",IF(AND(ISNUMBER($V264),$V264-$C264&gt;DelaiSaisie),"Saisie tardive","Conforme")))))))</f>
        <v/>
      </c>
      <c r="X264" s="44"/>
      <c r="Z264" s="53" t="str">
        <f>IF($D264="","",IFERROR(MATCH($D264,Îlots!$D$8:$D$57,0),""))</f>
        <v/>
      </c>
      <c r="AA264" s="53" t="str">
        <f>IF($G264="","",IFERROR(MATCH($G264,Fertilisants!$B$8:$B$47,0),""))</f>
        <v/>
      </c>
      <c r="AB264" s="53" t="str">
        <f>IF($Z264="","",INDEX(Îlots!$E$8:$E$57,$Z264))</f>
        <v/>
      </c>
      <c r="AC264" s="53" t="str">
        <f>IF($Z264="","",INDEX(Îlots!$G$8:$G$57,$Z264)&amp;"")</f>
        <v/>
      </c>
      <c r="AD264" s="53" t="str">
        <f>IF($Z264="","",IF($F264=ApportCouvert,OccCouvert,INDEX(Îlots!$O$8:$O$57,$Z264)&amp;""))</f>
        <v/>
      </c>
      <c r="AE264" s="53" t="str">
        <f t="shared" ref="AE264:AE327" si="59">IF(OR($AD264="",$AC264="Non",ZoneVulnerable="Non"),"",IFERROR(MATCH($AD264,CalOccupations,0),""))</f>
        <v/>
      </c>
      <c r="AF264" s="53" t="str">
        <f t="shared" ref="AF264:AF327" si="60">IF($H264="","",IFERROR(MATCH($H264,CalTypes,0),""))</f>
        <v/>
      </c>
      <c r="AG264" s="53" t="str">
        <f t="shared" ref="AG264:AG327" si="61">IF(ISNUMBER($C264),MONTH($C264)*100+DAY($C264),"")</f>
        <v/>
      </c>
      <c r="AH264" s="53">
        <f t="shared" ref="AH264:AH327" si="62">IF(OR($AE264="",$AF264=""),0,IF(N(INDEX(CalPrincipal,$AE264,$AF264+0))=0,0,MONTH(INDEX(CalPrincipal,$AE264,$AF264+0))*100+DAY(INDEX(CalPrincipal,$AE264,$AF264+0))))</f>
        <v>0</v>
      </c>
      <c r="AI264" s="53">
        <f t="shared" ref="AI264:AI327" si="63">IF(OR($AE264="",$AF264=""),0,IF(N(INDEX(CalPrincipal,$AE264,$AF264+1))=0,0,MONTH(INDEX(CalPrincipal,$AE264,$AF264+1))*100+DAY(INDEX(CalPrincipal,$AE264,$AF264+1))))</f>
        <v>0</v>
      </c>
      <c r="AJ264" s="53">
        <f t="shared" ref="AJ264:AJ327" si="64">IF(OR($AE264="",$AF264=""),0,IF(N(INDEX(CalComplement,$AE264,$AF264+0))=0,0,MONTH(INDEX(CalComplement,$AE264,$AF264+0))*100+DAY(INDEX(CalComplement,$AE264,$AF264+0))))</f>
        <v>0</v>
      </c>
      <c r="AK264" s="53">
        <f t="shared" ref="AK264:AK327" si="65">IF(OR($AE264="",$AF264=""),0,IF(N(INDEX(CalComplement,$AE264,$AF264+1))=0,0,MONTH(INDEX(CalComplement,$AE264,$AF264+1))*100+DAY(INDEX(CalComplement,$AE264,$AF264+1))))</f>
        <v>0</v>
      </c>
      <c r="AL264" s="53">
        <f t="shared" ref="AL264:AL327" si="66">IF(OR($AE264="",$AF264="",$AG264=""),0,IF(OR(AND($AH264&gt;0,IF($AH264&lt;=$AI264,AND($AG264&gt;=$AH264,$AG264&lt;=$AI264),OR($AG264&gt;=$AH264,$AG264&lt;=$AI264))),AND($AJ264&gt;0,IF($AJ264&lt;=$AK264,AND($AG264&gt;=$AJ264,$AG264&lt;=$AK264),OR($AG264&gt;=$AJ264,$AG264&lt;=$AK264)))),1,0))</f>
        <v>0</v>
      </c>
      <c r="AM264" s="53">
        <f>IF($AA264="",0,IF(INDEX(Fertilisants!$C$8:$C$47,$AA264)="Effluent d'élevage",1,0))</f>
        <v>0</v>
      </c>
      <c r="AN264" s="53" t="str">
        <f>IF($AA264="","",IF(INDEX(Fertilisants!$C$8:$C$47,$AA264)="Engrais minéral","Minéral","Organique"))</f>
        <v/>
      </c>
      <c r="AO264" s="53" t="str">
        <f t="shared" ref="AO264:AO327" si="67">IF(OR($I264="",$N264=""),"",$I264*$N264)</f>
        <v/>
      </c>
      <c r="AP264" s="53" t="str">
        <f t="shared" ref="AP264:AP327" si="68">IF(OR($I264="",$O264=""),"",$I264*$O264)</f>
        <v/>
      </c>
      <c r="AQ264" s="53" t="str">
        <f t="shared" ref="AQ264:AQ327" si="69">IF(OR($I264="",$P264=""),"",$I264*$P264)</f>
        <v/>
      </c>
      <c r="AR264" s="53" t="str">
        <f>IF(AND($D264&lt;&gt;"",$D264=FicheIlot),COUNTIF($D$8:$D264,FicheIlot),"")</f>
        <v/>
      </c>
    </row>
    <row r="265" spans="2:44" ht="18.95" customHeight="1" x14ac:dyDescent="0.25">
      <c r="B265" s="42" t="str">
        <f>IF(C265="","",COUNT($C$8:C265))</f>
        <v/>
      </c>
      <c r="C265" s="43"/>
      <c r="D265" s="44"/>
      <c r="E265" s="45" t="str">
        <f>IF($Z265="","",IF($F265=ApportCouvert,INDEX(Îlots!$I$8:$I$57,$Z265)&amp;"",INDEX(Îlots!$N$8:$N$57,$Z265)&amp;""))</f>
        <v/>
      </c>
      <c r="F265" s="44"/>
      <c r="G265" s="44"/>
      <c r="H265" s="46" t="str">
        <f>IF($AA265="","",INDEX(Fertilisants!$D$8:$D$47,$AA265)&amp;"")</f>
        <v/>
      </c>
      <c r="I265" s="47"/>
      <c r="J265" s="48"/>
      <c r="K265" s="46" t="str">
        <f>IF($AA265="","",INDEX(Fertilisants!$E$8:$E$47,$AA265)&amp;"")</f>
        <v/>
      </c>
      <c r="L265" s="49" t="str">
        <f t="shared" si="56"/>
        <v/>
      </c>
      <c r="M265" s="50" t="str">
        <f>IF(OR($J265="",$AA265=""),"",$J265*N(INDEX(Fertilisants!$G$8:$G$47,$AA265)))</f>
        <v/>
      </c>
      <c r="N265" s="50" t="str">
        <f>IF(OR($J265="",$AA265=""),"",$J265*N(INDEX(Fertilisants!$I$8:$I$47,$AA265)))</f>
        <v/>
      </c>
      <c r="O265" s="50" t="str">
        <f>IF(OR($J265="",$AA265=""),"",$J265*N(INDEX(Fertilisants!$J$8:$J$47,$AA265)))</f>
        <v/>
      </c>
      <c r="P265" s="50" t="str">
        <f>IF(OR($J265="",$AA265=""),"",$J265*N(INDEX(Fertilisants!$K$8:$K$47,$AA265)))</f>
        <v/>
      </c>
      <c r="Q265" s="50" t="str">
        <f t="shared" si="57"/>
        <v/>
      </c>
      <c r="R265" s="44"/>
      <c r="S265" s="44"/>
      <c r="T265" s="51"/>
      <c r="U265" s="44"/>
      <c r="V265" s="43"/>
      <c r="W265" s="52" t="str">
        <f t="shared" si="58"/>
        <v/>
      </c>
      <c r="X265" s="44"/>
      <c r="Z265" s="53" t="str">
        <f>IF($D265="","",IFERROR(MATCH($D265,Îlots!$D$8:$D$57,0),""))</f>
        <v/>
      </c>
      <c r="AA265" s="53" t="str">
        <f>IF($G265="","",IFERROR(MATCH($G265,Fertilisants!$B$8:$B$47,0),""))</f>
        <v/>
      </c>
      <c r="AB265" s="53" t="str">
        <f>IF($Z265="","",INDEX(Îlots!$E$8:$E$57,$Z265))</f>
        <v/>
      </c>
      <c r="AC265" s="53" t="str">
        <f>IF($Z265="","",INDEX(Îlots!$G$8:$G$57,$Z265)&amp;"")</f>
        <v/>
      </c>
      <c r="AD265" s="53" t="str">
        <f>IF($Z265="","",IF($F265=ApportCouvert,OccCouvert,INDEX(Îlots!$O$8:$O$57,$Z265)&amp;""))</f>
        <v/>
      </c>
      <c r="AE265" s="53" t="str">
        <f t="shared" si="59"/>
        <v/>
      </c>
      <c r="AF265" s="53" t="str">
        <f t="shared" si="60"/>
        <v/>
      </c>
      <c r="AG265" s="53" t="str">
        <f t="shared" si="61"/>
        <v/>
      </c>
      <c r="AH265" s="53">
        <f t="shared" si="62"/>
        <v>0</v>
      </c>
      <c r="AI265" s="53">
        <f t="shared" si="63"/>
        <v>0</v>
      </c>
      <c r="AJ265" s="53">
        <f t="shared" si="64"/>
        <v>0</v>
      </c>
      <c r="AK265" s="53">
        <f t="shared" si="65"/>
        <v>0</v>
      </c>
      <c r="AL265" s="53">
        <f t="shared" si="66"/>
        <v>0</v>
      </c>
      <c r="AM265" s="53">
        <f>IF($AA265="",0,IF(INDEX(Fertilisants!$C$8:$C$47,$AA265)="Effluent d'élevage",1,0))</f>
        <v>0</v>
      </c>
      <c r="AN265" s="53" t="str">
        <f>IF($AA265="","",IF(INDEX(Fertilisants!$C$8:$C$47,$AA265)="Engrais minéral","Minéral","Organique"))</f>
        <v/>
      </c>
      <c r="AO265" s="53" t="str">
        <f t="shared" si="67"/>
        <v/>
      </c>
      <c r="AP265" s="53" t="str">
        <f t="shared" si="68"/>
        <v/>
      </c>
      <c r="AQ265" s="53" t="str">
        <f t="shared" si="69"/>
        <v/>
      </c>
      <c r="AR265" s="53" t="str">
        <f>IF(AND($D265&lt;&gt;"",$D265=FicheIlot),COUNTIF($D$8:$D265,FicheIlot),"")</f>
        <v/>
      </c>
    </row>
    <row r="266" spans="2:44" ht="18.95" customHeight="1" x14ac:dyDescent="0.25">
      <c r="B266" s="42" t="str">
        <f>IF(C266="","",COUNT($C$8:C266))</f>
        <v/>
      </c>
      <c r="C266" s="43"/>
      <c r="D266" s="44"/>
      <c r="E266" s="45" t="str">
        <f>IF($Z266="","",IF($F266=ApportCouvert,INDEX(Îlots!$I$8:$I$57,$Z266)&amp;"",INDEX(Îlots!$N$8:$N$57,$Z266)&amp;""))</f>
        <v/>
      </c>
      <c r="F266" s="44"/>
      <c r="G266" s="44"/>
      <c r="H266" s="46" t="str">
        <f>IF($AA266="","",INDEX(Fertilisants!$D$8:$D$47,$AA266)&amp;"")</f>
        <v/>
      </c>
      <c r="I266" s="47"/>
      <c r="J266" s="48"/>
      <c r="K266" s="46" t="str">
        <f>IF($AA266="","",INDEX(Fertilisants!$E$8:$E$47,$AA266)&amp;"")</f>
        <v/>
      </c>
      <c r="L266" s="49" t="str">
        <f t="shared" si="56"/>
        <v/>
      </c>
      <c r="M266" s="50" t="str">
        <f>IF(OR($J266="",$AA266=""),"",$J266*N(INDEX(Fertilisants!$G$8:$G$47,$AA266)))</f>
        <v/>
      </c>
      <c r="N266" s="50" t="str">
        <f>IF(OR($J266="",$AA266=""),"",$J266*N(INDEX(Fertilisants!$I$8:$I$47,$AA266)))</f>
        <v/>
      </c>
      <c r="O266" s="50" t="str">
        <f>IF(OR($J266="",$AA266=""),"",$J266*N(INDEX(Fertilisants!$J$8:$J$47,$AA266)))</f>
        <v/>
      </c>
      <c r="P266" s="50" t="str">
        <f>IF(OR($J266="",$AA266=""),"",$J266*N(INDEX(Fertilisants!$K$8:$K$47,$AA266)))</f>
        <v/>
      </c>
      <c r="Q266" s="50" t="str">
        <f t="shared" si="57"/>
        <v/>
      </c>
      <c r="R266" s="44"/>
      <c r="S266" s="44"/>
      <c r="T266" s="51"/>
      <c r="U266" s="44"/>
      <c r="V266" s="43"/>
      <c r="W266" s="52" t="str">
        <f t="shared" si="58"/>
        <v/>
      </c>
      <c r="X266" s="44"/>
      <c r="Z266" s="53" t="str">
        <f>IF($D266="","",IFERROR(MATCH($D266,Îlots!$D$8:$D$57,0),""))</f>
        <v/>
      </c>
      <c r="AA266" s="53" t="str">
        <f>IF($G266="","",IFERROR(MATCH($G266,Fertilisants!$B$8:$B$47,0),""))</f>
        <v/>
      </c>
      <c r="AB266" s="53" t="str">
        <f>IF($Z266="","",INDEX(Îlots!$E$8:$E$57,$Z266))</f>
        <v/>
      </c>
      <c r="AC266" s="53" t="str">
        <f>IF($Z266="","",INDEX(Îlots!$G$8:$G$57,$Z266)&amp;"")</f>
        <v/>
      </c>
      <c r="AD266" s="53" t="str">
        <f>IF($Z266="","",IF($F266=ApportCouvert,OccCouvert,INDEX(Îlots!$O$8:$O$57,$Z266)&amp;""))</f>
        <v/>
      </c>
      <c r="AE266" s="53" t="str">
        <f t="shared" si="59"/>
        <v/>
      </c>
      <c r="AF266" s="53" t="str">
        <f t="shared" si="60"/>
        <v/>
      </c>
      <c r="AG266" s="53" t="str">
        <f t="shared" si="61"/>
        <v/>
      </c>
      <c r="AH266" s="53">
        <f t="shared" si="62"/>
        <v>0</v>
      </c>
      <c r="AI266" s="53">
        <f t="shared" si="63"/>
        <v>0</v>
      </c>
      <c r="AJ266" s="53">
        <f t="shared" si="64"/>
        <v>0</v>
      </c>
      <c r="AK266" s="53">
        <f t="shared" si="65"/>
        <v>0</v>
      </c>
      <c r="AL266" s="53">
        <f t="shared" si="66"/>
        <v>0</v>
      </c>
      <c r="AM266" s="53">
        <f>IF($AA266="",0,IF(INDEX(Fertilisants!$C$8:$C$47,$AA266)="Effluent d'élevage",1,0))</f>
        <v>0</v>
      </c>
      <c r="AN266" s="53" t="str">
        <f>IF($AA266="","",IF(INDEX(Fertilisants!$C$8:$C$47,$AA266)="Engrais minéral","Minéral","Organique"))</f>
        <v/>
      </c>
      <c r="AO266" s="53" t="str">
        <f t="shared" si="67"/>
        <v/>
      </c>
      <c r="AP266" s="53" t="str">
        <f t="shared" si="68"/>
        <v/>
      </c>
      <c r="AQ266" s="53" t="str">
        <f t="shared" si="69"/>
        <v/>
      </c>
      <c r="AR266" s="53" t="str">
        <f>IF(AND($D266&lt;&gt;"",$D266=FicheIlot),COUNTIF($D$8:$D266,FicheIlot),"")</f>
        <v/>
      </c>
    </row>
    <row r="267" spans="2:44" ht="18.95" customHeight="1" x14ac:dyDescent="0.25">
      <c r="B267" s="42" t="str">
        <f>IF(C267="","",COUNT($C$8:C267))</f>
        <v/>
      </c>
      <c r="C267" s="43"/>
      <c r="D267" s="44"/>
      <c r="E267" s="45" t="str">
        <f>IF($Z267="","",IF($F267=ApportCouvert,INDEX(Îlots!$I$8:$I$57,$Z267)&amp;"",INDEX(Îlots!$N$8:$N$57,$Z267)&amp;""))</f>
        <v/>
      </c>
      <c r="F267" s="44"/>
      <c r="G267" s="44"/>
      <c r="H267" s="46" t="str">
        <f>IF($AA267="","",INDEX(Fertilisants!$D$8:$D$47,$AA267)&amp;"")</f>
        <v/>
      </c>
      <c r="I267" s="47"/>
      <c r="J267" s="48"/>
      <c r="K267" s="46" t="str">
        <f>IF($AA267="","",INDEX(Fertilisants!$E$8:$E$47,$AA267)&amp;"")</f>
        <v/>
      </c>
      <c r="L267" s="49" t="str">
        <f t="shared" si="56"/>
        <v/>
      </c>
      <c r="M267" s="50" t="str">
        <f>IF(OR($J267="",$AA267=""),"",$J267*N(INDEX(Fertilisants!$G$8:$G$47,$AA267)))</f>
        <v/>
      </c>
      <c r="N267" s="50" t="str">
        <f>IF(OR($J267="",$AA267=""),"",$J267*N(INDEX(Fertilisants!$I$8:$I$47,$AA267)))</f>
        <v/>
      </c>
      <c r="O267" s="50" t="str">
        <f>IF(OR($J267="",$AA267=""),"",$J267*N(INDEX(Fertilisants!$J$8:$J$47,$AA267)))</f>
        <v/>
      </c>
      <c r="P267" s="50" t="str">
        <f>IF(OR($J267="",$AA267=""),"",$J267*N(INDEX(Fertilisants!$K$8:$K$47,$AA267)))</f>
        <v/>
      </c>
      <c r="Q267" s="50" t="str">
        <f t="shared" si="57"/>
        <v/>
      </c>
      <c r="R267" s="44"/>
      <c r="S267" s="44"/>
      <c r="T267" s="51"/>
      <c r="U267" s="44"/>
      <c r="V267" s="43"/>
      <c r="W267" s="52" t="str">
        <f t="shared" si="58"/>
        <v/>
      </c>
      <c r="X267" s="44"/>
      <c r="Z267" s="53" t="str">
        <f>IF($D267="","",IFERROR(MATCH($D267,Îlots!$D$8:$D$57,0),""))</f>
        <v/>
      </c>
      <c r="AA267" s="53" t="str">
        <f>IF($G267="","",IFERROR(MATCH($G267,Fertilisants!$B$8:$B$47,0),""))</f>
        <v/>
      </c>
      <c r="AB267" s="53" t="str">
        <f>IF($Z267="","",INDEX(Îlots!$E$8:$E$57,$Z267))</f>
        <v/>
      </c>
      <c r="AC267" s="53" t="str">
        <f>IF($Z267="","",INDEX(Îlots!$G$8:$G$57,$Z267)&amp;"")</f>
        <v/>
      </c>
      <c r="AD267" s="53" t="str">
        <f>IF($Z267="","",IF($F267=ApportCouvert,OccCouvert,INDEX(Îlots!$O$8:$O$57,$Z267)&amp;""))</f>
        <v/>
      </c>
      <c r="AE267" s="53" t="str">
        <f t="shared" si="59"/>
        <v/>
      </c>
      <c r="AF267" s="53" t="str">
        <f t="shared" si="60"/>
        <v/>
      </c>
      <c r="AG267" s="53" t="str">
        <f t="shared" si="61"/>
        <v/>
      </c>
      <c r="AH267" s="53">
        <f t="shared" si="62"/>
        <v>0</v>
      </c>
      <c r="AI267" s="53">
        <f t="shared" si="63"/>
        <v>0</v>
      </c>
      <c r="AJ267" s="53">
        <f t="shared" si="64"/>
        <v>0</v>
      </c>
      <c r="AK267" s="53">
        <f t="shared" si="65"/>
        <v>0</v>
      </c>
      <c r="AL267" s="53">
        <f t="shared" si="66"/>
        <v>0</v>
      </c>
      <c r="AM267" s="53">
        <f>IF($AA267="",0,IF(INDEX(Fertilisants!$C$8:$C$47,$AA267)="Effluent d'élevage",1,0))</f>
        <v>0</v>
      </c>
      <c r="AN267" s="53" t="str">
        <f>IF($AA267="","",IF(INDEX(Fertilisants!$C$8:$C$47,$AA267)="Engrais minéral","Minéral","Organique"))</f>
        <v/>
      </c>
      <c r="AO267" s="53" t="str">
        <f t="shared" si="67"/>
        <v/>
      </c>
      <c r="AP267" s="53" t="str">
        <f t="shared" si="68"/>
        <v/>
      </c>
      <c r="AQ267" s="53" t="str">
        <f t="shared" si="69"/>
        <v/>
      </c>
      <c r="AR267" s="53" t="str">
        <f>IF(AND($D267&lt;&gt;"",$D267=FicheIlot),COUNTIF($D$8:$D267,FicheIlot),"")</f>
        <v/>
      </c>
    </row>
    <row r="268" spans="2:44" ht="18.95" customHeight="1" x14ac:dyDescent="0.25">
      <c r="B268" s="42" t="str">
        <f>IF(C268="","",COUNT($C$8:C268))</f>
        <v/>
      </c>
      <c r="C268" s="43"/>
      <c r="D268" s="44"/>
      <c r="E268" s="45" t="str">
        <f>IF($Z268="","",IF($F268=ApportCouvert,INDEX(Îlots!$I$8:$I$57,$Z268)&amp;"",INDEX(Îlots!$N$8:$N$57,$Z268)&amp;""))</f>
        <v/>
      </c>
      <c r="F268" s="44"/>
      <c r="G268" s="44"/>
      <c r="H268" s="46" t="str">
        <f>IF($AA268="","",INDEX(Fertilisants!$D$8:$D$47,$AA268)&amp;"")</f>
        <v/>
      </c>
      <c r="I268" s="47"/>
      <c r="J268" s="48"/>
      <c r="K268" s="46" t="str">
        <f>IF($AA268="","",INDEX(Fertilisants!$E$8:$E$47,$AA268)&amp;"")</f>
        <v/>
      </c>
      <c r="L268" s="49" t="str">
        <f t="shared" si="56"/>
        <v/>
      </c>
      <c r="M268" s="50" t="str">
        <f>IF(OR($J268="",$AA268=""),"",$J268*N(INDEX(Fertilisants!$G$8:$G$47,$AA268)))</f>
        <v/>
      </c>
      <c r="N268" s="50" t="str">
        <f>IF(OR($J268="",$AA268=""),"",$J268*N(INDEX(Fertilisants!$I$8:$I$47,$AA268)))</f>
        <v/>
      </c>
      <c r="O268" s="50" t="str">
        <f>IF(OR($J268="",$AA268=""),"",$J268*N(INDEX(Fertilisants!$J$8:$J$47,$AA268)))</f>
        <v/>
      </c>
      <c r="P268" s="50" t="str">
        <f>IF(OR($J268="",$AA268=""),"",$J268*N(INDEX(Fertilisants!$K$8:$K$47,$AA268)))</f>
        <v/>
      </c>
      <c r="Q268" s="50" t="str">
        <f t="shared" si="57"/>
        <v/>
      </c>
      <c r="R268" s="44"/>
      <c r="S268" s="44"/>
      <c r="T268" s="51"/>
      <c r="U268" s="44"/>
      <c r="V268" s="43"/>
      <c r="W268" s="52" t="str">
        <f t="shared" si="58"/>
        <v/>
      </c>
      <c r="X268" s="44"/>
      <c r="Z268" s="53" t="str">
        <f>IF($D268="","",IFERROR(MATCH($D268,Îlots!$D$8:$D$57,0),""))</f>
        <v/>
      </c>
      <c r="AA268" s="53" t="str">
        <f>IF($G268="","",IFERROR(MATCH($G268,Fertilisants!$B$8:$B$47,0),""))</f>
        <v/>
      </c>
      <c r="AB268" s="53" t="str">
        <f>IF($Z268="","",INDEX(Îlots!$E$8:$E$57,$Z268))</f>
        <v/>
      </c>
      <c r="AC268" s="53" t="str">
        <f>IF($Z268="","",INDEX(Îlots!$G$8:$G$57,$Z268)&amp;"")</f>
        <v/>
      </c>
      <c r="AD268" s="53" t="str">
        <f>IF($Z268="","",IF($F268=ApportCouvert,OccCouvert,INDEX(Îlots!$O$8:$O$57,$Z268)&amp;""))</f>
        <v/>
      </c>
      <c r="AE268" s="53" t="str">
        <f t="shared" si="59"/>
        <v/>
      </c>
      <c r="AF268" s="53" t="str">
        <f t="shared" si="60"/>
        <v/>
      </c>
      <c r="AG268" s="53" t="str">
        <f t="shared" si="61"/>
        <v/>
      </c>
      <c r="AH268" s="53">
        <f t="shared" si="62"/>
        <v>0</v>
      </c>
      <c r="AI268" s="53">
        <f t="shared" si="63"/>
        <v>0</v>
      </c>
      <c r="AJ268" s="53">
        <f t="shared" si="64"/>
        <v>0</v>
      </c>
      <c r="AK268" s="53">
        <f t="shared" si="65"/>
        <v>0</v>
      </c>
      <c r="AL268" s="53">
        <f t="shared" si="66"/>
        <v>0</v>
      </c>
      <c r="AM268" s="53">
        <f>IF($AA268="",0,IF(INDEX(Fertilisants!$C$8:$C$47,$AA268)="Effluent d'élevage",1,0))</f>
        <v>0</v>
      </c>
      <c r="AN268" s="53" t="str">
        <f>IF($AA268="","",IF(INDEX(Fertilisants!$C$8:$C$47,$AA268)="Engrais minéral","Minéral","Organique"))</f>
        <v/>
      </c>
      <c r="AO268" s="53" t="str">
        <f t="shared" si="67"/>
        <v/>
      </c>
      <c r="AP268" s="53" t="str">
        <f t="shared" si="68"/>
        <v/>
      </c>
      <c r="AQ268" s="53" t="str">
        <f t="shared" si="69"/>
        <v/>
      </c>
      <c r="AR268" s="53" t="str">
        <f>IF(AND($D268&lt;&gt;"",$D268=FicheIlot),COUNTIF($D$8:$D268,FicheIlot),"")</f>
        <v/>
      </c>
    </row>
    <row r="269" spans="2:44" ht="18.95" customHeight="1" x14ac:dyDescent="0.25">
      <c r="B269" s="42" t="str">
        <f>IF(C269="","",COUNT($C$8:C269))</f>
        <v/>
      </c>
      <c r="C269" s="43"/>
      <c r="D269" s="44"/>
      <c r="E269" s="45" t="str">
        <f>IF($Z269="","",IF($F269=ApportCouvert,INDEX(Îlots!$I$8:$I$57,$Z269)&amp;"",INDEX(Îlots!$N$8:$N$57,$Z269)&amp;""))</f>
        <v/>
      </c>
      <c r="F269" s="44"/>
      <c r="G269" s="44"/>
      <c r="H269" s="46" t="str">
        <f>IF($AA269="","",INDEX(Fertilisants!$D$8:$D$47,$AA269)&amp;"")</f>
        <v/>
      </c>
      <c r="I269" s="47"/>
      <c r="J269" s="48"/>
      <c r="K269" s="46" t="str">
        <f>IF($AA269="","",INDEX(Fertilisants!$E$8:$E$47,$AA269)&amp;"")</f>
        <v/>
      </c>
      <c r="L269" s="49" t="str">
        <f t="shared" si="56"/>
        <v/>
      </c>
      <c r="M269" s="50" t="str">
        <f>IF(OR($J269="",$AA269=""),"",$J269*N(INDEX(Fertilisants!$G$8:$G$47,$AA269)))</f>
        <v/>
      </c>
      <c r="N269" s="50" t="str">
        <f>IF(OR($J269="",$AA269=""),"",$J269*N(INDEX(Fertilisants!$I$8:$I$47,$AA269)))</f>
        <v/>
      </c>
      <c r="O269" s="50" t="str">
        <f>IF(OR($J269="",$AA269=""),"",$J269*N(INDEX(Fertilisants!$J$8:$J$47,$AA269)))</f>
        <v/>
      </c>
      <c r="P269" s="50" t="str">
        <f>IF(OR($J269="",$AA269=""),"",$J269*N(INDEX(Fertilisants!$K$8:$K$47,$AA269)))</f>
        <v/>
      </c>
      <c r="Q269" s="50" t="str">
        <f t="shared" si="57"/>
        <v/>
      </c>
      <c r="R269" s="44"/>
      <c r="S269" s="44"/>
      <c r="T269" s="51"/>
      <c r="U269" s="44"/>
      <c r="V269" s="43"/>
      <c r="W269" s="52" t="str">
        <f t="shared" si="58"/>
        <v/>
      </c>
      <c r="X269" s="44"/>
      <c r="Z269" s="53" t="str">
        <f>IF($D269="","",IFERROR(MATCH($D269,Îlots!$D$8:$D$57,0),""))</f>
        <v/>
      </c>
      <c r="AA269" s="53" t="str">
        <f>IF($G269="","",IFERROR(MATCH($G269,Fertilisants!$B$8:$B$47,0),""))</f>
        <v/>
      </c>
      <c r="AB269" s="53" t="str">
        <f>IF($Z269="","",INDEX(Îlots!$E$8:$E$57,$Z269))</f>
        <v/>
      </c>
      <c r="AC269" s="53" t="str">
        <f>IF($Z269="","",INDEX(Îlots!$G$8:$G$57,$Z269)&amp;"")</f>
        <v/>
      </c>
      <c r="AD269" s="53" t="str">
        <f>IF($Z269="","",IF($F269=ApportCouvert,OccCouvert,INDEX(Îlots!$O$8:$O$57,$Z269)&amp;""))</f>
        <v/>
      </c>
      <c r="AE269" s="53" t="str">
        <f t="shared" si="59"/>
        <v/>
      </c>
      <c r="AF269" s="53" t="str">
        <f t="shared" si="60"/>
        <v/>
      </c>
      <c r="AG269" s="53" t="str">
        <f t="shared" si="61"/>
        <v/>
      </c>
      <c r="AH269" s="53">
        <f t="shared" si="62"/>
        <v>0</v>
      </c>
      <c r="AI269" s="53">
        <f t="shared" si="63"/>
        <v>0</v>
      </c>
      <c r="AJ269" s="53">
        <f t="shared" si="64"/>
        <v>0</v>
      </c>
      <c r="AK269" s="53">
        <f t="shared" si="65"/>
        <v>0</v>
      </c>
      <c r="AL269" s="53">
        <f t="shared" si="66"/>
        <v>0</v>
      </c>
      <c r="AM269" s="53">
        <f>IF($AA269="",0,IF(INDEX(Fertilisants!$C$8:$C$47,$AA269)="Effluent d'élevage",1,0))</f>
        <v>0</v>
      </c>
      <c r="AN269" s="53" t="str">
        <f>IF($AA269="","",IF(INDEX(Fertilisants!$C$8:$C$47,$AA269)="Engrais minéral","Minéral","Organique"))</f>
        <v/>
      </c>
      <c r="AO269" s="53" t="str">
        <f t="shared" si="67"/>
        <v/>
      </c>
      <c r="AP269" s="53" t="str">
        <f t="shared" si="68"/>
        <v/>
      </c>
      <c r="AQ269" s="53" t="str">
        <f t="shared" si="69"/>
        <v/>
      </c>
      <c r="AR269" s="53" t="str">
        <f>IF(AND($D269&lt;&gt;"",$D269=FicheIlot),COUNTIF($D$8:$D269,FicheIlot),"")</f>
        <v/>
      </c>
    </row>
    <row r="270" spans="2:44" ht="18.95" customHeight="1" x14ac:dyDescent="0.25">
      <c r="B270" s="42" t="str">
        <f>IF(C270="","",COUNT($C$8:C270))</f>
        <v/>
      </c>
      <c r="C270" s="43"/>
      <c r="D270" s="44"/>
      <c r="E270" s="45" t="str">
        <f>IF($Z270="","",IF($F270=ApportCouvert,INDEX(Îlots!$I$8:$I$57,$Z270)&amp;"",INDEX(Îlots!$N$8:$N$57,$Z270)&amp;""))</f>
        <v/>
      </c>
      <c r="F270" s="44"/>
      <c r="G270" s="44"/>
      <c r="H270" s="46" t="str">
        <f>IF($AA270="","",INDEX(Fertilisants!$D$8:$D$47,$AA270)&amp;"")</f>
        <v/>
      </c>
      <c r="I270" s="47"/>
      <c r="J270" s="48"/>
      <c r="K270" s="46" t="str">
        <f>IF($AA270="","",INDEX(Fertilisants!$E$8:$E$47,$AA270)&amp;"")</f>
        <v/>
      </c>
      <c r="L270" s="49" t="str">
        <f t="shared" si="56"/>
        <v/>
      </c>
      <c r="M270" s="50" t="str">
        <f>IF(OR($J270="",$AA270=""),"",$J270*N(INDEX(Fertilisants!$G$8:$G$47,$AA270)))</f>
        <v/>
      </c>
      <c r="N270" s="50" t="str">
        <f>IF(OR($J270="",$AA270=""),"",$J270*N(INDEX(Fertilisants!$I$8:$I$47,$AA270)))</f>
        <v/>
      </c>
      <c r="O270" s="50" t="str">
        <f>IF(OR($J270="",$AA270=""),"",$J270*N(INDEX(Fertilisants!$J$8:$J$47,$AA270)))</f>
        <v/>
      </c>
      <c r="P270" s="50" t="str">
        <f>IF(OR($J270="",$AA270=""),"",$J270*N(INDEX(Fertilisants!$K$8:$K$47,$AA270)))</f>
        <v/>
      </c>
      <c r="Q270" s="50" t="str">
        <f t="shared" si="57"/>
        <v/>
      </c>
      <c r="R270" s="44"/>
      <c r="S270" s="44"/>
      <c r="T270" s="51"/>
      <c r="U270" s="44"/>
      <c r="V270" s="43"/>
      <c r="W270" s="52" t="str">
        <f t="shared" si="58"/>
        <v/>
      </c>
      <c r="X270" s="44"/>
      <c r="Z270" s="53" t="str">
        <f>IF($D270="","",IFERROR(MATCH($D270,Îlots!$D$8:$D$57,0),""))</f>
        <v/>
      </c>
      <c r="AA270" s="53" t="str">
        <f>IF($G270="","",IFERROR(MATCH($G270,Fertilisants!$B$8:$B$47,0),""))</f>
        <v/>
      </c>
      <c r="AB270" s="53" t="str">
        <f>IF($Z270="","",INDEX(Îlots!$E$8:$E$57,$Z270))</f>
        <v/>
      </c>
      <c r="AC270" s="53" t="str">
        <f>IF($Z270="","",INDEX(Îlots!$G$8:$G$57,$Z270)&amp;"")</f>
        <v/>
      </c>
      <c r="AD270" s="53" t="str">
        <f>IF($Z270="","",IF($F270=ApportCouvert,OccCouvert,INDEX(Îlots!$O$8:$O$57,$Z270)&amp;""))</f>
        <v/>
      </c>
      <c r="AE270" s="53" t="str">
        <f t="shared" si="59"/>
        <v/>
      </c>
      <c r="AF270" s="53" t="str">
        <f t="shared" si="60"/>
        <v/>
      </c>
      <c r="AG270" s="53" t="str">
        <f t="shared" si="61"/>
        <v/>
      </c>
      <c r="AH270" s="53">
        <f t="shared" si="62"/>
        <v>0</v>
      </c>
      <c r="AI270" s="53">
        <f t="shared" si="63"/>
        <v>0</v>
      </c>
      <c r="AJ270" s="53">
        <f t="shared" si="64"/>
        <v>0</v>
      </c>
      <c r="AK270" s="53">
        <f t="shared" si="65"/>
        <v>0</v>
      </c>
      <c r="AL270" s="53">
        <f t="shared" si="66"/>
        <v>0</v>
      </c>
      <c r="AM270" s="53">
        <f>IF($AA270="",0,IF(INDEX(Fertilisants!$C$8:$C$47,$AA270)="Effluent d'élevage",1,0))</f>
        <v>0</v>
      </c>
      <c r="AN270" s="53" t="str">
        <f>IF($AA270="","",IF(INDEX(Fertilisants!$C$8:$C$47,$AA270)="Engrais minéral","Minéral","Organique"))</f>
        <v/>
      </c>
      <c r="AO270" s="53" t="str">
        <f t="shared" si="67"/>
        <v/>
      </c>
      <c r="AP270" s="53" t="str">
        <f t="shared" si="68"/>
        <v/>
      </c>
      <c r="AQ270" s="53" t="str">
        <f t="shared" si="69"/>
        <v/>
      </c>
      <c r="AR270" s="53" t="str">
        <f>IF(AND($D270&lt;&gt;"",$D270=FicheIlot),COUNTIF($D$8:$D270,FicheIlot),"")</f>
        <v/>
      </c>
    </row>
    <row r="271" spans="2:44" ht="18.95" customHeight="1" x14ac:dyDescent="0.25">
      <c r="B271" s="42" t="str">
        <f>IF(C271="","",COUNT($C$8:C271))</f>
        <v/>
      </c>
      <c r="C271" s="43"/>
      <c r="D271" s="44"/>
      <c r="E271" s="45" t="str">
        <f>IF($Z271="","",IF($F271=ApportCouvert,INDEX(Îlots!$I$8:$I$57,$Z271)&amp;"",INDEX(Îlots!$N$8:$N$57,$Z271)&amp;""))</f>
        <v/>
      </c>
      <c r="F271" s="44"/>
      <c r="G271" s="44"/>
      <c r="H271" s="46" t="str">
        <f>IF($AA271="","",INDEX(Fertilisants!$D$8:$D$47,$AA271)&amp;"")</f>
        <v/>
      </c>
      <c r="I271" s="47"/>
      <c r="J271" s="48"/>
      <c r="K271" s="46" t="str">
        <f>IF($AA271="","",INDEX(Fertilisants!$E$8:$E$47,$AA271)&amp;"")</f>
        <v/>
      </c>
      <c r="L271" s="49" t="str">
        <f t="shared" si="56"/>
        <v/>
      </c>
      <c r="M271" s="50" t="str">
        <f>IF(OR($J271="",$AA271=""),"",$J271*N(INDEX(Fertilisants!$G$8:$G$47,$AA271)))</f>
        <v/>
      </c>
      <c r="N271" s="50" t="str">
        <f>IF(OR($J271="",$AA271=""),"",$J271*N(INDEX(Fertilisants!$I$8:$I$47,$AA271)))</f>
        <v/>
      </c>
      <c r="O271" s="50" t="str">
        <f>IF(OR($J271="",$AA271=""),"",$J271*N(INDEX(Fertilisants!$J$8:$J$47,$AA271)))</f>
        <v/>
      </c>
      <c r="P271" s="50" t="str">
        <f>IF(OR($J271="",$AA271=""),"",$J271*N(INDEX(Fertilisants!$K$8:$K$47,$AA271)))</f>
        <v/>
      </c>
      <c r="Q271" s="50" t="str">
        <f t="shared" si="57"/>
        <v/>
      </c>
      <c r="R271" s="44"/>
      <c r="S271" s="44"/>
      <c r="T271" s="51"/>
      <c r="U271" s="44"/>
      <c r="V271" s="43"/>
      <c r="W271" s="52" t="str">
        <f t="shared" si="58"/>
        <v/>
      </c>
      <c r="X271" s="44"/>
      <c r="Z271" s="53" t="str">
        <f>IF($D271="","",IFERROR(MATCH($D271,Îlots!$D$8:$D$57,0),""))</f>
        <v/>
      </c>
      <c r="AA271" s="53" t="str">
        <f>IF($G271="","",IFERROR(MATCH($G271,Fertilisants!$B$8:$B$47,0),""))</f>
        <v/>
      </c>
      <c r="AB271" s="53" t="str">
        <f>IF($Z271="","",INDEX(Îlots!$E$8:$E$57,$Z271))</f>
        <v/>
      </c>
      <c r="AC271" s="53" t="str">
        <f>IF($Z271="","",INDEX(Îlots!$G$8:$G$57,$Z271)&amp;"")</f>
        <v/>
      </c>
      <c r="AD271" s="53" t="str">
        <f>IF($Z271="","",IF($F271=ApportCouvert,OccCouvert,INDEX(Îlots!$O$8:$O$57,$Z271)&amp;""))</f>
        <v/>
      </c>
      <c r="AE271" s="53" t="str">
        <f t="shared" si="59"/>
        <v/>
      </c>
      <c r="AF271" s="53" t="str">
        <f t="shared" si="60"/>
        <v/>
      </c>
      <c r="AG271" s="53" t="str">
        <f t="shared" si="61"/>
        <v/>
      </c>
      <c r="AH271" s="53">
        <f t="shared" si="62"/>
        <v>0</v>
      </c>
      <c r="AI271" s="53">
        <f t="shared" si="63"/>
        <v>0</v>
      </c>
      <c r="AJ271" s="53">
        <f t="shared" si="64"/>
        <v>0</v>
      </c>
      <c r="AK271" s="53">
        <f t="shared" si="65"/>
        <v>0</v>
      </c>
      <c r="AL271" s="53">
        <f t="shared" si="66"/>
        <v>0</v>
      </c>
      <c r="AM271" s="53">
        <f>IF($AA271="",0,IF(INDEX(Fertilisants!$C$8:$C$47,$AA271)="Effluent d'élevage",1,0))</f>
        <v>0</v>
      </c>
      <c r="AN271" s="53" t="str">
        <f>IF($AA271="","",IF(INDEX(Fertilisants!$C$8:$C$47,$AA271)="Engrais minéral","Minéral","Organique"))</f>
        <v/>
      </c>
      <c r="AO271" s="53" t="str">
        <f t="shared" si="67"/>
        <v/>
      </c>
      <c r="AP271" s="53" t="str">
        <f t="shared" si="68"/>
        <v/>
      </c>
      <c r="AQ271" s="53" t="str">
        <f t="shared" si="69"/>
        <v/>
      </c>
      <c r="AR271" s="53" t="str">
        <f>IF(AND($D271&lt;&gt;"",$D271=FicheIlot),COUNTIF($D$8:$D271,FicheIlot),"")</f>
        <v/>
      </c>
    </row>
    <row r="272" spans="2:44" ht="18.95" customHeight="1" x14ac:dyDescent="0.25">
      <c r="B272" s="42" t="str">
        <f>IF(C272="","",COUNT($C$8:C272))</f>
        <v/>
      </c>
      <c r="C272" s="43"/>
      <c r="D272" s="44"/>
      <c r="E272" s="45" t="str">
        <f>IF($Z272="","",IF($F272=ApportCouvert,INDEX(Îlots!$I$8:$I$57,$Z272)&amp;"",INDEX(Îlots!$N$8:$N$57,$Z272)&amp;""))</f>
        <v/>
      </c>
      <c r="F272" s="44"/>
      <c r="G272" s="44"/>
      <c r="H272" s="46" t="str">
        <f>IF($AA272="","",INDEX(Fertilisants!$D$8:$D$47,$AA272)&amp;"")</f>
        <v/>
      </c>
      <c r="I272" s="47"/>
      <c r="J272" s="48"/>
      <c r="K272" s="46" t="str">
        <f>IF($AA272="","",INDEX(Fertilisants!$E$8:$E$47,$AA272)&amp;"")</f>
        <v/>
      </c>
      <c r="L272" s="49" t="str">
        <f t="shared" si="56"/>
        <v/>
      </c>
      <c r="M272" s="50" t="str">
        <f>IF(OR($J272="",$AA272=""),"",$J272*N(INDEX(Fertilisants!$G$8:$G$47,$AA272)))</f>
        <v/>
      </c>
      <c r="N272" s="50" t="str">
        <f>IF(OR($J272="",$AA272=""),"",$J272*N(INDEX(Fertilisants!$I$8:$I$47,$AA272)))</f>
        <v/>
      </c>
      <c r="O272" s="50" t="str">
        <f>IF(OR($J272="",$AA272=""),"",$J272*N(INDEX(Fertilisants!$J$8:$J$47,$AA272)))</f>
        <v/>
      </c>
      <c r="P272" s="50" t="str">
        <f>IF(OR($J272="",$AA272=""),"",$J272*N(INDEX(Fertilisants!$K$8:$K$47,$AA272)))</f>
        <v/>
      </c>
      <c r="Q272" s="50" t="str">
        <f t="shared" si="57"/>
        <v/>
      </c>
      <c r="R272" s="44"/>
      <c r="S272" s="44"/>
      <c r="T272" s="51"/>
      <c r="U272" s="44"/>
      <c r="V272" s="43"/>
      <c r="W272" s="52" t="str">
        <f t="shared" si="58"/>
        <v/>
      </c>
      <c r="X272" s="44"/>
      <c r="Z272" s="53" t="str">
        <f>IF($D272="","",IFERROR(MATCH($D272,Îlots!$D$8:$D$57,0),""))</f>
        <v/>
      </c>
      <c r="AA272" s="53" t="str">
        <f>IF($G272="","",IFERROR(MATCH($G272,Fertilisants!$B$8:$B$47,0),""))</f>
        <v/>
      </c>
      <c r="AB272" s="53" t="str">
        <f>IF($Z272="","",INDEX(Îlots!$E$8:$E$57,$Z272))</f>
        <v/>
      </c>
      <c r="AC272" s="53" t="str">
        <f>IF($Z272="","",INDEX(Îlots!$G$8:$G$57,$Z272)&amp;"")</f>
        <v/>
      </c>
      <c r="AD272" s="53" t="str">
        <f>IF($Z272="","",IF($F272=ApportCouvert,OccCouvert,INDEX(Îlots!$O$8:$O$57,$Z272)&amp;""))</f>
        <v/>
      </c>
      <c r="AE272" s="53" t="str">
        <f t="shared" si="59"/>
        <v/>
      </c>
      <c r="AF272" s="53" t="str">
        <f t="shared" si="60"/>
        <v/>
      </c>
      <c r="AG272" s="53" t="str">
        <f t="shared" si="61"/>
        <v/>
      </c>
      <c r="AH272" s="53">
        <f t="shared" si="62"/>
        <v>0</v>
      </c>
      <c r="AI272" s="53">
        <f t="shared" si="63"/>
        <v>0</v>
      </c>
      <c r="AJ272" s="53">
        <f t="shared" si="64"/>
        <v>0</v>
      </c>
      <c r="AK272" s="53">
        <f t="shared" si="65"/>
        <v>0</v>
      </c>
      <c r="AL272" s="53">
        <f t="shared" si="66"/>
        <v>0</v>
      </c>
      <c r="AM272" s="53">
        <f>IF($AA272="",0,IF(INDEX(Fertilisants!$C$8:$C$47,$AA272)="Effluent d'élevage",1,0))</f>
        <v>0</v>
      </c>
      <c r="AN272" s="53" t="str">
        <f>IF($AA272="","",IF(INDEX(Fertilisants!$C$8:$C$47,$AA272)="Engrais minéral","Minéral","Organique"))</f>
        <v/>
      </c>
      <c r="AO272" s="53" t="str">
        <f t="shared" si="67"/>
        <v/>
      </c>
      <c r="AP272" s="53" t="str">
        <f t="shared" si="68"/>
        <v/>
      </c>
      <c r="AQ272" s="53" t="str">
        <f t="shared" si="69"/>
        <v/>
      </c>
      <c r="AR272" s="53" t="str">
        <f>IF(AND($D272&lt;&gt;"",$D272=FicheIlot),COUNTIF($D$8:$D272,FicheIlot),"")</f>
        <v/>
      </c>
    </row>
    <row r="273" spans="2:44" ht="18.95" customHeight="1" x14ac:dyDescent="0.25">
      <c r="B273" s="42" t="str">
        <f>IF(C273="","",COUNT($C$8:C273))</f>
        <v/>
      </c>
      <c r="C273" s="43"/>
      <c r="D273" s="44"/>
      <c r="E273" s="45" t="str">
        <f>IF($Z273="","",IF($F273=ApportCouvert,INDEX(Îlots!$I$8:$I$57,$Z273)&amp;"",INDEX(Îlots!$N$8:$N$57,$Z273)&amp;""))</f>
        <v/>
      </c>
      <c r="F273" s="44"/>
      <c r="G273" s="44"/>
      <c r="H273" s="46" t="str">
        <f>IF($AA273="","",INDEX(Fertilisants!$D$8:$D$47,$AA273)&amp;"")</f>
        <v/>
      </c>
      <c r="I273" s="47"/>
      <c r="J273" s="48"/>
      <c r="K273" s="46" t="str">
        <f>IF($AA273="","",INDEX(Fertilisants!$E$8:$E$47,$AA273)&amp;"")</f>
        <v/>
      </c>
      <c r="L273" s="49" t="str">
        <f t="shared" si="56"/>
        <v/>
      </c>
      <c r="M273" s="50" t="str">
        <f>IF(OR($J273="",$AA273=""),"",$J273*N(INDEX(Fertilisants!$G$8:$G$47,$AA273)))</f>
        <v/>
      </c>
      <c r="N273" s="50" t="str">
        <f>IF(OR($J273="",$AA273=""),"",$J273*N(INDEX(Fertilisants!$I$8:$I$47,$AA273)))</f>
        <v/>
      </c>
      <c r="O273" s="50" t="str">
        <f>IF(OR($J273="",$AA273=""),"",$J273*N(INDEX(Fertilisants!$J$8:$J$47,$AA273)))</f>
        <v/>
      </c>
      <c r="P273" s="50" t="str">
        <f>IF(OR($J273="",$AA273=""),"",$J273*N(INDEX(Fertilisants!$K$8:$K$47,$AA273)))</f>
        <v/>
      </c>
      <c r="Q273" s="50" t="str">
        <f t="shared" si="57"/>
        <v/>
      </c>
      <c r="R273" s="44"/>
      <c r="S273" s="44"/>
      <c r="T273" s="51"/>
      <c r="U273" s="44"/>
      <c r="V273" s="43"/>
      <c r="W273" s="52" t="str">
        <f t="shared" si="58"/>
        <v/>
      </c>
      <c r="X273" s="44"/>
      <c r="Z273" s="53" t="str">
        <f>IF($D273="","",IFERROR(MATCH($D273,Îlots!$D$8:$D$57,0),""))</f>
        <v/>
      </c>
      <c r="AA273" s="53" t="str">
        <f>IF($G273="","",IFERROR(MATCH($G273,Fertilisants!$B$8:$B$47,0),""))</f>
        <v/>
      </c>
      <c r="AB273" s="53" t="str">
        <f>IF($Z273="","",INDEX(Îlots!$E$8:$E$57,$Z273))</f>
        <v/>
      </c>
      <c r="AC273" s="53" t="str">
        <f>IF($Z273="","",INDEX(Îlots!$G$8:$G$57,$Z273)&amp;"")</f>
        <v/>
      </c>
      <c r="AD273" s="53" t="str">
        <f>IF($Z273="","",IF($F273=ApportCouvert,OccCouvert,INDEX(Îlots!$O$8:$O$57,$Z273)&amp;""))</f>
        <v/>
      </c>
      <c r="AE273" s="53" t="str">
        <f t="shared" si="59"/>
        <v/>
      </c>
      <c r="AF273" s="53" t="str">
        <f t="shared" si="60"/>
        <v/>
      </c>
      <c r="AG273" s="53" t="str">
        <f t="shared" si="61"/>
        <v/>
      </c>
      <c r="AH273" s="53">
        <f t="shared" si="62"/>
        <v>0</v>
      </c>
      <c r="AI273" s="53">
        <f t="shared" si="63"/>
        <v>0</v>
      </c>
      <c r="AJ273" s="53">
        <f t="shared" si="64"/>
        <v>0</v>
      </c>
      <c r="AK273" s="53">
        <f t="shared" si="65"/>
        <v>0</v>
      </c>
      <c r="AL273" s="53">
        <f t="shared" si="66"/>
        <v>0</v>
      </c>
      <c r="AM273" s="53">
        <f>IF($AA273="",0,IF(INDEX(Fertilisants!$C$8:$C$47,$AA273)="Effluent d'élevage",1,0))</f>
        <v>0</v>
      </c>
      <c r="AN273" s="53" t="str">
        <f>IF($AA273="","",IF(INDEX(Fertilisants!$C$8:$C$47,$AA273)="Engrais minéral","Minéral","Organique"))</f>
        <v/>
      </c>
      <c r="AO273" s="53" t="str">
        <f t="shared" si="67"/>
        <v/>
      </c>
      <c r="AP273" s="53" t="str">
        <f t="shared" si="68"/>
        <v/>
      </c>
      <c r="AQ273" s="53" t="str">
        <f t="shared" si="69"/>
        <v/>
      </c>
      <c r="AR273" s="53" t="str">
        <f>IF(AND($D273&lt;&gt;"",$D273=FicheIlot),COUNTIF($D$8:$D273,FicheIlot),"")</f>
        <v/>
      </c>
    </row>
    <row r="274" spans="2:44" ht="18.95" customHeight="1" x14ac:dyDescent="0.25">
      <c r="B274" s="42" t="str">
        <f>IF(C274="","",COUNT($C$8:C274))</f>
        <v/>
      </c>
      <c r="C274" s="43"/>
      <c r="D274" s="44"/>
      <c r="E274" s="45" t="str">
        <f>IF($Z274="","",IF($F274=ApportCouvert,INDEX(Îlots!$I$8:$I$57,$Z274)&amp;"",INDEX(Îlots!$N$8:$N$57,$Z274)&amp;""))</f>
        <v/>
      </c>
      <c r="F274" s="44"/>
      <c r="G274" s="44"/>
      <c r="H274" s="46" t="str">
        <f>IF($AA274="","",INDEX(Fertilisants!$D$8:$D$47,$AA274)&amp;"")</f>
        <v/>
      </c>
      <c r="I274" s="47"/>
      <c r="J274" s="48"/>
      <c r="K274" s="46" t="str">
        <f>IF($AA274="","",INDEX(Fertilisants!$E$8:$E$47,$AA274)&amp;"")</f>
        <v/>
      </c>
      <c r="L274" s="49" t="str">
        <f t="shared" si="56"/>
        <v/>
      </c>
      <c r="M274" s="50" t="str">
        <f>IF(OR($J274="",$AA274=""),"",$J274*N(INDEX(Fertilisants!$G$8:$G$47,$AA274)))</f>
        <v/>
      </c>
      <c r="N274" s="50" t="str">
        <f>IF(OR($J274="",$AA274=""),"",$J274*N(INDEX(Fertilisants!$I$8:$I$47,$AA274)))</f>
        <v/>
      </c>
      <c r="O274" s="50" t="str">
        <f>IF(OR($J274="",$AA274=""),"",$J274*N(INDEX(Fertilisants!$J$8:$J$47,$AA274)))</f>
        <v/>
      </c>
      <c r="P274" s="50" t="str">
        <f>IF(OR($J274="",$AA274=""),"",$J274*N(INDEX(Fertilisants!$K$8:$K$47,$AA274)))</f>
        <v/>
      </c>
      <c r="Q274" s="50" t="str">
        <f t="shared" si="57"/>
        <v/>
      </c>
      <c r="R274" s="44"/>
      <c r="S274" s="44"/>
      <c r="T274" s="51"/>
      <c r="U274" s="44"/>
      <c r="V274" s="43"/>
      <c r="W274" s="52" t="str">
        <f t="shared" si="58"/>
        <v/>
      </c>
      <c r="X274" s="44"/>
      <c r="Z274" s="53" t="str">
        <f>IF($D274="","",IFERROR(MATCH($D274,Îlots!$D$8:$D$57,0),""))</f>
        <v/>
      </c>
      <c r="AA274" s="53" t="str">
        <f>IF($G274="","",IFERROR(MATCH($G274,Fertilisants!$B$8:$B$47,0),""))</f>
        <v/>
      </c>
      <c r="AB274" s="53" t="str">
        <f>IF($Z274="","",INDEX(Îlots!$E$8:$E$57,$Z274))</f>
        <v/>
      </c>
      <c r="AC274" s="53" t="str">
        <f>IF($Z274="","",INDEX(Îlots!$G$8:$G$57,$Z274)&amp;"")</f>
        <v/>
      </c>
      <c r="AD274" s="53" t="str">
        <f>IF($Z274="","",IF($F274=ApportCouvert,OccCouvert,INDEX(Îlots!$O$8:$O$57,$Z274)&amp;""))</f>
        <v/>
      </c>
      <c r="AE274" s="53" t="str">
        <f t="shared" si="59"/>
        <v/>
      </c>
      <c r="AF274" s="53" t="str">
        <f t="shared" si="60"/>
        <v/>
      </c>
      <c r="AG274" s="53" t="str">
        <f t="shared" si="61"/>
        <v/>
      </c>
      <c r="AH274" s="53">
        <f t="shared" si="62"/>
        <v>0</v>
      </c>
      <c r="AI274" s="53">
        <f t="shared" si="63"/>
        <v>0</v>
      </c>
      <c r="AJ274" s="53">
        <f t="shared" si="64"/>
        <v>0</v>
      </c>
      <c r="AK274" s="53">
        <f t="shared" si="65"/>
        <v>0</v>
      </c>
      <c r="AL274" s="53">
        <f t="shared" si="66"/>
        <v>0</v>
      </c>
      <c r="AM274" s="53">
        <f>IF($AA274="",0,IF(INDEX(Fertilisants!$C$8:$C$47,$AA274)="Effluent d'élevage",1,0))</f>
        <v>0</v>
      </c>
      <c r="AN274" s="53" t="str">
        <f>IF($AA274="","",IF(INDEX(Fertilisants!$C$8:$C$47,$AA274)="Engrais minéral","Minéral","Organique"))</f>
        <v/>
      </c>
      <c r="AO274" s="53" t="str">
        <f t="shared" si="67"/>
        <v/>
      </c>
      <c r="AP274" s="53" t="str">
        <f t="shared" si="68"/>
        <v/>
      </c>
      <c r="AQ274" s="53" t="str">
        <f t="shared" si="69"/>
        <v/>
      </c>
      <c r="AR274" s="53" t="str">
        <f>IF(AND($D274&lt;&gt;"",$D274=FicheIlot),COUNTIF($D$8:$D274,FicheIlot),"")</f>
        <v/>
      </c>
    </row>
    <row r="275" spans="2:44" ht="18.95" customHeight="1" x14ac:dyDescent="0.25">
      <c r="B275" s="42" t="str">
        <f>IF(C275="","",COUNT($C$8:C275))</f>
        <v/>
      </c>
      <c r="C275" s="43"/>
      <c r="D275" s="44"/>
      <c r="E275" s="45" t="str">
        <f>IF($Z275="","",IF($F275=ApportCouvert,INDEX(Îlots!$I$8:$I$57,$Z275)&amp;"",INDEX(Îlots!$N$8:$N$57,$Z275)&amp;""))</f>
        <v/>
      </c>
      <c r="F275" s="44"/>
      <c r="G275" s="44"/>
      <c r="H275" s="46" t="str">
        <f>IF($AA275="","",INDEX(Fertilisants!$D$8:$D$47,$AA275)&amp;"")</f>
        <v/>
      </c>
      <c r="I275" s="47"/>
      <c r="J275" s="48"/>
      <c r="K275" s="46" t="str">
        <f>IF($AA275="","",INDEX(Fertilisants!$E$8:$E$47,$AA275)&amp;"")</f>
        <v/>
      </c>
      <c r="L275" s="49" t="str">
        <f t="shared" si="56"/>
        <v/>
      </c>
      <c r="M275" s="50" t="str">
        <f>IF(OR($J275="",$AA275=""),"",$J275*N(INDEX(Fertilisants!$G$8:$G$47,$AA275)))</f>
        <v/>
      </c>
      <c r="N275" s="50" t="str">
        <f>IF(OR($J275="",$AA275=""),"",$J275*N(INDEX(Fertilisants!$I$8:$I$47,$AA275)))</f>
        <v/>
      </c>
      <c r="O275" s="50" t="str">
        <f>IF(OR($J275="",$AA275=""),"",$J275*N(INDEX(Fertilisants!$J$8:$J$47,$AA275)))</f>
        <v/>
      </c>
      <c r="P275" s="50" t="str">
        <f>IF(OR($J275="",$AA275=""),"",$J275*N(INDEX(Fertilisants!$K$8:$K$47,$AA275)))</f>
        <v/>
      </c>
      <c r="Q275" s="50" t="str">
        <f t="shared" si="57"/>
        <v/>
      </c>
      <c r="R275" s="44"/>
      <c r="S275" s="44"/>
      <c r="T275" s="51"/>
      <c r="U275" s="44"/>
      <c r="V275" s="43"/>
      <c r="W275" s="52" t="str">
        <f t="shared" si="58"/>
        <v/>
      </c>
      <c r="X275" s="44"/>
      <c r="Z275" s="53" t="str">
        <f>IF($D275="","",IFERROR(MATCH($D275,Îlots!$D$8:$D$57,0),""))</f>
        <v/>
      </c>
      <c r="AA275" s="53" t="str">
        <f>IF($G275="","",IFERROR(MATCH($G275,Fertilisants!$B$8:$B$47,0),""))</f>
        <v/>
      </c>
      <c r="AB275" s="53" t="str">
        <f>IF($Z275="","",INDEX(Îlots!$E$8:$E$57,$Z275))</f>
        <v/>
      </c>
      <c r="AC275" s="53" t="str">
        <f>IF($Z275="","",INDEX(Îlots!$G$8:$G$57,$Z275)&amp;"")</f>
        <v/>
      </c>
      <c r="AD275" s="53" t="str">
        <f>IF($Z275="","",IF($F275=ApportCouvert,OccCouvert,INDEX(Îlots!$O$8:$O$57,$Z275)&amp;""))</f>
        <v/>
      </c>
      <c r="AE275" s="53" t="str">
        <f t="shared" si="59"/>
        <v/>
      </c>
      <c r="AF275" s="53" t="str">
        <f t="shared" si="60"/>
        <v/>
      </c>
      <c r="AG275" s="53" t="str">
        <f t="shared" si="61"/>
        <v/>
      </c>
      <c r="AH275" s="53">
        <f t="shared" si="62"/>
        <v>0</v>
      </c>
      <c r="AI275" s="53">
        <f t="shared" si="63"/>
        <v>0</v>
      </c>
      <c r="AJ275" s="53">
        <f t="shared" si="64"/>
        <v>0</v>
      </c>
      <c r="AK275" s="53">
        <f t="shared" si="65"/>
        <v>0</v>
      </c>
      <c r="AL275" s="53">
        <f t="shared" si="66"/>
        <v>0</v>
      </c>
      <c r="AM275" s="53">
        <f>IF($AA275="",0,IF(INDEX(Fertilisants!$C$8:$C$47,$AA275)="Effluent d'élevage",1,0))</f>
        <v>0</v>
      </c>
      <c r="AN275" s="53" t="str">
        <f>IF($AA275="","",IF(INDEX(Fertilisants!$C$8:$C$47,$AA275)="Engrais minéral","Minéral","Organique"))</f>
        <v/>
      </c>
      <c r="AO275" s="53" t="str">
        <f t="shared" si="67"/>
        <v/>
      </c>
      <c r="AP275" s="53" t="str">
        <f t="shared" si="68"/>
        <v/>
      </c>
      <c r="AQ275" s="53" t="str">
        <f t="shared" si="69"/>
        <v/>
      </c>
      <c r="AR275" s="53" t="str">
        <f>IF(AND($D275&lt;&gt;"",$D275=FicheIlot),COUNTIF($D$8:$D275,FicheIlot),"")</f>
        <v/>
      </c>
    </row>
    <row r="276" spans="2:44" ht="18.95" customHeight="1" x14ac:dyDescent="0.25">
      <c r="B276" s="42" t="str">
        <f>IF(C276="","",COUNT($C$8:C276))</f>
        <v/>
      </c>
      <c r="C276" s="43"/>
      <c r="D276" s="44"/>
      <c r="E276" s="45" t="str">
        <f>IF($Z276="","",IF($F276=ApportCouvert,INDEX(Îlots!$I$8:$I$57,$Z276)&amp;"",INDEX(Îlots!$N$8:$N$57,$Z276)&amp;""))</f>
        <v/>
      </c>
      <c r="F276" s="44"/>
      <c r="G276" s="44"/>
      <c r="H276" s="46" t="str">
        <f>IF($AA276="","",INDEX(Fertilisants!$D$8:$D$47,$AA276)&amp;"")</f>
        <v/>
      </c>
      <c r="I276" s="47"/>
      <c r="J276" s="48"/>
      <c r="K276" s="46" t="str">
        <f>IF($AA276="","",INDEX(Fertilisants!$E$8:$E$47,$AA276)&amp;"")</f>
        <v/>
      </c>
      <c r="L276" s="49" t="str">
        <f t="shared" si="56"/>
        <v/>
      </c>
      <c r="M276" s="50" t="str">
        <f>IF(OR($J276="",$AA276=""),"",$J276*N(INDEX(Fertilisants!$G$8:$G$47,$AA276)))</f>
        <v/>
      </c>
      <c r="N276" s="50" t="str">
        <f>IF(OR($J276="",$AA276=""),"",$J276*N(INDEX(Fertilisants!$I$8:$I$47,$AA276)))</f>
        <v/>
      </c>
      <c r="O276" s="50" t="str">
        <f>IF(OR($J276="",$AA276=""),"",$J276*N(INDEX(Fertilisants!$J$8:$J$47,$AA276)))</f>
        <v/>
      </c>
      <c r="P276" s="50" t="str">
        <f>IF(OR($J276="",$AA276=""),"",$J276*N(INDEX(Fertilisants!$K$8:$K$47,$AA276)))</f>
        <v/>
      </c>
      <c r="Q276" s="50" t="str">
        <f t="shared" si="57"/>
        <v/>
      </c>
      <c r="R276" s="44"/>
      <c r="S276" s="44"/>
      <c r="T276" s="51"/>
      <c r="U276" s="44"/>
      <c r="V276" s="43"/>
      <c r="W276" s="52" t="str">
        <f t="shared" si="58"/>
        <v/>
      </c>
      <c r="X276" s="44"/>
      <c r="Z276" s="53" t="str">
        <f>IF($D276="","",IFERROR(MATCH($D276,Îlots!$D$8:$D$57,0),""))</f>
        <v/>
      </c>
      <c r="AA276" s="53" t="str">
        <f>IF($G276="","",IFERROR(MATCH($G276,Fertilisants!$B$8:$B$47,0),""))</f>
        <v/>
      </c>
      <c r="AB276" s="53" t="str">
        <f>IF($Z276="","",INDEX(Îlots!$E$8:$E$57,$Z276))</f>
        <v/>
      </c>
      <c r="AC276" s="53" t="str">
        <f>IF($Z276="","",INDEX(Îlots!$G$8:$G$57,$Z276)&amp;"")</f>
        <v/>
      </c>
      <c r="AD276" s="53" t="str">
        <f>IF($Z276="","",IF($F276=ApportCouvert,OccCouvert,INDEX(Îlots!$O$8:$O$57,$Z276)&amp;""))</f>
        <v/>
      </c>
      <c r="AE276" s="53" t="str">
        <f t="shared" si="59"/>
        <v/>
      </c>
      <c r="AF276" s="53" t="str">
        <f t="shared" si="60"/>
        <v/>
      </c>
      <c r="AG276" s="53" t="str">
        <f t="shared" si="61"/>
        <v/>
      </c>
      <c r="AH276" s="53">
        <f t="shared" si="62"/>
        <v>0</v>
      </c>
      <c r="AI276" s="53">
        <f t="shared" si="63"/>
        <v>0</v>
      </c>
      <c r="AJ276" s="53">
        <f t="shared" si="64"/>
        <v>0</v>
      </c>
      <c r="AK276" s="53">
        <f t="shared" si="65"/>
        <v>0</v>
      </c>
      <c r="AL276" s="53">
        <f t="shared" si="66"/>
        <v>0</v>
      </c>
      <c r="AM276" s="53">
        <f>IF($AA276="",0,IF(INDEX(Fertilisants!$C$8:$C$47,$AA276)="Effluent d'élevage",1,0))</f>
        <v>0</v>
      </c>
      <c r="AN276" s="53" t="str">
        <f>IF($AA276="","",IF(INDEX(Fertilisants!$C$8:$C$47,$AA276)="Engrais minéral","Minéral","Organique"))</f>
        <v/>
      </c>
      <c r="AO276" s="53" t="str">
        <f t="shared" si="67"/>
        <v/>
      </c>
      <c r="AP276" s="53" t="str">
        <f t="shared" si="68"/>
        <v/>
      </c>
      <c r="AQ276" s="53" t="str">
        <f t="shared" si="69"/>
        <v/>
      </c>
      <c r="AR276" s="53" t="str">
        <f>IF(AND($D276&lt;&gt;"",$D276=FicheIlot),COUNTIF($D$8:$D276,FicheIlot),"")</f>
        <v/>
      </c>
    </row>
    <row r="277" spans="2:44" ht="18.95" customHeight="1" x14ac:dyDescent="0.25">
      <c r="B277" s="42" t="str">
        <f>IF(C277="","",COUNT($C$8:C277))</f>
        <v/>
      </c>
      <c r="C277" s="43"/>
      <c r="D277" s="44"/>
      <c r="E277" s="45" t="str">
        <f>IF($Z277="","",IF($F277=ApportCouvert,INDEX(Îlots!$I$8:$I$57,$Z277)&amp;"",INDEX(Îlots!$N$8:$N$57,$Z277)&amp;""))</f>
        <v/>
      </c>
      <c r="F277" s="44"/>
      <c r="G277" s="44"/>
      <c r="H277" s="46" t="str">
        <f>IF($AA277="","",INDEX(Fertilisants!$D$8:$D$47,$AA277)&amp;"")</f>
        <v/>
      </c>
      <c r="I277" s="47"/>
      <c r="J277" s="48"/>
      <c r="K277" s="46" t="str">
        <f>IF($AA277="","",INDEX(Fertilisants!$E$8:$E$47,$AA277)&amp;"")</f>
        <v/>
      </c>
      <c r="L277" s="49" t="str">
        <f t="shared" si="56"/>
        <v/>
      </c>
      <c r="M277" s="50" t="str">
        <f>IF(OR($J277="",$AA277=""),"",$J277*N(INDEX(Fertilisants!$G$8:$G$47,$AA277)))</f>
        <v/>
      </c>
      <c r="N277" s="50" t="str">
        <f>IF(OR($J277="",$AA277=""),"",$J277*N(INDEX(Fertilisants!$I$8:$I$47,$AA277)))</f>
        <v/>
      </c>
      <c r="O277" s="50" t="str">
        <f>IF(OR($J277="",$AA277=""),"",$J277*N(INDEX(Fertilisants!$J$8:$J$47,$AA277)))</f>
        <v/>
      </c>
      <c r="P277" s="50" t="str">
        <f>IF(OR($J277="",$AA277=""),"",$J277*N(INDEX(Fertilisants!$K$8:$K$47,$AA277)))</f>
        <v/>
      </c>
      <c r="Q277" s="50" t="str">
        <f t="shared" si="57"/>
        <v/>
      </c>
      <c r="R277" s="44"/>
      <c r="S277" s="44"/>
      <c r="T277" s="51"/>
      <c r="U277" s="44"/>
      <c r="V277" s="43"/>
      <c r="W277" s="52" t="str">
        <f t="shared" si="58"/>
        <v/>
      </c>
      <c r="X277" s="44"/>
      <c r="Z277" s="53" t="str">
        <f>IF($D277="","",IFERROR(MATCH($D277,Îlots!$D$8:$D$57,0),""))</f>
        <v/>
      </c>
      <c r="AA277" s="53" t="str">
        <f>IF($G277="","",IFERROR(MATCH($G277,Fertilisants!$B$8:$B$47,0),""))</f>
        <v/>
      </c>
      <c r="AB277" s="53" t="str">
        <f>IF($Z277="","",INDEX(Îlots!$E$8:$E$57,$Z277))</f>
        <v/>
      </c>
      <c r="AC277" s="53" t="str">
        <f>IF($Z277="","",INDEX(Îlots!$G$8:$G$57,$Z277)&amp;"")</f>
        <v/>
      </c>
      <c r="AD277" s="53" t="str">
        <f>IF($Z277="","",IF($F277=ApportCouvert,OccCouvert,INDEX(Îlots!$O$8:$O$57,$Z277)&amp;""))</f>
        <v/>
      </c>
      <c r="AE277" s="53" t="str">
        <f t="shared" si="59"/>
        <v/>
      </c>
      <c r="AF277" s="53" t="str">
        <f t="shared" si="60"/>
        <v/>
      </c>
      <c r="AG277" s="53" t="str">
        <f t="shared" si="61"/>
        <v/>
      </c>
      <c r="AH277" s="53">
        <f t="shared" si="62"/>
        <v>0</v>
      </c>
      <c r="AI277" s="53">
        <f t="shared" si="63"/>
        <v>0</v>
      </c>
      <c r="AJ277" s="53">
        <f t="shared" si="64"/>
        <v>0</v>
      </c>
      <c r="AK277" s="53">
        <f t="shared" si="65"/>
        <v>0</v>
      </c>
      <c r="AL277" s="53">
        <f t="shared" si="66"/>
        <v>0</v>
      </c>
      <c r="AM277" s="53">
        <f>IF($AA277="",0,IF(INDEX(Fertilisants!$C$8:$C$47,$AA277)="Effluent d'élevage",1,0))</f>
        <v>0</v>
      </c>
      <c r="AN277" s="53" t="str">
        <f>IF($AA277="","",IF(INDEX(Fertilisants!$C$8:$C$47,$AA277)="Engrais minéral","Minéral","Organique"))</f>
        <v/>
      </c>
      <c r="AO277" s="53" t="str">
        <f t="shared" si="67"/>
        <v/>
      </c>
      <c r="AP277" s="53" t="str">
        <f t="shared" si="68"/>
        <v/>
      </c>
      <c r="AQ277" s="53" t="str">
        <f t="shared" si="69"/>
        <v/>
      </c>
      <c r="AR277" s="53" t="str">
        <f>IF(AND($D277&lt;&gt;"",$D277=FicheIlot),COUNTIF($D$8:$D277,FicheIlot),"")</f>
        <v/>
      </c>
    </row>
    <row r="278" spans="2:44" ht="18.95" customHeight="1" x14ac:dyDescent="0.25">
      <c r="B278" s="42" t="str">
        <f>IF(C278="","",COUNT($C$8:C278))</f>
        <v/>
      </c>
      <c r="C278" s="43"/>
      <c r="D278" s="44"/>
      <c r="E278" s="45" t="str">
        <f>IF($Z278="","",IF($F278=ApportCouvert,INDEX(Îlots!$I$8:$I$57,$Z278)&amp;"",INDEX(Îlots!$N$8:$N$57,$Z278)&amp;""))</f>
        <v/>
      </c>
      <c r="F278" s="44"/>
      <c r="G278" s="44"/>
      <c r="H278" s="46" t="str">
        <f>IF($AA278="","",INDEX(Fertilisants!$D$8:$D$47,$AA278)&amp;"")</f>
        <v/>
      </c>
      <c r="I278" s="47"/>
      <c r="J278" s="48"/>
      <c r="K278" s="46" t="str">
        <f>IF($AA278="","",INDEX(Fertilisants!$E$8:$E$47,$AA278)&amp;"")</f>
        <v/>
      </c>
      <c r="L278" s="49" t="str">
        <f t="shared" si="56"/>
        <v/>
      </c>
      <c r="M278" s="50" t="str">
        <f>IF(OR($J278="",$AA278=""),"",$J278*N(INDEX(Fertilisants!$G$8:$G$47,$AA278)))</f>
        <v/>
      </c>
      <c r="N278" s="50" t="str">
        <f>IF(OR($J278="",$AA278=""),"",$J278*N(INDEX(Fertilisants!$I$8:$I$47,$AA278)))</f>
        <v/>
      </c>
      <c r="O278" s="50" t="str">
        <f>IF(OR($J278="",$AA278=""),"",$J278*N(INDEX(Fertilisants!$J$8:$J$47,$AA278)))</f>
        <v/>
      </c>
      <c r="P278" s="50" t="str">
        <f>IF(OR($J278="",$AA278=""),"",$J278*N(INDEX(Fertilisants!$K$8:$K$47,$AA278)))</f>
        <v/>
      </c>
      <c r="Q278" s="50" t="str">
        <f t="shared" si="57"/>
        <v/>
      </c>
      <c r="R278" s="44"/>
      <c r="S278" s="44"/>
      <c r="T278" s="51"/>
      <c r="U278" s="44"/>
      <c r="V278" s="43"/>
      <c r="W278" s="52" t="str">
        <f t="shared" si="58"/>
        <v/>
      </c>
      <c r="X278" s="44"/>
      <c r="Z278" s="53" t="str">
        <f>IF($D278="","",IFERROR(MATCH($D278,Îlots!$D$8:$D$57,0),""))</f>
        <v/>
      </c>
      <c r="AA278" s="53" t="str">
        <f>IF($G278="","",IFERROR(MATCH($G278,Fertilisants!$B$8:$B$47,0),""))</f>
        <v/>
      </c>
      <c r="AB278" s="53" t="str">
        <f>IF($Z278="","",INDEX(Îlots!$E$8:$E$57,$Z278))</f>
        <v/>
      </c>
      <c r="AC278" s="53" t="str">
        <f>IF($Z278="","",INDEX(Îlots!$G$8:$G$57,$Z278)&amp;"")</f>
        <v/>
      </c>
      <c r="AD278" s="53" t="str">
        <f>IF($Z278="","",IF($F278=ApportCouvert,OccCouvert,INDEX(Îlots!$O$8:$O$57,$Z278)&amp;""))</f>
        <v/>
      </c>
      <c r="AE278" s="53" t="str">
        <f t="shared" si="59"/>
        <v/>
      </c>
      <c r="AF278" s="53" t="str">
        <f t="shared" si="60"/>
        <v/>
      </c>
      <c r="AG278" s="53" t="str">
        <f t="shared" si="61"/>
        <v/>
      </c>
      <c r="AH278" s="53">
        <f t="shared" si="62"/>
        <v>0</v>
      </c>
      <c r="AI278" s="53">
        <f t="shared" si="63"/>
        <v>0</v>
      </c>
      <c r="AJ278" s="53">
        <f t="shared" si="64"/>
        <v>0</v>
      </c>
      <c r="AK278" s="53">
        <f t="shared" si="65"/>
        <v>0</v>
      </c>
      <c r="AL278" s="53">
        <f t="shared" si="66"/>
        <v>0</v>
      </c>
      <c r="AM278" s="53">
        <f>IF($AA278="",0,IF(INDEX(Fertilisants!$C$8:$C$47,$AA278)="Effluent d'élevage",1,0))</f>
        <v>0</v>
      </c>
      <c r="AN278" s="53" t="str">
        <f>IF($AA278="","",IF(INDEX(Fertilisants!$C$8:$C$47,$AA278)="Engrais minéral","Minéral","Organique"))</f>
        <v/>
      </c>
      <c r="AO278" s="53" t="str">
        <f t="shared" si="67"/>
        <v/>
      </c>
      <c r="AP278" s="53" t="str">
        <f t="shared" si="68"/>
        <v/>
      </c>
      <c r="AQ278" s="53" t="str">
        <f t="shared" si="69"/>
        <v/>
      </c>
      <c r="AR278" s="53" t="str">
        <f>IF(AND($D278&lt;&gt;"",$D278=FicheIlot),COUNTIF($D$8:$D278,FicheIlot),"")</f>
        <v/>
      </c>
    </row>
    <row r="279" spans="2:44" ht="18.95" customHeight="1" x14ac:dyDescent="0.25">
      <c r="B279" s="42" t="str">
        <f>IF(C279="","",COUNT($C$8:C279))</f>
        <v/>
      </c>
      <c r="C279" s="43"/>
      <c r="D279" s="44"/>
      <c r="E279" s="45" t="str">
        <f>IF($Z279="","",IF($F279=ApportCouvert,INDEX(Îlots!$I$8:$I$57,$Z279)&amp;"",INDEX(Îlots!$N$8:$N$57,$Z279)&amp;""))</f>
        <v/>
      </c>
      <c r="F279" s="44"/>
      <c r="G279" s="44"/>
      <c r="H279" s="46" t="str">
        <f>IF($AA279="","",INDEX(Fertilisants!$D$8:$D$47,$AA279)&amp;"")</f>
        <v/>
      </c>
      <c r="I279" s="47"/>
      <c r="J279" s="48"/>
      <c r="K279" s="46" t="str">
        <f>IF($AA279="","",INDEX(Fertilisants!$E$8:$E$47,$AA279)&amp;"")</f>
        <v/>
      </c>
      <c r="L279" s="49" t="str">
        <f t="shared" si="56"/>
        <v/>
      </c>
      <c r="M279" s="50" t="str">
        <f>IF(OR($J279="",$AA279=""),"",$J279*N(INDEX(Fertilisants!$G$8:$G$47,$AA279)))</f>
        <v/>
      </c>
      <c r="N279" s="50" t="str">
        <f>IF(OR($J279="",$AA279=""),"",$J279*N(INDEX(Fertilisants!$I$8:$I$47,$AA279)))</f>
        <v/>
      </c>
      <c r="O279" s="50" t="str">
        <f>IF(OR($J279="",$AA279=""),"",$J279*N(INDEX(Fertilisants!$J$8:$J$47,$AA279)))</f>
        <v/>
      </c>
      <c r="P279" s="50" t="str">
        <f>IF(OR($J279="",$AA279=""),"",$J279*N(INDEX(Fertilisants!$K$8:$K$47,$AA279)))</f>
        <v/>
      </c>
      <c r="Q279" s="50" t="str">
        <f t="shared" si="57"/>
        <v/>
      </c>
      <c r="R279" s="44"/>
      <c r="S279" s="44"/>
      <c r="T279" s="51"/>
      <c r="U279" s="44"/>
      <c r="V279" s="43"/>
      <c r="W279" s="52" t="str">
        <f t="shared" si="58"/>
        <v/>
      </c>
      <c r="X279" s="44"/>
      <c r="Z279" s="53" t="str">
        <f>IF($D279="","",IFERROR(MATCH($D279,Îlots!$D$8:$D$57,0),""))</f>
        <v/>
      </c>
      <c r="AA279" s="53" t="str">
        <f>IF($G279="","",IFERROR(MATCH($G279,Fertilisants!$B$8:$B$47,0),""))</f>
        <v/>
      </c>
      <c r="AB279" s="53" t="str">
        <f>IF($Z279="","",INDEX(Îlots!$E$8:$E$57,$Z279))</f>
        <v/>
      </c>
      <c r="AC279" s="53" t="str">
        <f>IF($Z279="","",INDEX(Îlots!$G$8:$G$57,$Z279)&amp;"")</f>
        <v/>
      </c>
      <c r="AD279" s="53" t="str">
        <f>IF($Z279="","",IF($F279=ApportCouvert,OccCouvert,INDEX(Îlots!$O$8:$O$57,$Z279)&amp;""))</f>
        <v/>
      </c>
      <c r="AE279" s="53" t="str">
        <f t="shared" si="59"/>
        <v/>
      </c>
      <c r="AF279" s="53" t="str">
        <f t="shared" si="60"/>
        <v/>
      </c>
      <c r="AG279" s="53" t="str">
        <f t="shared" si="61"/>
        <v/>
      </c>
      <c r="AH279" s="53">
        <f t="shared" si="62"/>
        <v>0</v>
      </c>
      <c r="AI279" s="53">
        <f t="shared" si="63"/>
        <v>0</v>
      </c>
      <c r="AJ279" s="53">
        <f t="shared" si="64"/>
        <v>0</v>
      </c>
      <c r="AK279" s="53">
        <f t="shared" si="65"/>
        <v>0</v>
      </c>
      <c r="AL279" s="53">
        <f t="shared" si="66"/>
        <v>0</v>
      </c>
      <c r="AM279" s="53">
        <f>IF($AA279="",0,IF(INDEX(Fertilisants!$C$8:$C$47,$AA279)="Effluent d'élevage",1,0))</f>
        <v>0</v>
      </c>
      <c r="AN279" s="53" t="str">
        <f>IF($AA279="","",IF(INDEX(Fertilisants!$C$8:$C$47,$AA279)="Engrais minéral","Minéral","Organique"))</f>
        <v/>
      </c>
      <c r="AO279" s="53" t="str">
        <f t="shared" si="67"/>
        <v/>
      </c>
      <c r="AP279" s="53" t="str">
        <f t="shared" si="68"/>
        <v/>
      </c>
      <c r="AQ279" s="53" t="str">
        <f t="shared" si="69"/>
        <v/>
      </c>
      <c r="AR279" s="53" t="str">
        <f>IF(AND($D279&lt;&gt;"",$D279=FicheIlot),COUNTIF($D$8:$D279,FicheIlot),"")</f>
        <v/>
      </c>
    </row>
    <row r="280" spans="2:44" ht="18.95" customHeight="1" x14ac:dyDescent="0.25">
      <c r="B280" s="42" t="str">
        <f>IF(C280="","",COUNT($C$8:C280))</f>
        <v/>
      </c>
      <c r="C280" s="43"/>
      <c r="D280" s="44"/>
      <c r="E280" s="45" t="str">
        <f>IF($Z280="","",IF($F280=ApportCouvert,INDEX(Îlots!$I$8:$I$57,$Z280)&amp;"",INDEX(Îlots!$N$8:$N$57,$Z280)&amp;""))</f>
        <v/>
      </c>
      <c r="F280" s="44"/>
      <c r="G280" s="44"/>
      <c r="H280" s="46" t="str">
        <f>IF($AA280="","",INDEX(Fertilisants!$D$8:$D$47,$AA280)&amp;"")</f>
        <v/>
      </c>
      <c r="I280" s="47"/>
      <c r="J280" s="48"/>
      <c r="K280" s="46" t="str">
        <f>IF($AA280="","",INDEX(Fertilisants!$E$8:$E$47,$AA280)&amp;"")</f>
        <v/>
      </c>
      <c r="L280" s="49" t="str">
        <f t="shared" si="56"/>
        <v/>
      </c>
      <c r="M280" s="50" t="str">
        <f>IF(OR($J280="",$AA280=""),"",$J280*N(INDEX(Fertilisants!$G$8:$G$47,$AA280)))</f>
        <v/>
      </c>
      <c r="N280" s="50" t="str">
        <f>IF(OR($J280="",$AA280=""),"",$J280*N(INDEX(Fertilisants!$I$8:$I$47,$AA280)))</f>
        <v/>
      </c>
      <c r="O280" s="50" t="str">
        <f>IF(OR($J280="",$AA280=""),"",$J280*N(INDEX(Fertilisants!$J$8:$J$47,$AA280)))</f>
        <v/>
      </c>
      <c r="P280" s="50" t="str">
        <f>IF(OR($J280="",$AA280=""),"",$J280*N(INDEX(Fertilisants!$K$8:$K$47,$AA280)))</f>
        <v/>
      </c>
      <c r="Q280" s="50" t="str">
        <f t="shared" si="57"/>
        <v/>
      </c>
      <c r="R280" s="44"/>
      <c r="S280" s="44"/>
      <c r="T280" s="51"/>
      <c r="U280" s="44"/>
      <c r="V280" s="43"/>
      <c r="W280" s="52" t="str">
        <f t="shared" si="58"/>
        <v/>
      </c>
      <c r="X280" s="44"/>
      <c r="Z280" s="53" t="str">
        <f>IF($D280="","",IFERROR(MATCH($D280,Îlots!$D$8:$D$57,0),""))</f>
        <v/>
      </c>
      <c r="AA280" s="53" t="str">
        <f>IF($G280="","",IFERROR(MATCH($G280,Fertilisants!$B$8:$B$47,0),""))</f>
        <v/>
      </c>
      <c r="AB280" s="53" t="str">
        <f>IF($Z280="","",INDEX(Îlots!$E$8:$E$57,$Z280))</f>
        <v/>
      </c>
      <c r="AC280" s="53" t="str">
        <f>IF($Z280="","",INDEX(Îlots!$G$8:$G$57,$Z280)&amp;"")</f>
        <v/>
      </c>
      <c r="AD280" s="53" t="str">
        <f>IF($Z280="","",IF($F280=ApportCouvert,OccCouvert,INDEX(Îlots!$O$8:$O$57,$Z280)&amp;""))</f>
        <v/>
      </c>
      <c r="AE280" s="53" t="str">
        <f t="shared" si="59"/>
        <v/>
      </c>
      <c r="AF280" s="53" t="str">
        <f t="shared" si="60"/>
        <v/>
      </c>
      <c r="AG280" s="53" t="str">
        <f t="shared" si="61"/>
        <v/>
      </c>
      <c r="AH280" s="53">
        <f t="shared" si="62"/>
        <v>0</v>
      </c>
      <c r="AI280" s="53">
        <f t="shared" si="63"/>
        <v>0</v>
      </c>
      <c r="AJ280" s="53">
        <f t="shared" si="64"/>
        <v>0</v>
      </c>
      <c r="AK280" s="53">
        <f t="shared" si="65"/>
        <v>0</v>
      </c>
      <c r="AL280" s="53">
        <f t="shared" si="66"/>
        <v>0</v>
      </c>
      <c r="AM280" s="53">
        <f>IF($AA280="",0,IF(INDEX(Fertilisants!$C$8:$C$47,$AA280)="Effluent d'élevage",1,0))</f>
        <v>0</v>
      </c>
      <c r="AN280" s="53" t="str">
        <f>IF($AA280="","",IF(INDEX(Fertilisants!$C$8:$C$47,$AA280)="Engrais minéral","Minéral","Organique"))</f>
        <v/>
      </c>
      <c r="AO280" s="53" t="str">
        <f t="shared" si="67"/>
        <v/>
      </c>
      <c r="AP280" s="53" t="str">
        <f t="shared" si="68"/>
        <v/>
      </c>
      <c r="AQ280" s="53" t="str">
        <f t="shared" si="69"/>
        <v/>
      </c>
      <c r="AR280" s="53" t="str">
        <f>IF(AND($D280&lt;&gt;"",$D280=FicheIlot),COUNTIF($D$8:$D280,FicheIlot),"")</f>
        <v/>
      </c>
    </row>
    <row r="281" spans="2:44" ht="18.95" customHeight="1" x14ac:dyDescent="0.25">
      <c r="B281" s="42" t="str">
        <f>IF(C281="","",COUNT($C$8:C281))</f>
        <v/>
      </c>
      <c r="C281" s="43"/>
      <c r="D281" s="44"/>
      <c r="E281" s="45" t="str">
        <f>IF($Z281="","",IF($F281=ApportCouvert,INDEX(Îlots!$I$8:$I$57,$Z281)&amp;"",INDEX(Îlots!$N$8:$N$57,$Z281)&amp;""))</f>
        <v/>
      </c>
      <c r="F281" s="44"/>
      <c r="G281" s="44"/>
      <c r="H281" s="46" t="str">
        <f>IF($AA281="","",INDEX(Fertilisants!$D$8:$D$47,$AA281)&amp;"")</f>
        <v/>
      </c>
      <c r="I281" s="47"/>
      <c r="J281" s="48"/>
      <c r="K281" s="46" t="str">
        <f>IF($AA281="","",INDEX(Fertilisants!$E$8:$E$47,$AA281)&amp;"")</f>
        <v/>
      </c>
      <c r="L281" s="49" t="str">
        <f t="shared" si="56"/>
        <v/>
      </c>
      <c r="M281" s="50" t="str">
        <f>IF(OR($J281="",$AA281=""),"",$J281*N(INDEX(Fertilisants!$G$8:$G$47,$AA281)))</f>
        <v/>
      </c>
      <c r="N281" s="50" t="str">
        <f>IF(OR($J281="",$AA281=""),"",$J281*N(INDEX(Fertilisants!$I$8:$I$47,$AA281)))</f>
        <v/>
      </c>
      <c r="O281" s="50" t="str">
        <f>IF(OR($J281="",$AA281=""),"",$J281*N(INDEX(Fertilisants!$J$8:$J$47,$AA281)))</f>
        <v/>
      </c>
      <c r="P281" s="50" t="str">
        <f>IF(OR($J281="",$AA281=""),"",$J281*N(INDEX(Fertilisants!$K$8:$K$47,$AA281)))</f>
        <v/>
      </c>
      <c r="Q281" s="50" t="str">
        <f t="shared" si="57"/>
        <v/>
      </c>
      <c r="R281" s="44"/>
      <c r="S281" s="44"/>
      <c r="T281" s="51"/>
      <c r="U281" s="44"/>
      <c r="V281" s="43"/>
      <c r="W281" s="52" t="str">
        <f t="shared" si="58"/>
        <v/>
      </c>
      <c r="X281" s="44"/>
      <c r="Z281" s="53" t="str">
        <f>IF($D281="","",IFERROR(MATCH($D281,Îlots!$D$8:$D$57,0),""))</f>
        <v/>
      </c>
      <c r="AA281" s="53" t="str">
        <f>IF($G281="","",IFERROR(MATCH($G281,Fertilisants!$B$8:$B$47,0),""))</f>
        <v/>
      </c>
      <c r="AB281" s="53" t="str">
        <f>IF($Z281="","",INDEX(Îlots!$E$8:$E$57,$Z281))</f>
        <v/>
      </c>
      <c r="AC281" s="53" t="str">
        <f>IF($Z281="","",INDEX(Îlots!$G$8:$G$57,$Z281)&amp;"")</f>
        <v/>
      </c>
      <c r="AD281" s="53" t="str">
        <f>IF($Z281="","",IF($F281=ApportCouvert,OccCouvert,INDEX(Îlots!$O$8:$O$57,$Z281)&amp;""))</f>
        <v/>
      </c>
      <c r="AE281" s="53" t="str">
        <f t="shared" si="59"/>
        <v/>
      </c>
      <c r="AF281" s="53" t="str">
        <f t="shared" si="60"/>
        <v/>
      </c>
      <c r="AG281" s="53" t="str">
        <f t="shared" si="61"/>
        <v/>
      </c>
      <c r="AH281" s="53">
        <f t="shared" si="62"/>
        <v>0</v>
      </c>
      <c r="AI281" s="53">
        <f t="shared" si="63"/>
        <v>0</v>
      </c>
      <c r="AJ281" s="53">
        <f t="shared" si="64"/>
        <v>0</v>
      </c>
      <c r="AK281" s="53">
        <f t="shared" si="65"/>
        <v>0</v>
      </c>
      <c r="AL281" s="53">
        <f t="shared" si="66"/>
        <v>0</v>
      </c>
      <c r="AM281" s="53">
        <f>IF($AA281="",0,IF(INDEX(Fertilisants!$C$8:$C$47,$AA281)="Effluent d'élevage",1,0))</f>
        <v>0</v>
      </c>
      <c r="AN281" s="53" t="str">
        <f>IF($AA281="","",IF(INDEX(Fertilisants!$C$8:$C$47,$AA281)="Engrais minéral","Minéral","Organique"))</f>
        <v/>
      </c>
      <c r="AO281" s="53" t="str">
        <f t="shared" si="67"/>
        <v/>
      </c>
      <c r="AP281" s="53" t="str">
        <f t="shared" si="68"/>
        <v/>
      </c>
      <c r="AQ281" s="53" t="str">
        <f t="shared" si="69"/>
        <v/>
      </c>
      <c r="AR281" s="53" t="str">
        <f>IF(AND($D281&lt;&gt;"",$D281=FicheIlot),COUNTIF($D$8:$D281,FicheIlot),"")</f>
        <v/>
      </c>
    </row>
    <row r="282" spans="2:44" ht="18.95" customHeight="1" x14ac:dyDescent="0.25">
      <c r="B282" s="42" t="str">
        <f>IF(C282="","",COUNT($C$8:C282))</f>
        <v/>
      </c>
      <c r="C282" s="43"/>
      <c r="D282" s="44"/>
      <c r="E282" s="45" t="str">
        <f>IF($Z282="","",IF($F282=ApportCouvert,INDEX(Îlots!$I$8:$I$57,$Z282)&amp;"",INDEX(Îlots!$N$8:$N$57,$Z282)&amp;""))</f>
        <v/>
      </c>
      <c r="F282" s="44"/>
      <c r="G282" s="44"/>
      <c r="H282" s="46" t="str">
        <f>IF($AA282="","",INDEX(Fertilisants!$D$8:$D$47,$AA282)&amp;"")</f>
        <v/>
      </c>
      <c r="I282" s="47"/>
      <c r="J282" s="48"/>
      <c r="K282" s="46" t="str">
        <f>IF($AA282="","",INDEX(Fertilisants!$E$8:$E$47,$AA282)&amp;"")</f>
        <v/>
      </c>
      <c r="L282" s="49" t="str">
        <f t="shared" si="56"/>
        <v/>
      </c>
      <c r="M282" s="50" t="str">
        <f>IF(OR($J282="",$AA282=""),"",$J282*N(INDEX(Fertilisants!$G$8:$G$47,$AA282)))</f>
        <v/>
      </c>
      <c r="N282" s="50" t="str">
        <f>IF(OR($J282="",$AA282=""),"",$J282*N(INDEX(Fertilisants!$I$8:$I$47,$AA282)))</f>
        <v/>
      </c>
      <c r="O282" s="50" t="str">
        <f>IF(OR($J282="",$AA282=""),"",$J282*N(INDEX(Fertilisants!$J$8:$J$47,$AA282)))</f>
        <v/>
      </c>
      <c r="P282" s="50" t="str">
        <f>IF(OR($J282="",$AA282=""),"",$J282*N(INDEX(Fertilisants!$K$8:$K$47,$AA282)))</f>
        <v/>
      </c>
      <c r="Q282" s="50" t="str">
        <f t="shared" si="57"/>
        <v/>
      </c>
      <c r="R282" s="44"/>
      <c r="S282" s="44"/>
      <c r="T282" s="51"/>
      <c r="U282" s="44"/>
      <c r="V282" s="43"/>
      <c r="W282" s="52" t="str">
        <f t="shared" si="58"/>
        <v/>
      </c>
      <c r="X282" s="44"/>
      <c r="Z282" s="53" t="str">
        <f>IF($D282="","",IFERROR(MATCH($D282,Îlots!$D$8:$D$57,0),""))</f>
        <v/>
      </c>
      <c r="AA282" s="53" t="str">
        <f>IF($G282="","",IFERROR(MATCH($G282,Fertilisants!$B$8:$B$47,0),""))</f>
        <v/>
      </c>
      <c r="AB282" s="53" t="str">
        <f>IF($Z282="","",INDEX(Îlots!$E$8:$E$57,$Z282))</f>
        <v/>
      </c>
      <c r="AC282" s="53" t="str">
        <f>IF($Z282="","",INDEX(Îlots!$G$8:$G$57,$Z282)&amp;"")</f>
        <v/>
      </c>
      <c r="AD282" s="53" t="str">
        <f>IF($Z282="","",IF($F282=ApportCouvert,OccCouvert,INDEX(Îlots!$O$8:$O$57,$Z282)&amp;""))</f>
        <v/>
      </c>
      <c r="AE282" s="53" t="str">
        <f t="shared" si="59"/>
        <v/>
      </c>
      <c r="AF282" s="53" t="str">
        <f t="shared" si="60"/>
        <v/>
      </c>
      <c r="AG282" s="53" t="str">
        <f t="shared" si="61"/>
        <v/>
      </c>
      <c r="AH282" s="53">
        <f t="shared" si="62"/>
        <v>0</v>
      </c>
      <c r="AI282" s="53">
        <f t="shared" si="63"/>
        <v>0</v>
      </c>
      <c r="AJ282" s="53">
        <f t="shared" si="64"/>
        <v>0</v>
      </c>
      <c r="AK282" s="53">
        <f t="shared" si="65"/>
        <v>0</v>
      </c>
      <c r="AL282" s="53">
        <f t="shared" si="66"/>
        <v>0</v>
      </c>
      <c r="AM282" s="53">
        <f>IF($AA282="",0,IF(INDEX(Fertilisants!$C$8:$C$47,$AA282)="Effluent d'élevage",1,0))</f>
        <v>0</v>
      </c>
      <c r="AN282" s="53" t="str">
        <f>IF($AA282="","",IF(INDEX(Fertilisants!$C$8:$C$47,$AA282)="Engrais minéral","Minéral","Organique"))</f>
        <v/>
      </c>
      <c r="AO282" s="53" t="str">
        <f t="shared" si="67"/>
        <v/>
      </c>
      <c r="AP282" s="53" t="str">
        <f t="shared" si="68"/>
        <v/>
      </c>
      <c r="AQ282" s="53" t="str">
        <f t="shared" si="69"/>
        <v/>
      </c>
      <c r="AR282" s="53" t="str">
        <f>IF(AND($D282&lt;&gt;"",$D282=FicheIlot),COUNTIF($D$8:$D282,FicheIlot),"")</f>
        <v/>
      </c>
    </row>
    <row r="283" spans="2:44" ht="18.95" customHeight="1" x14ac:dyDescent="0.25">
      <c r="B283" s="42" t="str">
        <f>IF(C283="","",COUNT($C$8:C283))</f>
        <v/>
      </c>
      <c r="C283" s="43"/>
      <c r="D283" s="44"/>
      <c r="E283" s="45" t="str">
        <f>IF($Z283="","",IF($F283=ApportCouvert,INDEX(Îlots!$I$8:$I$57,$Z283)&amp;"",INDEX(Îlots!$N$8:$N$57,$Z283)&amp;""))</f>
        <v/>
      </c>
      <c r="F283" s="44"/>
      <c r="G283" s="44"/>
      <c r="H283" s="46" t="str">
        <f>IF($AA283="","",INDEX(Fertilisants!$D$8:$D$47,$AA283)&amp;"")</f>
        <v/>
      </c>
      <c r="I283" s="47"/>
      <c r="J283" s="48"/>
      <c r="K283" s="46" t="str">
        <f>IF($AA283="","",INDEX(Fertilisants!$E$8:$E$47,$AA283)&amp;"")</f>
        <v/>
      </c>
      <c r="L283" s="49" t="str">
        <f t="shared" si="56"/>
        <v/>
      </c>
      <c r="M283" s="50" t="str">
        <f>IF(OR($J283="",$AA283=""),"",$J283*N(INDEX(Fertilisants!$G$8:$G$47,$AA283)))</f>
        <v/>
      </c>
      <c r="N283" s="50" t="str">
        <f>IF(OR($J283="",$AA283=""),"",$J283*N(INDEX(Fertilisants!$I$8:$I$47,$AA283)))</f>
        <v/>
      </c>
      <c r="O283" s="50" t="str">
        <f>IF(OR($J283="",$AA283=""),"",$J283*N(INDEX(Fertilisants!$J$8:$J$47,$AA283)))</f>
        <v/>
      </c>
      <c r="P283" s="50" t="str">
        <f>IF(OR($J283="",$AA283=""),"",$J283*N(INDEX(Fertilisants!$K$8:$K$47,$AA283)))</f>
        <v/>
      </c>
      <c r="Q283" s="50" t="str">
        <f t="shared" si="57"/>
        <v/>
      </c>
      <c r="R283" s="44"/>
      <c r="S283" s="44"/>
      <c r="T283" s="51"/>
      <c r="U283" s="44"/>
      <c r="V283" s="43"/>
      <c r="W283" s="52" t="str">
        <f t="shared" si="58"/>
        <v/>
      </c>
      <c r="X283" s="44"/>
      <c r="Z283" s="53" t="str">
        <f>IF($D283="","",IFERROR(MATCH($D283,Îlots!$D$8:$D$57,0),""))</f>
        <v/>
      </c>
      <c r="AA283" s="53" t="str">
        <f>IF($G283="","",IFERROR(MATCH($G283,Fertilisants!$B$8:$B$47,0),""))</f>
        <v/>
      </c>
      <c r="AB283" s="53" t="str">
        <f>IF($Z283="","",INDEX(Îlots!$E$8:$E$57,$Z283))</f>
        <v/>
      </c>
      <c r="AC283" s="53" t="str">
        <f>IF($Z283="","",INDEX(Îlots!$G$8:$G$57,$Z283)&amp;"")</f>
        <v/>
      </c>
      <c r="AD283" s="53" t="str">
        <f>IF($Z283="","",IF($F283=ApportCouvert,OccCouvert,INDEX(Îlots!$O$8:$O$57,$Z283)&amp;""))</f>
        <v/>
      </c>
      <c r="AE283" s="53" t="str">
        <f t="shared" si="59"/>
        <v/>
      </c>
      <c r="AF283" s="53" t="str">
        <f t="shared" si="60"/>
        <v/>
      </c>
      <c r="AG283" s="53" t="str">
        <f t="shared" si="61"/>
        <v/>
      </c>
      <c r="AH283" s="53">
        <f t="shared" si="62"/>
        <v>0</v>
      </c>
      <c r="AI283" s="53">
        <f t="shared" si="63"/>
        <v>0</v>
      </c>
      <c r="AJ283" s="53">
        <f t="shared" si="64"/>
        <v>0</v>
      </c>
      <c r="AK283" s="53">
        <f t="shared" si="65"/>
        <v>0</v>
      </c>
      <c r="AL283" s="53">
        <f t="shared" si="66"/>
        <v>0</v>
      </c>
      <c r="AM283" s="53">
        <f>IF($AA283="",0,IF(INDEX(Fertilisants!$C$8:$C$47,$AA283)="Effluent d'élevage",1,0))</f>
        <v>0</v>
      </c>
      <c r="AN283" s="53" t="str">
        <f>IF($AA283="","",IF(INDEX(Fertilisants!$C$8:$C$47,$AA283)="Engrais minéral","Minéral","Organique"))</f>
        <v/>
      </c>
      <c r="AO283" s="53" t="str">
        <f t="shared" si="67"/>
        <v/>
      </c>
      <c r="AP283" s="53" t="str">
        <f t="shared" si="68"/>
        <v/>
      </c>
      <c r="AQ283" s="53" t="str">
        <f t="shared" si="69"/>
        <v/>
      </c>
      <c r="AR283" s="53" t="str">
        <f>IF(AND($D283&lt;&gt;"",$D283=FicheIlot),COUNTIF($D$8:$D283,FicheIlot),"")</f>
        <v/>
      </c>
    </row>
    <row r="284" spans="2:44" ht="18.95" customHeight="1" x14ac:dyDescent="0.25">
      <c r="B284" s="42" t="str">
        <f>IF(C284="","",COUNT($C$8:C284))</f>
        <v/>
      </c>
      <c r="C284" s="43"/>
      <c r="D284" s="44"/>
      <c r="E284" s="45" t="str">
        <f>IF($Z284="","",IF($F284=ApportCouvert,INDEX(Îlots!$I$8:$I$57,$Z284)&amp;"",INDEX(Îlots!$N$8:$N$57,$Z284)&amp;""))</f>
        <v/>
      </c>
      <c r="F284" s="44"/>
      <c r="G284" s="44"/>
      <c r="H284" s="46" t="str">
        <f>IF($AA284="","",INDEX(Fertilisants!$D$8:$D$47,$AA284)&amp;"")</f>
        <v/>
      </c>
      <c r="I284" s="47"/>
      <c r="J284" s="48"/>
      <c r="K284" s="46" t="str">
        <f>IF($AA284="","",INDEX(Fertilisants!$E$8:$E$47,$AA284)&amp;"")</f>
        <v/>
      </c>
      <c r="L284" s="49" t="str">
        <f t="shared" si="56"/>
        <v/>
      </c>
      <c r="M284" s="50" t="str">
        <f>IF(OR($J284="",$AA284=""),"",$J284*N(INDEX(Fertilisants!$G$8:$G$47,$AA284)))</f>
        <v/>
      </c>
      <c r="N284" s="50" t="str">
        <f>IF(OR($J284="",$AA284=""),"",$J284*N(INDEX(Fertilisants!$I$8:$I$47,$AA284)))</f>
        <v/>
      </c>
      <c r="O284" s="50" t="str">
        <f>IF(OR($J284="",$AA284=""),"",$J284*N(INDEX(Fertilisants!$J$8:$J$47,$AA284)))</f>
        <v/>
      </c>
      <c r="P284" s="50" t="str">
        <f>IF(OR($J284="",$AA284=""),"",$J284*N(INDEX(Fertilisants!$K$8:$K$47,$AA284)))</f>
        <v/>
      </c>
      <c r="Q284" s="50" t="str">
        <f t="shared" si="57"/>
        <v/>
      </c>
      <c r="R284" s="44"/>
      <c r="S284" s="44"/>
      <c r="T284" s="51"/>
      <c r="U284" s="44"/>
      <c r="V284" s="43"/>
      <c r="W284" s="52" t="str">
        <f t="shared" si="58"/>
        <v/>
      </c>
      <c r="X284" s="44"/>
      <c r="Z284" s="53" t="str">
        <f>IF($D284="","",IFERROR(MATCH($D284,Îlots!$D$8:$D$57,0),""))</f>
        <v/>
      </c>
      <c r="AA284" s="53" t="str">
        <f>IF($G284="","",IFERROR(MATCH($G284,Fertilisants!$B$8:$B$47,0),""))</f>
        <v/>
      </c>
      <c r="AB284" s="53" t="str">
        <f>IF($Z284="","",INDEX(Îlots!$E$8:$E$57,$Z284))</f>
        <v/>
      </c>
      <c r="AC284" s="53" t="str">
        <f>IF($Z284="","",INDEX(Îlots!$G$8:$G$57,$Z284)&amp;"")</f>
        <v/>
      </c>
      <c r="AD284" s="53" t="str">
        <f>IF($Z284="","",IF($F284=ApportCouvert,OccCouvert,INDEX(Îlots!$O$8:$O$57,$Z284)&amp;""))</f>
        <v/>
      </c>
      <c r="AE284" s="53" t="str">
        <f t="shared" si="59"/>
        <v/>
      </c>
      <c r="AF284" s="53" t="str">
        <f t="shared" si="60"/>
        <v/>
      </c>
      <c r="AG284" s="53" t="str">
        <f t="shared" si="61"/>
        <v/>
      </c>
      <c r="AH284" s="53">
        <f t="shared" si="62"/>
        <v>0</v>
      </c>
      <c r="AI284" s="53">
        <f t="shared" si="63"/>
        <v>0</v>
      </c>
      <c r="AJ284" s="53">
        <f t="shared" si="64"/>
        <v>0</v>
      </c>
      <c r="AK284" s="53">
        <f t="shared" si="65"/>
        <v>0</v>
      </c>
      <c r="AL284" s="53">
        <f t="shared" si="66"/>
        <v>0</v>
      </c>
      <c r="AM284" s="53">
        <f>IF($AA284="",0,IF(INDEX(Fertilisants!$C$8:$C$47,$AA284)="Effluent d'élevage",1,0))</f>
        <v>0</v>
      </c>
      <c r="AN284" s="53" t="str">
        <f>IF($AA284="","",IF(INDEX(Fertilisants!$C$8:$C$47,$AA284)="Engrais minéral","Minéral","Organique"))</f>
        <v/>
      </c>
      <c r="AO284" s="53" t="str">
        <f t="shared" si="67"/>
        <v/>
      </c>
      <c r="AP284" s="53" t="str">
        <f t="shared" si="68"/>
        <v/>
      </c>
      <c r="AQ284" s="53" t="str">
        <f t="shared" si="69"/>
        <v/>
      </c>
      <c r="AR284" s="53" t="str">
        <f>IF(AND($D284&lt;&gt;"",$D284=FicheIlot),COUNTIF($D$8:$D284,FicheIlot),"")</f>
        <v/>
      </c>
    </row>
    <row r="285" spans="2:44" ht="18.95" customHeight="1" x14ac:dyDescent="0.25">
      <c r="B285" s="42" t="str">
        <f>IF(C285="","",COUNT($C$8:C285))</f>
        <v/>
      </c>
      <c r="C285" s="43"/>
      <c r="D285" s="44"/>
      <c r="E285" s="45" t="str">
        <f>IF($Z285="","",IF($F285=ApportCouvert,INDEX(Îlots!$I$8:$I$57,$Z285)&amp;"",INDEX(Îlots!$N$8:$N$57,$Z285)&amp;""))</f>
        <v/>
      </c>
      <c r="F285" s="44"/>
      <c r="G285" s="44"/>
      <c r="H285" s="46" t="str">
        <f>IF($AA285="","",INDEX(Fertilisants!$D$8:$D$47,$AA285)&amp;"")</f>
        <v/>
      </c>
      <c r="I285" s="47"/>
      <c r="J285" s="48"/>
      <c r="K285" s="46" t="str">
        <f>IF($AA285="","",INDEX(Fertilisants!$E$8:$E$47,$AA285)&amp;"")</f>
        <v/>
      </c>
      <c r="L285" s="49" t="str">
        <f t="shared" si="56"/>
        <v/>
      </c>
      <c r="M285" s="50" t="str">
        <f>IF(OR($J285="",$AA285=""),"",$J285*N(INDEX(Fertilisants!$G$8:$G$47,$AA285)))</f>
        <v/>
      </c>
      <c r="N285" s="50" t="str">
        <f>IF(OR($J285="",$AA285=""),"",$J285*N(INDEX(Fertilisants!$I$8:$I$47,$AA285)))</f>
        <v/>
      </c>
      <c r="O285" s="50" t="str">
        <f>IF(OR($J285="",$AA285=""),"",$J285*N(INDEX(Fertilisants!$J$8:$J$47,$AA285)))</f>
        <v/>
      </c>
      <c r="P285" s="50" t="str">
        <f>IF(OR($J285="",$AA285=""),"",$J285*N(INDEX(Fertilisants!$K$8:$K$47,$AA285)))</f>
        <v/>
      </c>
      <c r="Q285" s="50" t="str">
        <f t="shared" si="57"/>
        <v/>
      </c>
      <c r="R285" s="44"/>
      <c r="S285" s="44"/>
      <c r="T285" s="51"/>
      <c r="U285" s="44"/>
      <c r="V285" s="43"/>
      <c r="W285" s="52" t="str">
        <f t="shared" si="58"/>
        <v/>
      </c>
      <c r="X285" s="44"/>
      <c r="Z285" s="53" t="str">
        <f>IF($D285="","",IFERROR(MATCH($D285,Îlots!$D$8:$D$57,0),""))</f>
        <v/>
      </c>
      <c r="AA285" s="53" t="str">
        <f>IF($G285="","",IFERROR(MATCH($G285,Fertilisants!$B$8:$B$47,0),""))</f>
        <v/>
      </c>
      <c r="AB285" s="53" t="str">
        <f>IF($Z285="","",INDEX(Îlots!$E$8:$E$57,$Z285))</f>
        <v/>
      </c>
      <c r="AC285" s="53" t="str">
        <f>IF($Z285="","",INDEX(Îlots!$G$8:$G$57,$Z285)&amp;"")</f>
        <v/>
      </c>
      <c r="AD285" s="53" t="str">
        <f>IF($Z285="","",IF($F285=ApportCouvert,OccCouvert,INDEX(Îlots!$O$8:$O$57,$Z285)&amp;""))</f>
        <v/>
      </c>
      <c r="AE285" s="53" t="str">
        <f t="shared" si="59"/>
        <v/>
      </c>
      <c r="AF285" s="53" t="str">
        <f t="shared" si="60"/>
        <v/>
      </c>
      <c r="AG285" s="53" t="str">
        <f t="shared" si="61"/>
        <v/>
      </c>
      <c r="AH285" s="53">
        <f t="shared" si="62"/>
        <v>0</v>
      </c>
      <c r="AI285" s="53">
        <f t="shared" si="63"/>
        <v>0</v>
      </c>
      <c r="AJ285" s="53">
        <f t="shared" si="64"/>
        <v>0</v>
      </c>
      <c r="AK285" s="53">
        <f t="shared" si="65"/>
        <v>0</v>
      </c>
      <c r="AL285" s="53">
        <f t="shared" si="66"/>
        <v>0</v>
      </c>
      <c r="AM285" s="53">
        <f>IF($AA285="",0,IF(INDEX(Fertilisants!$C$8:$C$47,$AA285)="Effluent d'élevage",1,0))</f>
        <v>0</v>
      </c>
      <c r="AN285" s="53" t="str">
        <f>IF($AA285="","",IF(INDEX(Fertilisants!$C$8:$C$47,$AA285)="Engrais minéral","Minéral","Organique"))</f>
        <v/>
      </c>
      <c r="AO285" s="53" t="str">
        <f t="shared" si="67"/>
        <v/>
      </c>
      <c r="AP285" s="53" t="str">
        <f t="shared" si="68"/>
        <v/>
      </c>
      <c r="AQ285" s="53" t="str">
        <f t="shared" si="69"/>
        <v/>
      </c>
      <c r="AR285" s="53" t="str">
        <f>IF(AND($D285&lt;&gt;"",$D285=FicheIlot),COUNTIF($D$8:$D285,FicheIlot),"")</f>
        <v/>
      </c>
    </row>
    <row r="286" spans="2:44" ht="18.95" customHeight="1" x14ac:dyDescent="0.25">
      <c r="B286" s="42" t="str">
        <f>IF(C286="","",COUNT($C$8:C286))</f>
        <v/>
      </c>
      <c r="C286" s="43"/>
      <c r="D286" s="44"/>
      <c r="E286" s="45" t="str">
        <f>IF($Z286="","",IF($F286=ApportCouvert,INDEX(Îlots!$I$8:$I$57,$Z286)&amp;"",INDEX(Îlots!$N$8:$N$57,$Z286)&amp;""))</f>
        <v/>
      </c>
      <c r="F286" s="44"/>
      <c r="G286" s="44"/>
      <c r="H286" s="46" t="str">
        <f>IF($AA286="","",INDEX(Fertilisants!$D$8:$D$47,$AA286)&amp;"")</f>
        <v/>
      </c>
      <c r="I286" s="47"/>
      <c r="J286" s="48"/>
      <c r="K286" s="46" t="str">
        <f>IF($AA286="","",INDEX(Fertilisants!$E$8:$E$47,$AA286)&amp;"")</f>
        <v/>
      </c>
      <c r="L286" s="49" t="str">
        <f t="shared" si="56"/>
        <v/>
      </c>
      <c r="M286" s="50" t="str">
        <f>IF(OR($J286="",$AA286=""),"",$J286*N(INDEX(Fertilisants!$G$8:$G$47,$AA286)))</f>
        <v/>
      </c>
      <c r="N286" s="50" t="str">
        <f>IF(OR($J286="",$AA286=""),"",$J286*N(INDEX(Fertilisants!$I$8:$I$47,$AA286)))</f>
        <v/>
      </c>
      <c r="O286" s="50" t="str">
        <f>IF(OR($J286="",$AA286=""),"",$J286*N(INDEX(Fertilisants!$J$8:$J$47,$AA286)))</f>
        <v/>
      </c>
      <c r="P286" s="50" t="str">
        <f>IF(OR($J286="",$AA286=""),"",$J286*N(INDEX(Fertilisants!$K$8:$K$47,$AA286)))</f>
        <v/>
      </c>
      <c r="Q286" s="50" t="str">
        <f t="shared" si="57"/>
        <v/>
      </c>
      <c r="R286" s="44"/>
      <c r="S286" s="44"/>
      <c r="T286" s="51"/>
      <c r="U286" s="44"/>
      <c r="V286" s="43"/>
      <c r="W286" s="52" t="str">
        <f t="shared" si="58"/>
        <v/>
      </c>
      <c r="X286" s="44"/>
      <c r="Z286" s="53" t="str">
        <f>IF($D286="","",IFERROR(MATCH($D286,Îlots!$D$8:$D$57,0),""))</f>
        <v/>
      </c>
      <c r="AA286" s="53" t="str">
        <f>IF($G286="","",IFERROR(MATCH($G286,Fertilisants!$B$8:$B$47,0),""))</f>
        <v/>
      </c>
      <c r="AB286" s="53" t="str">
        <f>IF($Z286="","",INDEX(Îlots!$E$8:$E$57,$Z286))</f>
        <v/>
      </c>
      <c r="AC286" s="53" t="str">
        <f>IF($Z286="","",INDEX(Îlots!$G$8:$G$57,$Z286)&amp;"")</f>
        <v/>
      </c>
      <c r="AD286" s="53" t="str">
        <f>IF($Z286="","",IF($F286=ApportCouvert,OccCouvert,INDEX(Îlots!$O$8:$O$57,$Z286)&amp;""))</f>
        <v/>
      </c>
      <c r="AE286" s="53" t="str">
        <f t="shared" si="59"/>
        <v/>
      </c>
      <c r="AF286" s="53" t="str">
        <f t="shared" si="60"/>
        <v/>
      </c>
      <c r="AG286" s="53" t="str">
        <f t="shared" si="61"/>
        <v/>
      </c>
      <c r="AH286" s="53">
        <f t="shared" si="62"/>
        <v>0</v>
      </c>
      <c r="AI286" s="53">
        <f t="shared" si="63"/>
        <v>0</v>
      </c>
      <c r="AJ286" s="53">
        <f t="shared" si="64"/>
        <v>0</v>
      </c>
      <c r="AK286" s="53">
        <f t="shared" si="65"/>
        <v>0</v>
      </c>
      <c r="AL286" s="53">
        <f t="shared" si="66"/>
        <v>0</v>
      </c>
      <c r="AM286" s="53">
        <f>IF($AA286="",0,IF(INDEX(Fertilisants!$C$8:$C$47,$AA286)="Effluent d'élevage",1,0))</f>
        <v>0</v>
      </c>
      <c r="AN286" s="53" t="str">
        <f>IF($AA286="","",IF(INDEX(Fertilisants!$C$8:$C$47,$AA286)="Engrais minéral","Minéral","Organique"))</f>
        <v/>
      </c>
      <c r="AO286" s="53" t="str">
        <f t="shared" si="67"/>
        <v/>
      </c>
      <c r="AP286" s="53" t="str">
        <f t="shared" si="68"/>
        <v/>
      </c>
      <c r="AQ286" s="53" t="str">
        <f t="shared" si="69"/>
        <v/>
      </c>
      <c r="AR286" s="53" t="str">
        <f>IF(AND($D286&lt;&gt;"",$D286=FicheIlot),COUNTIF($D$8:$D286,FicheIlot),"")</f>
        <v/>
      </c>
    </row>
    <row r="287" spans="2:44" ht="18.95" customHeight="1" x14ac:dyDescent="0.25">
      <c r="B287" s="42" t="str">
        <f>IF(C287="","",COUNT($C$8:C287))</f>
        <v/>
      </c>
      <c r="C287" s="43"/>
      <c r="D287" s="44"/>
      <c r="E287" s="45" t="str">
        <f>IF($Z287="","",IF($F287=ApportCouvert,INDEX(Îlots!$I$8:$I$57,$Z287)&amp;"",INDEX(Îlots!$N$8:$N$57,$Z287)&amp;""))</f>
        <v/>
      </c>
      <c r="F287" s="44"/>
      <c r="G287" s="44"/>
      <c r="H287" s="46" t="str">
        <f>IF($AA287="","",INDEX(Fertilisants!$D$8:$D$47,$AA287)&amp;"")</f>
        <v/>
      </c>
      <c r="I287" s="47"/>
      <c r="J287" s="48"/>
      <c r="K287" s="46" t="str">
        <f>IF($AA287="","",INDEX(Fertilisants!$E$8:$E$47,$AA287)&amp;"")</f>
        <v/>
      </c>
      <c r="L287" s="49" t="str">
        <f t="shared" si="56"/>
        <v/>
      </c>
      <c r="M287" s="50" t="str">
        <f>IF(OR($J287="",$AA287=""),"",$J287*N(INDEX(Fertilisants!$G$8:$G$47,$AA287)))</f>
        <v/>
      </c>
      <c r="N287" s="50" t="str">
        <f>IF(OR($J287="",$AA287=""),"",$J287*N(INDEX(Fertilisants!$I$8:$I$47,$AA287)))</f>
        <v/>
      </c>
      <c r="O287" s="50" t="str">
        <f>IF(OR($J287="",$AA287=""),"",$J287*N(INDEX(Fertilisants!$J$8:$J$47,$AA287)))</f>
        <v/>
      </c>
      <c r="P287" s="50" t="str">
        <f>IF(OR($J287="",$AA287=""),"",$J287*N(INDEX(Fertilisants!$K$8:$K$47,$AA287)))</f>
        <v/>
      </c>
      <c r="Q287" s="50" t="str">
        <f t="shared" si="57"/>
        <v/>
      </c>
      <c r="R287" s="44"/>
      <c r="S287" s="44"/>
      <c r="T287" s="51"/>
      <c r="U287" s="44"/>
      <c r="V287" s="43"/>
      <c r="W287" s="52" t="str">
        <f t="shared" si="58"/>
        <v/>
      </c>
      <c r="X287" s="44"/>
      <c r="Z287" s="53" t="str">
        <f>IF($D287="","",IFERROR(MATCH($D287,Îlots!$D$8:$D$57,0),""))</f>
        <v/>
      </c>
      <c r="AA287" s="53" t="str">
        <f>IF($G287="","",IFERROR(MATCH($G287,Fertilisants!$B$8:$B$47,0),""))</f>
        <v/>
      </c>
      <c r="AB287" s="53" t="str">
        <f>IF($Z287="","",INDEX(Îlots!$E$8:$E$57,$Z287))</f>
        <v/>
      </c>
      <c r="AC287" s="53" t="str">
        <f>IF($Z287="","",INDEX(Îlots!$G$8:$G$57,$Z287)&amp;"")</f>
        <v/>
      </c>
      <c r="AD287" s="53" t="str">
        <f>IF($Z287="","",IF($F287=ApportCouvert,OccCouvert,INDEX(Îlots!$O$8:$O$57,$Z287)&amp;""))</f>
        <v/>
      </c>
      <c r="AE287" s="53" t="str">
        <f t="shared" si="59"/>
        <v/>
      </c>
      <c r="AF287" s="53" t="str">
        <f t="shared" si="60"/>
        <v/>
      </c>
      <c r="AG287" s="53" t="str">
        <f t="shared" si="61"/>
        <v/>
      </c>
      <c r="AH287" s="53">
        <f t="shared" si="62"/>
        <v>0</v>
      </c>
      <c r="AI287" s="53">
        <f t="shared" si="63"/>
        <v>0</v>
      </c>
      <c r="AJ287" s="53">
        <f t="shared" si="64"/>
        <v>0</v>
      </c>
      <c r="AK287" s="53">
        <f t="shared" si="65"/>
        <v>0</v>
      </c>
      <c r="AL287" s="53">
        <f t="shared" si="66"/>
        <v>0</v>
      </c>
      <c r="AM287" s="53">
        <f>IF($AA287="",0,IF(INDEX(Fertilisants!$C$8:$C$47,$AA287)="Effluent d'élevage",1,0))</f>
        <v>0</v>
      </c>
      <c r="AN287" s="53" t="str">
        <f>IF($AA287="","",IF(INDEX(Fertilisants!$C$8:$C$47,$AA287)="Engrais minéral","Minéral","Organique"))</f>
        <v/>
      </c>
      <c r="AO287" s="53" t="str">
        <f t="shared" si="67"/>
        <v/>
      </c>
      <c r="AP287" s="53" t="str">
        <f t="shared" si="68"/>
        <v/>
      </c>
      <c r="AQ287" s="53" t="str">
        <f t="shared" si="69"/>
        <v/>
      </c>
      <c r="AR287" s="53" t="str">
        <f>IF(AND($D287&lt;&gt;"",$D287=FicheIlot),COUNTIF($D$8:$D287,FicheIlot),"")</f>
        <v/>
      </c>
    </row>
    <row r="288" spans="2:44" ht="18.95" customHeight="1" x14ac:dyDescent="0.25">
      <c r="B288" s="42" t="str">
        <f>IF(C288="","",COUNT($C$8:C288))</f>
        <v/>
      </c>
      <c r="C288" s="43"/>
      <c r="D288" s="44"/>
      <c r="E288" s="45" t="str">
        <f>IF($Z288="","",IF($F288=ApportCouvert,INDEX(Îlots!$I$8:$I$57,$Z288)&amp;"",INDEX(Îlots!$N$8:$N$57,$Z288)&amp;""))</f>
        <v/>
      </c>
      <c r="F288" s="44"/>
      <c r="G288" s="44"/>
      <c r="H288" s="46" t="str">
        <f>IF($AA288="","",INDEX(Fertilisants!$D$8:$D$47,$AA288)&amp;"")</f>
        <v/>
      </c>
      <c r="I288" s="47"/>
      <c r="J288" s="48"/>
      <c r="K288" s="46" t="str">
        <f>IF($AA288="","",INDEX(Fertilisants!$E$8:$E$47,$AA288)&amp;"")</f>
        <v/>
      </c>
      <c r="L288" s="49" t="str">
        <f t="shared" si="56"/>
        <v/>
      </c>
      <c r="M288" s="50" t="str">
        <f>IF(OR($J288="",$AA288=""),"",$J288*N(INDEX(Fertilisants!$G$8:$G$47,$AA288)))</f>
        <v/>
      </c>
      <c r="N288" s="50" t="str">
        <f>IF(OR($J288="",$AA288=""),"",$J288*N(INDEX(Fertilisants!$I$8:$I$47,$AA288)))</f>
        <v/>
      </c>
      <c r="O288" s="50" t="str">
        <f>IF(OR($J288="",$AA288=""),"",$J288*N(INDEX(Fertilisants!$J$8:$J$47,$AA288)))</f>
        <v/>
      </c>
      <c r="P288" s="50" t="str">
        <f>IF(OR($J288="",$AA288=""),"",$J288*N(INDEX(Fertilisants!$K$8:$K$47,$AA288)))</f>
        <v/>
      </c>
      <c r="Q288" s="50" t="str">
        <f t="shared" si="57"/>
        <v/>
      </c>
      <c r="R288" s="44"/>
      <c r="S288" s="44"/>
      <c r="T288" s="51"/>
      <c r="U288" s="44"/>
      <c r="V288" s="43"/>
      <c r="W288" s="52" t="str">
        <f t="shared" si="58"/>
        <v/>
      </c>
      <c r="X288" s="44"/>
      <c r="Z288" s="53" t="str">
        <f>IF($D288="","",IFERROR(MATCH($D288,Îlots!$D$8:$D$57,0),""))</f>
        <v/>
      </c>
      <c r="AA288" s="53" t="str">
        <f>IF($G288="","",IFERROR(MATCH($G288,Fertilisants!$B$8:$B$47,0),""))</f>
        <v/>
      </c>
      <c r="AB288" s="53" t="str">
        <f>IF($Z288="","",INDEX(Îlots!$E$8:$E$57,$Z288))</f>
        <v/>
      </c>
      <c r="AC288" s="53" t="str">
        <f>IF($Z288="","",INDEX(Îlots!$G$8:$G$57,$Z288)&amp;"")</f>
        <v/>
      </c>
      <c r="AD288" s="53" t="str">
        <f>IF($Z288="","",IF($F288=ApportCouvert,OccCouvert,INDEX(Îlots!$O$8:$O$57,$Z288)&amp;""))</f>
        <v/>
      </c>
      <c r="AE288" s="53" t="str">
        <f t="shared" si="59"/>
        <v/>
      </c>
      <c r="AF288" s="53" t="str">
        <f t="shared" si="60"/>
        <v/>
      </c>
      <c r="AG288" s="53" t="str">
        <f t="shared" si="61"/>
        <v/>
      </c>
      <c r="AH288" s="53">
        <f t="shared" si="62"/>
        <v>0</v>
      </c>
      <c r="AI288" s="53">
        <f t="shared" si="63"/>
        <v>0</v>
      </c>
      <c r="AJ288" s="53">
        <f t="shared" si="64"/>
        <v>0</v>
      </c>
      <c r="AK288" s="53">
        <f t="shared" si="65"/>
        <v>0</v>
      </c>
      <c r="AL288" s="53">
        <f t="shared" si="66"/>
        <v>0</v>
      </c>
      <c r="AM288" s="53">
        <f>IF($AA288="",0,IF(INDEX(Fertilisants!$C$8:$C$47,$AA288)="Effluent d'élevage",1,0))</f>
        <v>0</v>
      </c>
      <c r="AN288" s="53" t="str">
        <f>IF($AA288="","",IF(INDEX(Fertilisants!$C$8:$C$47,$AA288)="Engrais minéral","Minéral","Organique"))</f>
        <v/>
      </c>
      <c r="AO288" s="53" t="str">
        <f t="shared" si="67"/>
        <v/>
      </c>
      <c r="AP288" s="53" t="str">
        <f t="shared" si="68"/>
        <v/>
      </c>
      <c r="AQ288" s="53" t="str">
        <f t="shared" si="69"/>
        <v/>
      </c>
      <c r="AR288" s="53" t="str">
        <f>IF(AND($D288&lt;&gt;"",$D288=FicheIlot),COUNTIF($D$8:$D288,FicheIlot),"")</f>
        <v/>
      </c>
    </row>
    <row r="289" spans="2:44" ht="18.95" customHeight="1" x14ac:dyDescent="0.25">
      <c r="B289" s="42" t="str">
        <f>IF(C289="","",COUNT($C$8:C289))</f>
        <v/>
      </c>
      <c r="C289" s="43"/>
      <c r="D289" s="44"/>
      <c r="E289" s="45" t="str">
        <f>IF($Z289="","",IF($F289=ApportCouvert,INDEX(Îlots!$I$8:$I$57,$Z289)&amp;"",INDEX(Îlots!$N$8:$N$57,$Z289)&amp;""))</f>
        <v/>
      </c>
      <c r="F289" s="44"/>
      <c r="G289" s="44"/>
      <c r="H289" s="46" t="str">
        <f>IF($AA289="","",INDEX(Fertilisants!$D$8:$D$47,$AA289)&amp;"")</f>
        <v/>
      </c>
      <c r="I289" s="47"/>
      <c r="J289" s="48"/>
      <c r="K289" s="46" t="str">
        <f>IF($AA289="","",INDEX(Fertilisants!$E$8:$E$47,$AA289)&amp;"")</f>
        <v/>
      </c>
      <c r="L289" s="49" t="str">
        <f t="shared" si="56"/>
        <v/>
      </c>
      <c r="M289" s="50" t="str">
        <f>IF(OR($J289="",$AA289=""),"",$J289*N(INDEX(Fertilisants!$G$8:$G$47,$AA289)))</f>
        <v/>
      </c>
      <c r="N289" s="50" t="str">
        <f>IF(OR($J289="",$AA289=""),"",$J289*N(INDEX(Fertilisants!$I$8:$I$47,$AA289)))</f>
        <v/>
      </c>
      <c r="O289" s="50" t="str">
        <f>IF(OR($J289="",$AA289=""),"",$J289*N(INDEX(Fertilisants!$J$8:$J$47,$AA289)))</f>
        <v/>
      </c>
      <c r="P289" s="50" t="str">
        <f>IF(OR($J289="",$AA289=""),"",$J289*N(INDEX(Fertilisants!$K$8:$K$47,$AA289)))</f>
        <v/>
      </c>
      <c r="Q289" s="50" t="str">
        <f t="shared" si="57"/>
        <v/>
      </c>
      <c r="R289" s="44"/>
      <c r="S289" s="44"/>
      <c r="T289" s="51"/>
      <c r="U289" s="44"/>
      <c r="V289" s="43"/>
      <c r="W289" s="52" t="str">
        <f t="shared" si="58"/>
        <v/>
      </c>
      <c r="X289" s="44"/>
      <c r="Z289" s="53" t="str">
        <f>IF($D289="","",IFERROR(MATCH($D289,Îlots!$D$8:$D$57,0),""))</f>
        <v/>
      </c>
      <c r="AA289" s="53" t="str">
        <f>IF($G289="","",IFERROR(MATCH($G289,Fertilisants!$B$8:$B$47,0),""))</f>
        <v/>
      </c>
      <c r="AB289" s="53" t="str">
        <f>IF($Z289="","",INDEX(Îlots!$E$8:$E$57,$Z289))</f>
        <v/>
      </c>
      <c r="AC289" s="53" t="str">
        <f>IF($Z289="","",INDEX(Îlots!$G$8:$G$57,$Z289)&amp;"")</f>
        <v/>
      </c>
      <c r="AD289" s="53" t="str">
        <f>IF($Z289="","",IF($F289=ApportCouvert,OccCouvert,INDEX(Îlots!$O$8:$O$57,$Z289)&amp;""))</f>
        <v/>
      </c>
      <c r="AE289" s="53" t="str">
        <f t="shared" si="59"/>
        <v/>
      </c>
      <c r="AF289" s="53" t="str">
        <f t="shared" si="60"/>
        <v/>
      </c>
      <c r="AG289" s="53" t="str">
        <f t="shared" si="61"/>
        <v/>
      </c>
      <c r="AH289" s="53">
        <f t="shared" si="62"/>
        <v>0</v>
      </c>
      <c r="AI289" s="53">
        <f t="shared" si="63"/>
        <v>0</v>
      </c>
      <c r="AJ289" s="53">
        <f t="shared" si="64"/>
        <v>0</v>
      </c>
      <c r="AK289" s="53">
        <f t="shared" si="65"/>
        <v>0</v>
      </c>
      <c r="AL289" s="53">
        <f t="shared" si="66"/>
        <v>0</v>
      </c>
      <c r="AM289" s="53">
        <f>IF($AA289="",0,IF(INDEX(Fertilisants!$C$8:$C$47,$AA289)="Effluent d'élevage",1,0))</f>
        <v>0</v>
      </c>
      <c r="AN289" s="53" t="str">
        <f>IF($AA289="","",IF(INDEX(Fertilisants!$C$8:$C$47,$AA289)="Engrais minéral","Minéral","Organique"))</f>
        <v/>
      </c>
      <c r="AO289" s="53" t="str">
        <f t="shared" si="67"/>
        <v/>
      </c>
      <c r="AP289" s="53" t="str">
        <f t="shared" si="68"/>
        <v/>
      </c>
      <c r="AQ289" s="53" t="str">
        <f t="shared" si="69"/>
        <v/>
      </c>
      <c r="AR289" s="53" t="str">
        <f>IF(AND($D289&lt;&gt;"",$D289=FicheIlot),COUNTIF($D$8:$D289,FicheIlot),"")</f>
        <v/>
      </c>
    </row>
    <row r="290" spans="2:44" ht="18.95" customHeight="1" x14ac:dyDescent="0.25">
      <c r="B290" s="42" t="str">
        <f>IF(C290="","",COUNT($C$8:C290))</f>
        <v/>
      </c>
      <c r="C290" s="43"/>
      <c r="D290" s="44"/>
      <c r="E290" s="45" t="str">
        <f>IF($Z290="","",IF($F290=ApportCouvert,INDEX(Îlots!$I$8:$I$57,$Z290)&amp;"",INDEX(Îlots!$N$8:$N$57,$Z290)&amp;""))</f>
        <v/>
      </c>
      <c r="F290" s="44"/>
      <c r="G290" s="44"/>
      <c r="H290" s="46" t="str">
        <f>IF($AA290="","",INDEX(Fertilisants!$D$8:$D$47,$AA290)&amp;"")</f>
        <v/>
      </c>
      <c r="I290" s="47"/>
      <c r="J290" s="48"/>
      <c r="K290" s="46" t="str">
        <f>IF($AA290="","",INDEX(Fertilisants!$E$8:$E$47,$AA290)&amp;"")</f>
        <v/>
      </c>
      <c r="L290" s="49" t="str">
        <f t="shared" si="56"/>
        <v/>
      </c>
      <c r="M290" s="50" t="str">
        <f>IF(OR($J290="",$AA290=""),"",$J290*N(INDEX(Fertilisants!$G$8:$G$47,$AA290)))</f>
        <v/>
      </c>
      <c r="N290" s="50" t="str">
        <f>IF(OR($J290="",$AA290=""),"",$J290*N(INDEX(Fertilisants!$I$8:$I$47,$AA290)))</f>
        <v/>
      </c>
      <c r="O290" s="50" t="str">
        <f>IF(OR($J290="",$AA290=""),"",$J290*N(INDEX(Fertilisants!$J$8:$J$47,$AA290)))</f>
        <v/>
      </c>
      <c r="P290" s="50" t="str">
        <f>IF(OR($J290="",$AA290=""),"",$J290*N(INDEX(Fertilisants!$K$8:$K$47,$AA290)))</f>
        <v/>
      </c>
      <c r="Q290" s="50" t="str">
        <f t="shared" si="57"/>
        <v/>
      </c>
      <c r="R290" s="44"/>
      <c r="S290" s="44"/>
      <c r="T290" s="51"/>
      <c r="U290" s="44"/>
      <c r="V290" s="43"/>
      <c r="W290" s="52" t="str">
        <f t="shared" si="58"/>
        <v/>
      </c>
      <c r="X290" s="44"/>
      <c r="Z290" s="53" t="str">
        <f>IF($D290="","",IFERROR(MATCH($D290,Îlots!$D$8:$D$57,0),""))</f>
        <v/>
      </c>
      <c r="AA290" s="53" t="str">
        <f>IF($G290="","",IFERROR(MATCH($G290,Fertilisants!$B$8:$B$47,0),""))</f>
        <v/>
      </c>
      <c r="AB290" s="53" t="str">
        <f>IF($Z290="","",INDEX(Îlots!$E$8:$E$57,$Z290))</f>
        <v/>
      </c>
      <c r="AC290" s="53" t="str">
        <f>IF($Z290="","",INDEX(Îlots!$G$8:$G$57,$Z290)&amp;"")</f>
        <v/>
      </c>
      <c r="AD290" s="53" t="str">
        <f>IF($Z290="","",IF($F290=ApportCouvert,OccCouvert,INDEX(Îlots!$O$8:$O$57,$Z290)&amp;""))</f>
        <v/>
      </c>
      <c r="AE290" s="53" t="str">
        <f t="shared" si="59"/>
        <v/>
      </c>
      <c r="AF290" s="53" t="str">
        <f t="shared" si="60"/>
        <v/>
      </c>
      <c r="AG290" s="53" t="str">
        <f t="shared" si="61"/>
        <v/>
      </c>
      <c r="AH290" s="53">
        <f t="shared" si="62"/>
        <v>0</v>
      </c>
      <c r="AI290" s="53">
        <f t="shared" si="63"/>
        <v>0</v>
      </c>
      <c r="AJ290" s="53">
        <f t="shared" si="64"/>
        <v>0</v>
      </c>
      <c r="AK290" s="53">
        <f t="shared" si="65"/>
        <v>0</v>
      </c>
      <c r="AL290" s="53">
        <f t="shared" si="66"/>
        <v>0</v>
      </c>
      <c r="AM290" s="53">
        <f>IF($AA290="",0,IF(INDEX(Fertilisants!$C$8:$C$47,$AA290)="Effluent d'élevage",1,0))</f>
        <v>0</v>
      </c>
      <c r="AN290" s="53" t="str">
        <f>IF($AA290="","",IF(INDEX(Fertilisants!$C$8:$C$47,$AA290)="Engrais minéral","Minéral","Organique"))</f>
        <v/>
      </c>
      <c r="AO290" s="53" t="str">
        <f t="shared" si="67"/>
        <v/>
      </c>
      <c r="AP290" s="53" t="str">
        <f t="shared" si="68"/>
        <v/>
      </c>
      <c r="AQ290" s="53" t="str">
        <f t="shared" si="69"/>
        <v/>
      </c>
      <c r="AR290" s="53" t="str">
        <f>IF(AND($D290&lt;&gt;"",$D290=FicheIlot),COUNTIF($D$8:$D290,FicheIlot),"")</f>
        <v/>
      </c>
    </row>
    <row r="291" spans="2:44" ht="18.95" customHeight="1" x14ac:dyDescent="0.25">
      <c r="B291" s="42" t="str">
        <f>IF(C291="","",COUNT($C$8:C291))</f>
        <v/>
      </c>
      <c r="C291" s="43"/>
      <c r="D291" s="44"/>
      <c r="E291" s="45" t="str">
        <f>IF($Z291="","",IF($F291=ApportCouvert,INDEX(Îlots!$I$8:$I$57,$Z291)&amp;"",INDEX(Îlots!$N$8:$N$57,$Z291)&amp;""))</f>
        <v/>
      </c>
      <c r="F291" s="44"/>
      <c r="G291" s="44"/>
      <c r="H291" s="46" t="str">
        <f>IF($AA291="","",INDEX(Fertilisants!$D$8:$D$47,$AA291)&amp;"")</f>
        <v/>
      </c>
      <c r="I291" s="47"/>
      <c r="J291" s="48"/>
      <c r="K291" s="46" t="str">
        <f>IF($AA291="","",INDEX(Fertilisants!$E$8:$E$47,$AA291)&amp;"")</f>
        <v/>
      </c>
      <c r="L291" s="49" t="str">
        <f t="shared" si="56"/>
        <v/>
      </c>
      <c r="M291" s="50" t="str">
        <f>IF(OR($J291="",$AA291=""),"",$J291*N(INDEX(Fertilisants!$G$8:$G$47,$AA291)))</f>
        <v/>
      </c>
      <c r="N291" s="50" t="str">
        <f>IF(OR($J291="",$AA291=""),"",$J291*N(INDEX(Fertilisants!$I$8:$I$47,$AA291)))</f>
        <v/>
      </c>
      <c r="O291" s="50" t="str">
        <f>IF(OR($J291="",$AA291=""),"",$J291*N(INDEX(Fertilisants!$J$8:$J$47,$AA291)))</f>
        <v/>
      </c>
      <c r="P291" s="50" t="str">
        <f>IF(OR($J291="",$AA291=""),"",$J291*N(INDEX(Fertilisants!$K$8:$K$47,$AA291)))</f>
        <v/>
      </c>
      <c r="Q291" s="50" t="str">
        <f t="shared" si="57"/>
        <v/>
      </c>
      <c r="R291" s="44"/>
      <c r="S291" s="44"/>
      <c r="T291" s="51"/>
      <c r="U291" s="44"/>
      <c r="V291" s="43"/>
      <c r="W291" s="52" t="str">
        <f t="shared" si="58"/>
        <v/>
      </c>
      <c r="X291" s="44"/>
      <c r="Z291" s="53" t="str">
        <f>IF($D291="","",IFERROR(MATCH($D291,Îlots!$D$8:$D$57,0),""))</f>
        <v/>
      </c>
      <c r="AA291" s="53" t="str">
        <f>IF($G291="","",IFERROR(MATCH($G291,Fertilisants!$B$8:$B$47,0),""))</f>
        <v/>
      </c>
      <c r="AB291" s="53" t="str">
        <f>IF($Z291="","",INDEX(Îlots!$E$8:$E$57,$Z291))</f>
        <v/>
      </c>
      <c r="AC291" s="53" t="str">
        <f>IF($Z291="","",INDEX(Îlots!$G$8:$G$57,$Z291)&amp;"")</f>
        <v/>
      </c>
      <c r="AD291" s="53" t="str">
        <f>IF($Z291="","",IF($F291=ApportCouvert,OccCouvert,INDEX(Îlots!$O$8:$O$57,$Z291)&amp;""))</f>
        <v/>
      </c>
      <c r="AE291" s="53" t="str">
        <f t="shared" si="59"/>
        <v/>
      </c>
      <c r="AF291" s="53" t="str">
        <f t="shared" si="60"/>
        <v/>
      </c>
      <c r="AG291" s="53" t="str">
        <f t="shared" si="61"/>
        <v/>
      </c>
      <c r="AH291" s="53">
        <f t="shared" si="62"/>
        <v>0</v>
      </c>
      <c r="AI291" s="53">
        <f t="shared" si="63"/>
        <v>0</v>
      </c>
      <c r="AJ291" s="53">
        <f t="shared" si="64"/>
        <v>0</v>
      </c>
      <c r="AK291" s="53">
        <f t="shared" si="65"/>
        <v>0</v>
      </c>
      <c r="AL291" s="53">
        <f t="shared" si="66"/>
        <v>0</v>
      </c>
      <c r="AM291" s="53">
        <f>IF($AA291="",0,IF(INDEX(Fertilisants!$C$8:$C$47,$AA291)="Effluent d'élevage",1,0))</f>
        <v>0</v>
      </c>
      <c r="AN291" s="53" t="str">
        <f>IF($AA291="","",IF(INDEX(Fertilisants!$C$8:$C$47,$AA291)="Engrais minéral","Minéral","Organique"))</f>
        <v/>
      </c>
      <c r="AO291" s="53" t="str">
        <f t="shared" si="67"/>
        <v/>
      </c>
      <c r="AP291" s="53" t="str">
        <f t="shared" si="68"/>
        <v/>
      </c>
      <c r="AQ291" s="53" t="str">
        <f t="shared" si="69"/>
        <v/>
      </c>
      <c r="AR291" s="53" t="str">
        <f>IF(AND($D291&lt;&gt;"",$D291=FicheIlot),COUNTIF($D$8:$D291,FicheIlot),"")</f>
        <v/>
      </c>
    </row>
    <row r="292" spans="2:44" ht="18.95" customHeight="1" x14ac:dyDescent="0.25">
      <c r="B292" s="42" t="str">
        <f>IF(C292="","",COUNT($C$8:C292))</f>
        <v/>
      </c>
      <c r="C292" s="43"/>
      <c r="D292" s="44"/>
      <c r="E292" s="45" t="str">
        <f>IF($Z292="","",IF($F292=ApportCouvert,INDEX(Îlots!$I$8:$I$57,$Z292)&amp;"",INDEX(Îlots!$N$8:$N$57,$Z292)&amp;""))</f>
        <v/>
      </c>
      <c r="F292" s="44"/>
      <c r="G292" s="44"/>
      <c r="H292" s="46" t="str">
        <f>IF($AA292="","",INDEX(Fertilisants!$D$8:$D$47,$AA292)&amp;"")</f>
        <v/>
      </c>
      <c r="I292" s="47"/>
      <c r="J292" s="48"/>
      <c r="K292" s="46" t="str">
        <f>IF($AA292="","",INDEX(Fertilisants!$E$8:$E$47,$AA292)&amp;"")</f>
        <v/>
      </c>
      <c r="L292" s="49" t="str">
        <f t="shared" si="56"/>
        <v/>
      </c>
      <c r="M292" s="50" t="str">
        <f>IF(OR($J292="",$AA292=""),"",$J292*N(INDEX(Fertilisants!$G$8:$G$47,$AA292)))</f>
        <v/>
      </c>
      <c r="N292" s="50" t="str">
        <f>IF(OR($J292="",$AA292=""),"",$J292*N(INDEX(Fertilisants!$I$8:$I$47,$AA292)))</f>
        <v/>
      </c>
      <c r="O292" s="50" t="str">
        <f>IF(OR($J292="",$AA292=""),"",$J292*N(INDEX(Fertilisants!$J$8:$J$47,$AA292)))</f>
        <v/>
      </c>
      <c r="P292" s="50" t="str">
        <f>IF(OR($J292="",$AA292=""),"",$J292*N(INDEX(Fertilisants!$K$8:$K$47,$AA292)))</f>
        <v/>
      </c>
      <c r="Q292" s="50" t="str">
        <f t="shared" si="57"/>
        <v/>
      </c>
      <c r="R292" s="44"/>
      <c r="S292" s="44"/>
      <c r="T292" s="51"/>
      <c r="U292" s="44"/>
      <c r="V292" s="43"/>
      <c r="W292" s="52" t="str">
        <f t="shared" si="58"/>
        <v/>
      </c>
      <c r="X292" s="44"/>
      <c r="Z292" s="53" t="str">
        <f>IF($D292="","",IFERROR(MATCH($D292,Îlots!$D$8:$D$57,0),""))</f>
        <v/>
      </c>
      <c r="AA292" s="53" t="str">
        <f>IF($G292="","",IFERROR(MATCH($G292,Fertilisants!$B$8:$B$47,0),""))</f>
        <v/>
      </c>
      <c r="AB292" s="53" t="str">
        <f>IF($Z292="","",INDEX(Îlots!$E$8:$E$57,$Z292))</f>
        <v/>
      </c>
      <c r="AC292" s="53" t="str">
        <f>IF($Z292="","",INDEX(Îlots!$G$8:$G$57,$Z292)&amp;"")</f>
        <v/>
      </c>
      <c r="AD292" s="53" t="str">
        <f>IF($Z292="","",IF($F292=ApportCouvert,OccCouvert,INDEX(Îlots!$O$8:$O$57,$Z292)&amp;""))</f>
        <v/>
      </c>
      <c r="AE292" s="53" t="str">
        <f t="shared" si="59"/>
        <v/>
      </c>
      <c r="AF292" s="53" t="str">
        <f t="shared" si="60"/>
        <v/>
      </c>
      <c r="AG292" s="53" t="str">
        <f t="shared" si="61"/>
        <v/>
      </c>
      <c r="AH292" s="53">
        <f t="shared" si="62"/>
        <v>0</v>
      </c>
      <c r="AI292" s="53">
        <f t="shared" si="63"/>
        <v>0</v>
      </c>
      <c r="AJ292" s="53">
        <f t="shared" si="64"/>
        <v>0</v>
      </c>
      <c r="AK292" s="53">
        <f t="shared" si="65"/>
        <v>0</v>
      </c>
      <c r="AL292" s="53">
        <f t="shared" si="66"/>
        <v>0</v>
      </c>
      <c r="AM292" s="53">
        <f>IF($AA292="",0,IF(INDEX(Fertilisants!$C$8:$C$47,$AA292)="Effluent d'élevage",1,0))</f>
        <v>0</v>
      </c>
      <c r="AN292" s="53" t="str">
        <f>IF($AA292="","",IF(INDEX(Fertilisants!$C$8:$C$47,$AA292)="Engrais minéral","Minéral","Organique"))</f>
        <v/>
      </c>
      <c r="AO292" s="53" t="str">
        <f t="shared" si="67"/>
        <v/>
      </c>
      <c r="AP292" s="53" t="str">
        <f t="shared" si="68"/>
        <v/>
      </c>
      <c r="AQ292" s="53" t="str">
        <f t="shared" si="69"/>
        <v/>
      </c>
      <c r="AR292" s="53" t="str">
        <f>IF(AND($D292&lt;&gt;"",$D292=FicheIlot),COUNTIF($D$8:$D292,FicheIlot),"")</f>
        <v/>
      </c>
    </row>
    <row r="293" spans="2:44" ht="18.95" customHeight="1" x14ac:dyDescent="0.25">
      <c r="B293" s="42" t="str">
        <f>IF(C293="","",COUNT($C$8:C293))</f>
        <v/>
      </c>
      <c r="C293" s="43"/>
      <c r="D293" s="44"/>
      <c r="E293" s="45" t="str">
        <f>IF($Z293="","",IF($F293=ApportCouvert,INDEX(Îlots!$I$8:$I$57,$Z293)&amp;"",INDEX(Îlots!$N$8:$N$57,$Z293)&amp;""))</f>
        <v/>
      </c>
      <c r="F293" s="44"/>
      <c r="G293" s="44"/>
      <c r="H293" s="46" t="str">
        <f>IF($AA293="","",INDEX(Fertilisants!$D$8:$D$47,$AA293)&amp;"")</f>
        <v/>
      </c>
      <c r="I293" s="47"/>
      <c r="J293" s="48"/>
      <c r="K293" s="46" t="str">
        <f>IF($AA293="","",INDEX(Fertilisants!$E$8:$E$47,$AA293)&amp;"")</f>
        <v/>
      </c>
      <c r="L293" s="49" t="str">
        <f t="shared" si="56"/>
        <v/>
      </c>
      <c r="M293" s="50" t="str">
        <f>IF(OR($J293="",$AA293=""),"",$J293*N(INDEX(Fertilisants!$G$8:$G$47,$AA293)))</f>
        <v/>
      </c>
      <c r="N293" s="50" t="str">
        <f>IF(OR($J293="",$AA293=""),"",$J293*N(INDEX(Fertilisants!$I$8:$I$47,$AA293)))</f>
        <v/>
      </c>
      <c r="O293" s="50" t="str">
        <f>IF(OR($J293="",$AA293=""),"",$J293*N(INDEX(Fertilisants!$J$8:$J$47,$AA293)))</f>
        <v/>
      </c>
      <c r="P293" s="50" t="str">
        <f>IF(OR($J293="",$AA293=""),"",$J293*N(INDEX(Fertilisants!$K$8:$K$47,$AA293)))</f>
        <v/>
      </c>
      <c r="Q293" s="50" t="str">
        <f t="shared" si="57"/>
        <v/>
      </c>
      <c r="R293" s="44"/>
      <c r="S293" s="44"/>
      <c r="T293" s="51"/>
      <c r="U293" s="44"/>
      <c r="V293" s="43"/>
      <c r="W293" s="52" t="str">
        <f t="shared" si="58"/>
        <v/>
      </c>
      <c r="X293" s="44"/>
      <c r="Z293" s="53" t="str">
        <f>IF($D293="","",IFERROR(MATCH($D293,Îlots!$D$8:$D$57,0),""))</f>
        <v/>
      </c>
      <c r="AA293" s="53" t="str">
        <f>IF($G293="","",IFERROR(MATCH($G293,Fertilisants!$B$8:$B$47,0),""))</f>
        <v/>
      </c>
      <c r="AB293" s="53" t="str">
        <f>IF($Z293="","",INDEX(Îlots!$E$8:$E$57,$Z293))</f>
        <v/>
      </c>
      <c r="AC293" s="53" t="str">
        <f>IF($Z293="","",INDEX(Îlots!$G$8:$G$57,$Z293)&amp;"")</f>
        <v/>
      </c>
      <c r="AD293" s="53" t="str">
        <f>IF($Z293="","",IF($F293=ApportCouvert,OccCouvert,INDEX(Îlots!$O$8:$O$57,$Z293)&amp;""))</f>
        <v/>
      </c>
      <c r="AE293" s="53" t="str">
        <f t="shared" si="59"/>
        <v/>
      </c>
      <c r="AF293" s="53" t="str">
        <f t="shared" si="60"/>
        <v/>
      </c>
      <c r="AG293" s="53" t="str">
        <f t="shared" si="61"/>
        <v/>
      </c>
      <c r="AH293" s="53">
        <f t="shared" si="62"/>
        <v>0</v>
      </c>
      <c r="AI293" s="53">
        <f t="shared" si="63"/>
        <v>0</v>
      </c>
      <c r="AJ293" s="53">
        <f t="shared" si="64"/>
        <v>0</v>
      </c>
      <c r="AK293" s="53">
        <f t="shared" si="65"/>
        <v>0</v>
      </c>
      <c r="AL293" s="53">
        <f t="shared" si="66"/>
        <v>0</v>
      </c>
      <c r="AM293" s="53">
        <f>IF($AA293="",0,IF(INDEX(Fertilisants!$C$8:$C$47,$AA293)="Effluent d'élevage",1,0))</f>
        <v>0</v>
      </c>
      <c r="AN293" s="53" t="str">
        <f>IF($AA293="","",IF(INDEX(Fertilisants!$C$8:$C$47,$AA293)="Engrais minéral","Minéral","Organique"))</f>
        <v/>
      </c>
      <c r="AO293" s="53" t="str">
        <f t="shared" si="67"/>
        <v/>
      </c>
      <c r="AP293" s="53" t="str">
        <f t="shared" si="68"/>
        <v/>
      </c>
      <c r="AQ293" s="53" t="str">
        <f t="shared" si="69"/>
        <v/>
      </c>
      <c r="AR293" s="53" t="str">
        <f>IF(AND($D293&lt;&gt;"",$D293=FicheIlot),COUNTIF($D$8:$D293,FicheIlot),"")</f>
        <v/>
      </c>
    </row>
    <row r="294" spans="2:44" ht="18.95" customHeight="1" x14ac:dyDescent="0.25">
      <c r="B294" s="42" t="str">
        <f>IF(C294="","",COUNT($C$8:C294))</f>
        <v/>
      </c>
      <c r="C294" s="43"/>
      <c r="D294" s="44"/>
      <c r="E294" s="45" t="str">
        <f>IF($Z294="","",IF($F294=ApportCouvert,INDEX(Îlots!$I$8:$I$57,$Z294)&amp;"",INDEX(Îlots!$N$8:$N$57,$Z294)&amp;""))</f>
        <v/>
      </c>
      <c r="F294" s="44"/>
      <c r="G294" s="44"/>
      <c r="H294" s="46" t="str">
        <f>IF($AA294="","",INDEX(Fertilisants!$D$8:$D$47,$AA294)&amp;"")</f>
        <v/>
      </c>
      <c r="I294" s="47"/>
      <c r="J294" s="48"/>
      <c r="K294" s="46" t="str">
        <f>IF($AA294="","",INDEX(Fertilisants!$E$8:$E$47,$AA294)&amp;"")</f>
        <v/>
      </c>
      <c r="L294" s="49" t="str">
        <f t="shared" si="56"/>
        <v/>
      </c>
      <c r="M294" s="50" t="str">
        <f>IF(OR($J294="",$AA294=""),"",$J294*N(INDEX(Fertilisants!$G$8:$G$47,$AA294)))</f>
        <v/>
      </c>
      <c r="N294" s="50" t="str">
        <f>IF(OR($J294="",$AA294=""),"",$J294*N(INDEX(Fertilisants!$I$8:$I$47,$AA294)))</f>
        <v/>
      </c>
      <c r="O294" s="50" t="str">
        <f>IF(OR($J294="",$AA294=""),"",$J294*N(INDEX(Fertilisants!$J$8:$J$47,$AA294)))</f>
        <v/>
      </c>
      <c r="P294" s="50" t="str">
        <f>IF(OR($J294="",$AA294=""),"",$J294*N(INDEX(Fertilisants!$K$8:$K$47,$AA294)))</f>
        <v/>
      </c>
      <c r="Q294" s="50" t="str">
        <f t="shared" si="57"/>
        <v/>
      </c>
      <c r="R294" s="44"/>
      <c r="S294" s="44"/>
      <c r="T294" s="51"/>
      <c r="U294" s="44"/>
      <c r="V294" s="43"/>
      <c r="W294" s="52" t="str">
        <f t="shared" si="58"/>
        <v/>
      </c>
      <c r="X294" s="44"/>
      <c r="Z294" s="53" t="str">
        <f>IF($D294="","",IFERROR(MATCH($D294,Îlots!$D$8:$D$57,0),""))</f>
        <v/>
      </c>
      <c r="AA294" s="53" t="str">
        <f>IF($G294="","",IFERROR(MATCH($G294,Fertilisants!$B$8:$B$47,0),""))</f>
        <v/>
      </c>
      <c r="AB294" s="53" t="str">
        <f>IF($Z294="","",INDEX(Îlots!$E$8:$E$57,$Z294))</f>
        <v/>
      </c>
      <c r="AC294" s="53" t="str">
        <f>IF($Z294="","",INDEX(Îlots!$G$8:$G$57,$Z294)&amp;"")</f>
        <v/>
      </c>
      <c r="AD294" s="53" t="str">
        <f>IF($Z294="","",IF($F294=ApportCouvert,OccCouvert,INDEX(Îlots!$O$8:$O$57,$Z294)&amp;""))</f>
        <v/>
      </c>
      <c r="AE294" s="53" t="str">
        <f t="shared" si="59"/>
        <v/>
      </c>
      <c r="AF294" s="53" t="str">
        <f t="shared" si="60"/>
        <v/>
      </c>
      <c r="AG294" s="53" t="str">
        <f t="shared" si="61"/>
        <v/>
      </c>
      <c r="AH294" s="53">
        <f t="shared" si="62"/>
        <v>0</v>
      </c>
      <c r="AI294" s="53">
        <f t="shared" si="63"/>
        <v>0</v>
      </c>
      <c r="AJ294" s="53">
        <f t="shared" si="64"/>
        <v>0</v>
      </c>
      <c r="AK294" s="53">
        <f t="shared" si="65"/>
        <v>0</v>
      </c>
      <c r="AL294" s="53">
        <f t="shared" si="66"/>
        <v>0</v>
      </c>
      <c r="AM294" s="53">
        <f>IF($AA294="",0,IF(INDEX(Fertilisants!$C$8:$C$47,$AA294)="Effluent d'élevage",1,0))</f>
        <v>0</v>
      </c>
      <c r="AN294" s="53" t="str">
        <f>IF($AA294="","",IF(INDEX(Fertilisants!$C$8:$C$47,$AA294)="Engrais minéral","Minéral","Organique"))</f>
        <v/>
      </c>
      <c r="AO294" s="53" t="str">
        <f t="shared" si="67"/>
        <v/>
      </c>
      <c r="AP294" s="53" t="str">
        <f t="shared" si="68"/>
        <v/>
      </c>
      <c r="AQ294" s="53" t="str">
        <f t="shared" si="69"/>
        <v/>
      </c>
      <c r="AR294" s="53" t="str">
        <f>IF(AND($D294&lt;&gt;"",$D294=FicheIlot),COUNTIF($D$8:$D294,FicheIlot),"")</f>
        <v/>
      </c>
    </row>
    <row r="295" spans="2:44" ht="18.95" customHeight="1" x14ac:dyDescent="0.25">
      <c r="B295" s="42" t="str">
        <f>IF(C295="","",COUNT($C$8:C295))</f>
        <v/>
      </c>
      <c r="C295" s="43"/>
      <c r="D295" s="44"/>
      <c r="E295" s="45" t="str">
        <f>IF($Z295="","",IF($F295=ApportCouvert,INDEX(Îlots!$I$8:$I$57,$Z295)&amp;"",INDEX(Îlots!$N$8:$N$57,$Z295)&amp;""))</f>
        <v/>
      </c>
      <c r="F295" s="44"/>
      <c r="G295" s="44"/>
      <c r="H295" s="46" t="str">
        <f>IF($AA295="","",INDEX(Fertilisants!$D$8:$D$47,$AA295)&amp;"")</f>
        <v/>
      </c>
      <c r="I295" s="47"/>
      <c r="J295" s="48"/>
      <c r="K295" s="46" t="str">
        <f>IF($AA295="","",INDEX(Fertilisants!$E$8:$E$47,$AA295)&amp;"")</f>
        <v/>
      </c>
      <c r="L295" s="49" t="str">
        <f t="shared" si="56"/>
        <v/>
      </c>
      <c r="M295" s="50" t="str">
        <f>IF(OR($J295="",$AA295=""),"",$J295*N(INDEX(Fertilisants!$G$8:$G$47,$AA295)))</f>
        <v/>
      </c>
      <c r="N295" s="50" t="str">
        <f>IF(OR($J295="",$AA295=""),"",$J295*N(INDEX(Fertilisants!$I$8:$I$47,$AA295)))</f>
        <v/>
      </c>
      <c r="O295" s="50" t="str">
        <f>IF(OR($J295="",$AA295=""),"",$J295*N(INDEX(Fertilisants!$J$8:$J$47,$AA295)))</f>
        <v/>
      </c>
      <c r="P295" s="50" t="str">
        <f>IF(OR($J295="",$AA295=""),"",$J295*N(INDEX(Fertilisants!$K$8:$K$47,$AA295)))</f>
        <v/>
      </c>
      <c r="Q295" s="50" t="str">
        <f t="shared" si="57"/>
        <v/>
      </c>
      <c r="R295" s="44"/>
      <c r="S295" s="44"/>
      <c r="T295" s="51"/>
      <c r="U295" s="44"/>
      <c r="V295" s="43"/>
      <c r="W295" s="52" t="str">
        <f t="shared" si="58"/>
        <v/>
      </c>
      <c r="X295" s="44"/>
      <c r="Z295" s="53" t="str">
        <f>IF($D295="","",IFERROR(MATCH($D295,Îlots!$D$8:$D$57,0),""))</f>
        <v/>
      </c>
      <c r="AA295" s="53" t="str">
        <f>IF($G295="","",IFERROR(MATCH($G295,Fertilisants!$B$8:$B$47,0),""))</f>
        <v/>
      </c>
      <c r="AB295" s="53" t="str">
        <f>IF($Z295="","",INDEX(Îlots!$E$8:$E$57,$Z295))</f>
        <v/>
      </c>
      <c r="AC295" s="53" t="str">
        <f>IF($Z295="","",INDEX(Îlots!$G$8:$G$57,$Z295)&amp;"")</f>
        <v/>
      </c>
      <c r="AD295" s="53" t="str">
        <f>IF($Z295="","",IF($F295=ApportCouvert,OccCouvert,INDEX(Îlots!$O$8:$O$57,$Z295)&amp;""))</f>
        <v/>
      </c>
      <c r="AE295" s="53" t="str">
        <f t="shared" si="59"/>
        <v/>
      </c>
      <c r="AF295" s="53" t="str">
        <f t="shared" si="60"/>
        <v/>
      </c>
      <c r="AG295" s="53" t="str">
        <f t="shared" si="61"/>
        <v/>
      </c>
      <c r="AH295" s="53">
        <f t="shared" si="62"/>
        <v>0</v>
      </c>
      <c r="AI295" s="53">
        <f t="shared" si="63"/>
        <v>0</v>
      </c>
      <c r="AJ295" s="53">
        <f t="shared" si="64"/>
        <v>0</v>
      </c>
      <c r="AK295" s="53">
        <f t="shared" si="65"/>
        <v>0</v>
      </c>
      <c r="AL295" s="53">
        <f t="shared" si="66"/>
        <v>0</v>
      </c>
      <c r="AM295" s="53">
        <f>IF($AA295="",0,IF(INDEX(Fertilisants!$C$8:$C$47,$AA295)="Effluent d'élevage",1,0))</f>
        <v>0</v>
      </c>
      <c r="AN295" s="53" t="str">
        <f>IF($AA295="","",IF(INDEX(Fertilisants!$C$8:$C$47,$AA295)="Engrais minéral","Minéral","Organique"))</f>
        <v/>
      </c>
      <c r="AO295" s="53" t="str">
        <f t="shared" si="67"/>
        <v/>
      </c>
      <c r="AP295" s="53" t="str">
        <f t="shared" si="68"/>
        <v/>
      </c>
      <c r="AQ295" s="53" t="str">
        <f t="shared" si="69"/>
        <v/>
      </c>
      <c r="AR295" s="53" t="str">
        <f>IF(AND($D295&lt;&gt;"",$D295=FicheIlot),COUNTIF($D$8:$D295,FicheIlot),"")</f>
        <v/>
      </c>
    </row>
    <row r="296" spans="2:44" ht="18.95" customHeight="1" x14ac:dyDescent="0.25">
      <c r="B296" s="42" t="str">
        <f>IF(C296="","",COUNT($C$8:C296))</f>
        <v/>
      </c>
      <c r="C296" s="43"/>
      <c r="D296" s="44"/>
      <c r="E296" s="45" t="str">
        <f>IF($Z296="","",IF($F296=ApportCouvert,INDEX(Îlots!$I$8:$I$57,$Z296)&amp;"",INDEX(Îlots!$N$8:$N$57,$Z296)&amp;""))</f>
        <v/>
      </c>
      <c r="F296" s="44"/>
      <c r="G296" s="44"/>
      <c r="H296" s="46" t="str">
        <f>IF($AA296="","",INDEX(Fertilisants!$D$8:$D$47,$AA296)&amp;"")</f>
        <v/>
      </c>
      <c r="I296" s="47"/>
      <c r="J296" s="48"/>
      <c r="K296" s="46" t="str">
        <f>IF($AA296="","",INDEX(Fertilisants!$E$8:$E$47,$AA296)&amp;"")</f>
        <v/>
      </c>
      <c r="L296" s="49" t="str">
        <f t="shared" si="56"/>
        <v/>
      </c>
      <c r="M296" s="50" t="str">
        <f>IF(OR($J296="",$AA296=""),"",$J296*N(INDEX(Fertilisants!$G$8:$G$47,$AA296)))</f>
        <v/>
      </c>
      <c r="N296" s="50" t="str">
        <f>IF(OR($J296="",$AA296=""),"",$J296*N(INDEX(Fertilisants!$I$8:$I$47,$AA296)))</f>
        <v/>
      </c>
      <c r="O296" s="50" t="str">
        <f>IF(OR($J296="",$AA296=""),"",$J296*N(INDEX(Fertilisants!$J$8:$J$47,$AA296)))</f>
        <v/>
      </c>
      <c r="P296" s="50" t="str">
        <f>IF(OR($J296="",$AA296=""),"",$J296*N(INDEX(Fertilisants!$K$8:$K$47,$AA296)))</f>
        <v/>
      </c>
      <c r="Q296" s="50" t="str">
        <f t="shared" si="57"/>
        <v/>
      </c>
      <c r="R296" s="44"/>
      <c r="S296" s="44"/>
      <c r="T296" s="51"/>
      <c r="U296" s="44"/>
      <c r="V296" s="43"/>
      <c r="W296" s="52" t="str">
        <f t="shared" si="58"/>
        <v/>
      </c>
      <c r="X296" s="44"/>
      <c r="Z296" s="53" t="str">
        <f>IF($D296="","",IFERROR(MATCH($D296,Îlots!$D$8:$D$57,0),""))</f>
        <v/>
      </c>
      <c r="AA296" s="53" t="str">
        <f>IF($G296="","",IFERROR(MATCH($G296,Fertilisants!$B$8:$B$47,0),""))</f>
        <v/>
      </c>
      <c r="AB296" s="53" t="str">
        <f>IF($Z296="","",INDEX(Îlots!$E$8:$E$57,$Z296))</f>
        <v/>
      </c>
      <c r="AC296" s="53" t="str">
        <f>IF($Z296="","",INDEX(Îlots!$G$8:$G$57,$Z296)&amp;"")</f>
        <v/>
      </c>
      <c r="AD296" s="53" t="str">
        <f>IF($Z296="","",IF($F296=ApportCouvert,OccCouvert,INDEX(Îlots!$O$8:$O$57,$Z296)&amp;""))</f>
        <v/>
      </c>
      <c r="AE296" s="53" t="str">
        <f t="shared" si="59"/>
        <v/>
      </c>
      <c r="AF296" s="53" t="str">
        <f t="shared" si="60"/>
        <v/>
      </c>
      <c r="AG296" s="53" t="str">
        <f t="shared" si="61"/>
        <v/>
      </c>
      <c r="AH296" s="53">
        <f t="shared" si="62"/>
        <v>0</v>
      </c>
      <c r="AI296" s="53">
        <f t="shared" si="63"/>
        <v>0</v>
      </c>
      <c r="AJ296" s="53">
        <f t="shared" si="64"/>
        <v>0</v>
      </c>
      <c r="AK296" s="53">
        <f t="shared" si="65"/>
        <v>0</v>
      </c>
      <c r="AL296" s="53">
        <f t="shared" si="66"/>
        <v>0</v>
      </c>
      <c r="AM296" s="53">
        <f>IF($AA296="",0,IF(INDEX(Fertilisants!$C$8:$C$47,$AA296)="Effluent d'élevage",1,0))</f>
        <v>0</v>
      </c>
      <c r="AN296" s="53" t="str">
        <f>IF($AA296="","",IF(INDEX(Fertilisants!$C$8:$C$47,$AA296)="Engrais minéral","Minéral","Organique"))</f>
        <v/>
      </c>
      <c r="AO296" s="53" t="str">
        <f t="shared" si="67"/>
        <v/>
      </c>
      <c r="AP296" s="53" t="str">
        <f t="shared" si="68"/>
        <v/>
      </c>
      <c r="AQ296" s="53" t="str">
        <f t="shared" si="69"/>
        <v/>
      </c>
      <c r="AR296" s="53" t="str">
        <f>IF(AND($D296&lt;&gt;"",$D296=FicheIlot),COUNTIF($D$8:$D296,FicheIlot),"")</f>
        <v/>
      </c>
    </row>
    <row r="297" spans="2:44" ht="18.95" customHeight="1" x14ac:dyDescent="0.25">
      <c r="B297" s="42" t="str">
        <f>IF(C297="","",COUNT($C$8:C297))</f>
        <v/>
      </c>
      <c r="C297" s="43"/>
      <c r="D297" s="44"/>
      <c r="E297" s="45" t="str">
        <f>IF($Z297="","",IF($F297=ApportCouvert,INDEX(Îlots!$I$8:$I$57,$Z297)&amp;"",INDEX(Îlots!$N$8:$N$57,$Z297)&amp;""))</f>
        <v/>
      </c>
      <c r="F297" s="44"/>
      <c r="G297" s="44"/>
      <c r="H297" s="46" t="str">
        <f>IF($AA297="","",INDEX(Fertilisants!$D$8:$D$47,$AA297)&amp;"")</f>
        <v/>
      </c>
      <c r="I297" s="47"/>
      <c r="J297" s="48"/>
      <c r="K297" s="46" t="str">
        <f>IF($AA297="","",INDEX(Fertilisants!$E$8:$E$47,$AA297)&amp;"")</f>
        <v/>
      </c>
      <c r="L297" s="49" t="str">
        <f t="shared" si="56"/>
        <v/>
      </c>
      <c r="M297" s="50" t="str">
        <f>IF(OR($J297="",$AA297=""),"",$J297*N(INDEX(Fertilisants!$G$8:$G$47,$AA297)))</f>
        <v/>
      </c>
      <c r="N297" s="50" t="str">
        <f>IF(OR($J297="",$AA297=""),"",$J297*N(INDEX(Fertilisants!$I$8:$I$47,$AA297)))</f>
        <v/>
      </c>
      <c r="O297" s="50" t="str">
        <f>IF(OR($J297="",$AA297=""),"",$J297*N(INDEX(Fertilisants!$J$8:$J$47,$AA297)))</f>
        <v/>
      </c>
      <c r="P297" s="50" t="str">
        <f>IF(OR($J297="",$AA297=""),"",$J297*N(INDEX(Fertilisants!$K$8:$K$47,$AA297)))</f>
        <v/>
      </c>
      <c r="Q297" s="50" t="str">
        <f t="shared" si="57"/>
        <v/>
      </c>
      <c r="R297" s="44"/>
      <c r="S297" s="44"/>
      <c r="T297" s="51"/>
      <c r="U297" s="44"/>
      <c r="V297" s="43"/>
      <c r="W297" s="52" t="str">
        <f t="shared" si="58"/>
        <v/>
      </c>
      <c r="X297" s="44"/>
      <c r="Z297" s="53" t="str">
        <f>IF($D297="","",IFERROR(MATCH($D297,Îlots!$D$8:$D$57,0),""))</f>
        <v/>
      </c>
      <c r="AA297" s="53" t="str">
        <f>IF($G297="","",IFERROR(MATCH($G297,Fertilisants!$B$8:$B$47,0),""))</f>
        <v/>
      </c>
      <c r="AB297" s="53" t="str">
        <f>IF($Z297="","",INDEX(Îlots!$E$8:$E$57,$Z297))</f>
        <v/>
      </c>
      <c r="AC297" s="53" t="str">
        <f>IF($Z297="","",INDEX(Îlots!$G$8:$G$57,$Z297)&amp;"")</f>
        <v/>
      </c>
      <c r="AD297" s="53" t="str">
        <f>IF($Z297="","",IF($F297=ApportCouvert,OccCouvert,INDEX(Îlots!$O$8:$O$57,$Z297)&amp;""))</f>
        <v/>
      </c>
      <c r="AE297" s="53" t="str">
        <f t="shared" si="59"/>
        <v/>
      </c>
      <c r="AF297" s="53" t="str">
        <f t="shared" si="60"/>
        <v/>
      </c>
      <c r="AG297" s="53" t="str">
        <f t="shared" si="61"/>
        <v/>
      </c>
      <c r="AH297" s="53">
        <f t="shared" si="62"/>
        <v>0</v>
      </c>
      <c r="AI297" s="53">
        <f t="shared" si="63"/>
        <v>0</v>
      </c>
      <c r="AJ297" s="53">
        <f t="shared" si="64"/>
        <v>0</v>
      </c>
      <c r="AK297" s="53">
        <f t="shared" si="65"/>
        <v>0</v>
      </c>
      <c r="AL297" s="53">
        <f t="shared" si="66"/>
        <v>0</v>
      </c>
      <c r="AM297" s="53">
        <f>IF($AA297="",0,IF(INDEX(Fertilisants!$C$8:$C$47,$AA297)="Effluent d'élevage",1,0))</f>
        <v>0</v>
      </c>
      <c r="AN297" s="53" t="str">
        <f>IF($AA297="","",IF(INDEX(Fertilisants!$C$8:$C$47,$AA297)="Engrais minéral","Minéral","Organique"))</f>
        <v/>
      </c>
      <c r="AO297" s="53" t="str">
        <f t="shared" si="67"/>
        <v/>
      </c>
      <c r="AP297" s="53" t="str">
        <f t="shared" si="68"/>
        <v/>
      </c>
      <c r="AQ297" s="53" t="str">
        <f t="shared" si="69"/>
        <v/>
      </c>
      <c r="AR297" s="53" t="str">
        <f>IF(AND($D297&lt;&gt;"",$D297=FicheIlot),COUNTIF($D$8:$D297,FicheIlot),"")</f>
        <v/>
      </c>
    </row>
    <row r="298" spans="2:44" ht="18.95" customHeight="1" x14ac:dyDescent="0.25">
      <c r="B298" s="42" t="str">
        <f>IF(C298="","",COUNT($C$8:C298))</f>
        <v/>
      </c>
      <c r="C298" s="43"/>
      <c r="D298" s="44"/>
      <c r="E298" s="45" t="str">
        <f>IF($Z298="","",IF($F298=ApportCouvert,INDEX(Îlots!$I$8:$I$57,$Z298)&amp;"",INDEX(Îlots!$N$8:$N$57,$Z298)&amp;""))</f>
        <v/>
      </c>
      <c r="F298" s="44"/>
      <c r="G298" s="44"/>
      <c r="H298" s="46" t="str">
        <f>IF($AA298="","",INDEX(Fertilisants!$D$8:$D$47,$AA298)&amp;"")</f>
        <v/>
      </c>
      <c r="I298" s="47"/>
      <c r="J298" s="48"/>
      <c r="K298" s="46" t="str">
        <f>IF($AA298="","",INDEX(Fertilisants!$E$8:$E$47,$AA298)&amp;"")</f>
        <v/>
      </c>
      <c r="L298" s="49" t="str">
        <f t="shared" si="56"/>
        <v/>
      </c>
      <c r="M298" s="50" t="str">
        <f>IF(OR($J298="",$AA298=""),"",$J298*N(INDEX(Fertilisants!$G$8:$G$47,$AA298)))</f>
        <v/>
      </c>
      <c r="N298" s="50" t="str">
        <f>IF(OR($J298="",$AA298=""),"",$J298*N(INDEX(Fertilisants!$I$8:$I$47,$AA298)))</f>
        <v/>
      </c>
      <c r="O298" s="50" t="str">
        <f>IF(OR($J298="",$AA298=""),"",$J298*N(INDEX(Fertilisants!$J$8:$J$47,$AA298)))</f>
        <v/>
      </c>
      <c r="P298" s="50" t="str">
        <f>IF(OR($J298="",$AA298=""),"",$J298*N(INDEX(Fertilisants!$K$8:$K$47,$AA298)))</f>
        <v/>
      </c>
      <c r="Q298" s="50" t="str">
        <f t="shared" si="57"/>
        <v/>
      </c>
      <c r="R298" s="44"/>
      <c r="S298" s="44"/>
      <c r="T298" s="51"/>
      <c r="U298" s="44"/>
      <c r="V298" s="43"/>
      <c r="W298" s="52" t="str">
        <f t="shared" si="58"/>
        <v/>
      </c>
      <c r="X298" s="44"/>
      <c r="Z298" s="53" t="str">
        <f>IF($D298="","",IFERROR(MATCH($D298,Îlots!$D$8:$D$57,0),""))</f>
        <v/>
      </c>
      <c r="AA298" s="53" t="str">
        <f>IF($G298="","",IFERROR(MATCH($G298,Fertilisants!$B$8:$B$47,0),""))</f>
        <v/>
      </c>
      <c r="AB298" s="53" t="str">
        <f>IF($Z298="","",INDEX(Îlots!$E$8:$E$57,$Z298))</f>
        <v/>
      </c>
      <c r="AC298" s="53" t="str">
        <f>IF($Z298="","",INDEX(Îlots!$G$8:$G$57,$Z298)&amp;"")</f>
        <v/>
      </c>
      <c r="AD298" s="53" t="str">
        <f>IF($Z298="","",IF($F298=ApportCouvert,OccCouvert,INDEX(Îlots!$O$8:$O$57,$Z298)&amp;""))</f>
        <v/>
      </c>
      <c r="AE298" s="53" t="str">
        <f t="shared" si="59"/>
        <v/>
      </c>
      <c r="AF298" s="53" t="str">
        <f t="shared" si="60"/>
        <v/>
      </c>
      <c r="AG298" s="53" t="str">
        <f t="shared" si="61"/>
        <v/>
      </c>
      <c r="AH298" s="53">
        <f t="shared" si="62"/>
        <v>0</v>
      </c>
      <c r="AI298" s="53">
        <f t="shared" si="63"/>
        <v>0</v>
      </c>
      <c r="AJ298" s="53">
        <f t="shared" si="64"/>
        <v>0</v>
      </c>
      <c r="AK298" s="53">
        <f t="shared" si="65"/>
        <v>0</v>
      </c>
      <c r="AL298" s="53">
        <f t="shared" si="66"/>
        <v>0</v>
      </c>
      <c r="AM298" s="53">
        <f>IF($AA298="",0,IF(INDEX(Fertilisants!$C$8:$C$47,$AA298)="Effluent d'élevage",1,0))</f>
        <v>0</v>
      </c>
      <c r="AN298" s="53" t="str">
        <f>IF($AA298="","",IF(INDEX(Fertilisants!$C$8:$C$47,$AA298)="Engrais minéral","Minéral","Organique"))</f>
        <v/>
      </c>
      <c r="AO298" s="53" t="str">
        <f t="shared" si="67"/>
        <v/>
      </c>
      <c r="AP298" s="53" t="str">
        <f t="shared" si="68"/>
        <v/>
      </c>
      <c r="AQ298" s="53" t="str">
        <f t="shared" si="69"/>
        <v/>
      </c>
      <c r="AR298" s="53" t="str">
        <f>IF(AND($D298&lt;&gt;"",$D298=FicheIlot),COUNTIF($D$8:$D298,FicheIlot),"")</f>
        <v/>
      </c>
    </row>
    <row r="299" spans="2:44" ht="18.95" customHeight="1" x14ac:dyDescent="0.25">
      <c r="B299" s="42" t="str">
        <f>IF(C299="","",COUNT($C$8:C299))</f>
        <v/>
      </c>
      <c r="C299" s="43"/>
      <c r="D299" s="44"/>
      <c r="E299" s="45" t="str">
        <f>IF($Z299="","",IF($F299=ApportCouvert,INDEX(Îlots!$I$8:$I$57,$Z299)&amp;"",INDEX(Îlots!$N$8:$N$57,$Z299)&amp;""))</f>
        <v/>
      </c>
      <c r="F299" s="44"/>
      <c r="G299" s="44"/>
      <c r="H299" s="46" t="str">
        <f>IF($AA299="","",INDEX(Fertilisants!$D$8:$D$47,$AA299)&amp;"")</f>
        <v/>
      </c>
      <c r="I299" s="47"/>
      <c r="J299" s="48"/>
      <c r="K299" s="46" t="str">
        <f>IF($AA299="","",INDEX(Fertilisants!$E$8:$E$47,$AA299)&amp;"")</f>
        <v/>
      </c>
      <c r="L299" s="49" t="str">
        <f t="shared" si="56"/>
        <v/>
      </c>
      <c r="M299" s="50" t="str">
        <f>IF(OR($J299="",$AA299=""),"",$J299*N(INDEX(Fertilisants!$G$8:$G$47,$AA299)))</f>
        <v/>
      </c>
      <c r="N299" s="50" t="str">
        <f>IF(OR($J299="",$AA299=""),"",$J299*N(INDEX(Fertilisants!$I$8:$I$47,$AA299)))</f>
        <v/>
      </c>
      <c r="O299" s="50" t="str">
        <f>IF(OR($J299="",$AA299=""),"",$J299*N(INDEX(Fertilisants!$J$8:$J$47,$AA299)))</f>
        <v/>
      </c>
      <c r="P299" s="50" t="str">
        <f>IF(OR($J299="",$AA299=""),"",$J299*N(INDEX(Fertilisants!$K$8:$K$47,$AA299)))</f>
        <v/>
      </c>
      <c r="Q299" s="50" t="str">
        <f t="shared" si="57"/>
        <v/>
      </c>
      <c r="R299" s="44"/>
      <c r="S299" s="44"/>
      <c r="T299" s="51"/>
      <c r="U299" s="44"/>
      <c r="V299" s="43"/>
      <c r="W299" s="52" t="str">
        <f t="shared" si="58"/>
        <v/>
      </c>
      <c r="X299" s="44"/>
      <c r="Z299" s="53" t="str">
        <f>IF($D299="","",IFERROR(MATCH($D299,Îlots!$D$8:$D$57,0),""))</f>
        <v/>
      </c>
      <c r="AA299" s="53" t="str">
        <f>IF($G299="","",IFERROR(MATCH($G299,Fertilisants!$B$8:$B$47,0),""))</f>
        <v/>
      </c>
      <c r="AB299" s="53" t="str">
        <f>IF($Z299="","",INDEX(Îlots!$E$8:$E$57,$Z299))</f>
        <v/>
      </c>
      <c r="AC299" s="53" t="str">
        <f>IF($Z299="","",INDEX(Îlots!$G$8:$G$57,$Z299)&amp;"")</f>
        <v/>
      </c>
      <c r="AD299" s="53" t="str">
        <f>IF($Z299="","",IF($F299=ApportCouvert,OccCouvert,INDEX(Îlots!$O$8:$O$57,$Z299)&amp;""))</f>
        <v/>
      </c>
      <c r="AE299" s="53" t="str">
        <f t="shared" si="59"/>
        <v/>
      </c>
      <c r="AF299" s="53" t="str">
        <f t="shared" si="60"/>
        <v/>
      </c>
      <c r="AG299" s="53" t="str">
        <f t="shared" si="61"/>
        <v/>
      </c>
      <c r="AH299" s="53">
        <f t="shared" si="62"/>
        <v>0</v>
      </c>
      <c r="AI299" s="53">
        <f t="shared" si="63"/>
        <v>0</v>
      </c>
      <c r="AJ299" s="53">
        <f t="shared" si="64"/>
        <v>0</v>
      </c>
      <c r="AK299" s="53">
        <f t="shared" si="65"/>
        <v>0</v>
      </c>
      <c r="AL299" s="53">
        <f t="shared" si="66"/>
        <v>0</v>
      </c>
      <c r="AM299" s="53">
        <f>IF($AA299="",0,IF(INDEX(Fertilisants!$C$8:$C$47,$AA299)="Effluent d'élevage",1,0))</f>
        <v>0</v>
      </c>
      <c r="AN299" s="53" t="str">
        <f>IF($AA299="","",IF(INDEX(Fertilisants!$C$8:$C$47,$AA299)="Engrais minéral","Minéral","Organique"))</f>
        <v/>
      </c>
      <c r="AO299" s="53" t="str">
        <f t="shared" si="67"/>
        <v/>
      </c>
      <c r="AP299" s="53" t="str">
        <f t="shared" si="68"/>
        <v/>
      </c>
      <c r="AQ299" s="53" t="str">
        <f t="shared" si="69"/>
        <v/>
      </c>
      <c r="AR299" s="53" t="str">
        <f>IF(AND($D299&lt;&gt;"",$D299=FicheIlot),COUNTIF($D$8:$D299,FicheIlot),"")</f>
        <v/>
      </c>
    </row>
    <row r="300" spans="2:44" ht="18.95" customHeight="1" x14ac:dyDescent="0.25">
      <c r="B300" s="42" t="str">
        <f>IF(C300="","",COUNT($C$8:C300))</f>
        <v/>
      </c>
      <c r="C300" s="43"/>
      <c r="D300" s="44"/>
      <c r="E300" s="45" t="str">
        <f>IF($Z300="","",IF($F300=ApportCouvert,INDEX(Îlots!$I$8:$I$57,$Z300)&amp;"",INDEX(Îlots!$N$8:$N$57,$Z300)&amp;""))</f>
        <v/>
      </c>
      <c r="F300" s="44"/>
      <c r="G300" s="44"/>
      <c r="H300" s="46" t="str">
        <f>IF($AA300="","",INDEX(Fertilisants!$D$8:$D$47,$AA300)&amp;"")</f>
        <v/>
      </c>
      <c r="I300" s="47"/>
      <c r="J300" s="48"/>
      <c r="K300" s="46" t="str">
        <f>IF($AA300="","",INDEX(Fertilisants!$E$8:$E$47,$AA300)&amp;"")</f>
        <v/>
      </c>
      <c r="L300" s="49" t="str">
        <f t="shared" si="56"/>
        <v/>
      </c>
      <c r="M300" s="50" t="str">
        <f>IF(OR($J300="",$AA300=""),"",$J300*N(INDEX(Fertilisants!$G$8:$G$47,$AA300)))</f>
        <v/>
      </c>
      <c r="N300" s="50" t="str">
        <f>IF(OR($J300="",$AA300=""),"",$J300*N(INDEX(Fertilisants!$I$8:$I$47,$AA300)))</f>
        <v/>
      </c>
      <c r="O300" s="50" t="str">
        <f>IF(OR($J300="",$AA300=""),"",$J300*N(INDEX(Fertilisants!$J$8:$J$47,$AA300)))</f>
        <v/>
      </c>
      <c r="P300" s="50" t="str">
        <f>IF(OR($J300="",$AA300=""),"",$J300*N(INDEX(Fertilisants!$K$8:$K$47,$AA300)))</f>
        <v/>
      </c>
      <c r="Q300" s="50" t="str">
        <f t="shared" si="57"/>
        <v/>
      </c>
      <c r="R300" s="44"/>
      <c r="S300" s="44"/>
      <c r="T300" s="51"/>
      <c r="U300" s="44"/>
      <c r="V300" s="43"/>
      <c r="W300" s="52" t="str">
        <f t="shared" si="58"/>
        <v/>
      </c>
      <c r="X300" s="44"/>
      <c r="Z300" s="53" t="str">
        <f>IF($D300="","",IFERROR(MATCH($D300,Îlots!$D$8:$D$57,0),""))</f>
        <v/>
      </c>
      <c r="AA300" s="53" t="str">
        <f>IF($G300="","",IFERROR(MATCH($G300,Fertilisants!$B$8:$B$47,0),""))</f>
        <v/>
      </c>
      <c r="AB300" s="53" t="str">
        <f>IF($Z300="","",INDEX(Îlots!$E$8:$E$57,$Z300))</f>
        <v/>
      </c>
      <c r="AC300" s="53" t="str">
        <f>IF($Z300="","",INDEX(Îlots!$G$8:$G$57,$Z300)&amp;"")</f>
        <v/>
      </c>
      <c r="AD300" s="53" t="str">
        <f>IF($Z300="","",IF($F300=ApportCouvert,OccCouvert,INDEX(Îlots!$O$8:$O$57,$Z300)&amp;""))</f>
        <v/>
      </c>
      <c r="AE300" s="53" t="str">
        <f t="shared" si="59"/>
        <v/>
      </c>
      <c r="AF300" s="53" t="str">
        <f t="shared" si="60"/>
        <v/>
      </c>
      <c r="AG300" s="53" t="str">
        <f t="shared" si="61"/>
        <v/>
      </c>
      <c r="AH300" s="53">
        <f t="shared" si="62"/>
        <v>0</v>
      </c>
      <c r="AI300" s="53">
        <f t="shared" si="63"/>
        <v>0</v>
      </c>
      <c r="AJ300" s="53">
        <f t="shared" si="64"/>
        <v>0</v>
      </c>
      <c r="AK300" s="53">
        <f t="shared" si="65"/>
        <v>0</v>
      </c>
      <c r="AL300" s="53">
        <f t="shared" si="66"/>
        <v>0</v>
      </c>
      <c r="AM300" s="53">
        <f>IF($AA300="",0,IF(INDEX(Fertilisants!$C$8:$C$47,$AA300)="Effluent d'élevage",1,0))</f>
        <v>0</v>
      </c>
      <c r="AN300" s="53" t="str">
        <f>IF($AA300="","",IF(INDEX(Fertilisants!$C$8:$C$47,$AA300)="Engrais minéral","Minéral","Organique"))</f>
        <v/>
      </c>
      <c r="AO300" s="53" t="str">
        <f t="shared" si="67"/>
        <v/>
      </c>
      <c r="AP300" s="53" t="str">
        <f t="shared" si="68"/>
        <v/>
      </c>
      <c r="AQ300" s="53" t="str">
        <f t="shared" si="69"/>
        <v/>
      </c>
      <c r="AR300" s="53" t="str">
        <f>IF(AND($D300&lt;&gt;"",$D300=FicheIlot),COUNTIF($D$8:$D300,FicheIlot),"")</f>
        <v/>
      </c>
    </row>
    <row r="301" spans="2:44" ht="18.95" customHeight="1" x14ac:dyDescent="0.25">
      <c r="B301" s="42" t="str">
        <f>IF(C301="","",COUNT($C$8:C301))</f>
        <v/>
      </c>
      <c r="C301" s="43"/>
      <c r="D301" s="44"/>
      <c r="E301" s="45" t="str">
        <f>IF($Z301="","",IF($F301=ApportCouvert,INDEX(Îlots!$I$8:$I$57,$Z301)&amp;"",INDEX(Îlots!$N$8:$N$57,$Z301)&amp;""))</f>
        <v/>
      </c>
      <c r="F301" s="44"/>
      <c r="G301" s="44"/>
      <c r="H301" s="46" t="str">
        <f>IF($AA301="","",INDEX(Fertilisants!$D$8:$D$47,$AA301)&amp;"")</f>
        <v/>
      </c>
      <c r="I301" s="47"/>
      <c r="J301" s="48"/>
      <c r="K301" s="46" t="str">
        <f>IF($AA301="","",INDEX(Fertilisants!$E$8:$E$47,$AA301)&amp;"")</f>
        <v/>
      </c>
      <c r="L301" s="49" t="str">
        <f t="shared" si="56"/>
        <v/>
      </c>
      <c r="M301" s="50" t="str">
        <f>IF(OR($J301="",$AA301=""),"",$J301*N(INDEX(Fertilisants!$G$8:$G$47,$AA301)))</f>
        <v/>
      </c>
      <c r="N301" s="50" t="str">
        <f>IF(OR($J301="",$AA301=""),"",$J301*N(INDEX(Fertilisants!$I$8:$I$47,$AA301)))</f>
        <v/>
      </c>
      <c r="O301" s="50" t="str">
        <f>IF(OR($J301="",$AA301=""),"",$J301*N(INDEX(Fertilisants!$J$8:$J$47,$AA301)))</f>
        <v/>
      </c>
      <c r="P301" s="50" t="str">
        <f>IF(OR($J301="",$AA301=""),"",$J301*N(INDEX(Fertilisants!$K$8:$K$47,$AA301)))</f>
        <v/>
      </c>
      <c r="Q301" s="50" t="str">
        <f t="shared" si="57"/>
        <v/>
      </c>
      <c r="R301" s="44"/>
      <c r="S301" s="44"/>
      <c r="T301" s="51"/>
      <c r="U301" s="44"/>
      <c r="V301" s="43"/>
      <c r="W301" s="52" t="str">
        <f t="shared" si="58"/>
        <v/>
      </c>
      <c r="X301" s="44"/>
      <c r="Z301" s="53" t="str">
        <f>IF($D301="","",IFERROR(MATCH($D301,Îlots!$D$8:$D$57,0),""))</f>
        <v/>
      </c>
      <c r="AA301" s="53" t="str">
        <f>IF($G301="","",IFERROR(MATCH($G301,Fertilisants!$B$8:$B$47,0),""))</f>
        <v/>
      </c>
      <c r="AB301" s="53" t="str">
        <f>IF($Z301="","",INDEX(Îlots!$E$8:$E$57,$Z301))</f>
        <v/>
      </c>
      <c r="AC301" s="53" t="str">
        <f>IF($Z301="","",INDEX(Îlots!$G$8:$G$57,$Z301)&amp;"")</f>
        <v/>
      </c>
      <c r="AD301" s="53" t="str">
        <f>IF($Z301="","",IF($F301=ApportCouvert,OccCouvert,INDEX(Îlots!$O$8:$O$57,$Z301)&amp;""))</f>
        <v/>
      </c>
      <c r="AE301" s="53" t="str">
        <f t="shared" si="59"/>
        <v/>
      </c>
      <c r="AF301" s="53" t="str">
        <f t="shared" si="60"/>
        <v/>
      </c>
      <c r="AG301" s="53" t="str">
        <f t="shared" si="61"/>
        <v/>
      </c>
      <c r="AH301" s="53">
        <f t="shared" si="62"/>
        <v>0</v>
      </c>
      <c r="AI301" s="53">
        <f t="shared" si="63"/>
        <v>0</v>
      </c>
      <c r="AJ301" s="53">
        <f t="shared" si="64"/>
        <v>0</v>
      </c>
      <c r="AK301" s="53">
        <f t="shared" si="65"/>
        <v>0</v>
      </c>
      <c r="AL301" s="53">
        <f t="shared" si="66"/>
        <v>0</v>
      </c>
      <c r="AM301" s="53">
        <f>IF($AA301="",0,IF(INDEX(Fertilisants!$C$8:$C$47,$AA301)="Effluent d'élevage",1,0))</f>
        <v>0</v>
      </c>
      <c r="AN301" s="53" t="str">
        <f>IF($AA301="","",IF(INDEX(Fertilisants!$C$8:$C$47,$AA301)="Engrais minéral","Minéral","Organique"))</f>
        <v/>
      </c>
      <c r="AO301" s="53" t="str">
        <f t="shared" si="67"/>
        <v/>
      </c>
      <c r="AP301" s="53" t="str">
        <f t="shared" si="68"/>
        <v/>
      </c>
      <c r="AQ301" s="53" t="str">
        <f t="shared" si="69"/>
        <v/>
      </c>
      <c r="AR301" s="53" t="str">
        <f>IF(AND($D301&lt;&gt;"",$D301=FicheIlot),COUNTIF($D$8:$D301,FicheIlot),"")</f>
        <v/>
      </c>
    </row>
    <row r="302" spans="2:44" ht="18.95" customHeight="1" x14ac:dyDescent="0.25">
      <c r="B302" s="42" t="str">
        <f>IF(C302="","",COUNT($C$8:C302))</f>
        <v/>
      </c>
      <c r="C302" s="43"/>
      <c r="D302" s="44"/>
      <c r="E302" s="45" t="str">
        <f>IF($Z302="","",IF($F302=ApportCouvert,INDEX(Îlots!$I$8:$I$57,$Z302)&amp;"",INDEX(Îlots!$N$8:$N$57,$Z302)&amp;""))</f>
        <v/>
      </c>
      <c r="F302" s="44"/>
      <c r="G302" s="44"/>
      <c r="H302" s="46" t="str">
        <f>IF($AA302="","",INDEX(Fertilisants!$D$8:$D$47,$AA302)&amp;"")</f>
        <v/>
      </c>
      <c r="I302" s="47"/>
      <c r="J302" s="48"/>
      <c r="K302" s="46" t="str">
        <f>IF($AA302="","",INDEX(Fertilisants!$E$8:$E$47,$AA302)&amp;"")</f>
        <v/>
      </c>
      <c r="L302" s="49" t="str">
        <f t="shared" si="56"/>
        <v/>
      </c>
      <c r="M302" s="50" t="str">
        <f>IF(OR($J302="",$AA302=""),"",$J302*N(INDEX(Fertilisants!$G$8:$G$47,$AA302)))</f>
        <v/>
      </c>
      <c r="N302" s="50" t="str">
        <f>IF(OR($J302="",$AA302=""),"",$J302*N(INDEX(Fertilisants!$I$8:$I$47,$AA302)))</f>
        <v/>
      </c>
      <c r="O302" s="50" t="str">
        <f>IF(OR($J302="",$AA302=""),"",$J302*N(INDEX(Fertilisants!$J$8:$J$47,$AA302)))</f>
        <v/>
      </c>
      <c r="P302" s="50" t="str">
        <f>IF(OR($J302="",$AA302=""),"",$J302*N(INDEX(Fertilisants!$K$8:$K$47,$AA302)))</f>
        <v/>
      </c>
      <c r="Q302" s="50" t="str">
        <f t="shared" si="57"/>
        <v/>
      </c>
      <c r="R302" s="44"/>
      <c r="S302" s="44"/>
      <c r="T302" s="51"/>
      <c r="U302" s="44"/>
      <c r="V302" s="43"/>
      <c r="W302" s="52" t="str">
        <f t="shared" si="58"/>
        <v/>
      </c>
      <c r="X302" s="44"/>
      <c r="Z302" s="53" t="str">
        <f>IF($D302="","",IFERROR(MATCH($D302,Îlots!$D$8:$D$57,0),""))</f>
        <v/>
      </c>
      <c r="AA302" s="53" t="str">
        <f>IF($G302="","",IFERROR(MATCH($G302,Fertilisants!$B$8:$B$47,0),""))</f>
        <v/>
      </c>
      <c r="AB302" s="53" t="str">
        <f>IF($Z302="","",INDEX(Îlots!$E$8:$E$57,$Z302))</f>
        <v/>
      </c>
      <c r="AC302" s="53" t="str">
        <f>IF($Z302="","",INDEX(Îlots!$G$8:$G$57,$Z302)&amp;"")</f>
        <v/>
      </c>
      <c r="AD302" s="53" t="str">
        <f>IF($Z302="","",IF($F302=ApportCouvert,OccCouvert,INDEX(Îlots!$O$8:$O$57,$Z302)&amp;""))</f>
        <v/>
      </c>
      <c r="AE302" s="53" t="str">
        <f t="shared" si="59"/>
        <v/>
      </c>
      <c r="AF302" s="53" t="str">
        <f t="shared" si="60"/>
        <v/>
      </c>
      <c r="AG302" s="53" t="str">
        <f t="shared" si="61"/>
        <v/>
      </c>
      <c r="AH302" s="53">
        <f t="shared" si="62"/>
        <v>0</v>
      </c>
      <c r="AI302" s="53">
        <f t="shared" si="63"/>
        <v>0</v>
      </c>
      <c r="AJ302" s="53">
        <f t="shared" si="64"/>
        <v>0</v>
      </c>
      <c r="AK302" s="53">
        <f t="shared" si="65"/>
        <v>0</v>
      </c>
      <c r="AL302" s="53">
        <f t="shared" si="66"/>
        <v>0</v>
      </c>
      <c r="AM302" s="53">
        <f>IF($AA302="",0,IF(INDEX(Fertilisants!$C$8:$C$47,$AA302)="Effluent d'élevage",1,0))</f>
        <v>0</v>
      </c>
      <c r="AN302" s="53" t="str">
        <f>IF($AA302="","",IF(INDEX(Fertilisants!$C$8:$C$47,$AA302)="Engrais minéral","Minéral","Organique"))</f>
        <v/>
      </c>
      <c r="AO302" s="53" t="str">
        <f t="shared" si="67"/>
        <v/>
      </c>
      <c r="AP302" s="53" t="str">
        <f t="shared" si="68"/>
        <v/>
      </c>
      <c r="AQ302" s="53" t="str">
        <f t="shared" si="69"/>
        <v/>
      </c>
      <c r="AR302" s="53" t="str">
        <f>IF(AND($D302&lt;&gt;"",$D302=FicheIlot),COUNTIF($D$8:$D302,FicheIlot),"")</f>
        <v/>
      </c>
    </row>
    <row r="303" spans="2:44" ht="18.95" customHeight="1" x14ac:dyDescent="0.25">
      <c r="B303" s="42" t="str">
        <f>IF(C303="","",COUNT($C$8:C303))</f>
        <v/>
      </c>
      <c r="C303" s="43"/>
      <c r="D303" s="44"/>
      <c r="E303" s="45" t="str">
        <f>IF($Z303="","",IF($F303=ApportCouvert,INDEX(Îlots!$I$8:$I$57,$Z303)&amp;"",INDEX(Îlots!$N$8:$N$57,$Z303)&amp;""))</f>
        <v/>
      </c>
      <c r="F303" s="44"/>
      <c r="G303" s="44"/>
      <c r="H303" s="46" t="str">
        <f>IF($AA303="","",INDEX(Fertilisants!$D$8:$D$47,$AA303)&amp;"")</f>
        <v/>
      </c>
      <c r="I303" s="47"/>
      <c r="J303" s="48"/>
      <c r="K303" s="46" t="str">
        <f>IF($AA303="","",INDEX(Fertilisants!$E$8:$E$47,$AA303)&amp;"")</f>
        <v/>
      </c>
      <c r="L303" s="49" t="str">
        <f t="shared" si="56"/>
        <v/>
      </c>
      <c r="M303" s="50" t="str">
        <f>IF(OR($J303="",$AA303=""),"",$J303*N(INDEX(Fertilisants!$G$8:$G$47,$AA303)))</f>
        <v/>
      </c>
      <c r="N303" s="50" t="str">
        <f>IF(OR($J303="",$AA303=""),"",$J303*N(INDEX(Fertilisants!$I$8:$I$47,$AA303)))</f>
        <v/>
      </c>
      <c r="O303" s="50" t="str">
        <f>IF(OR($J303="",$AA303=""),"",$J303*N(INDEX(Fertilisants!$J$8:$J$47,$AA303)))</f>
        <v/>
      </c>
      <c r="P303" s="50" t="str">
        <f>IF(OR($J303="",$AA303=""),"",$J303*N(INDEX(Fertilisants!$K$8:$K$47,$AA303)))</f>
        <v/>
      </c>
      <c r="Q303" s="50" t="str">
        <f t="shared" si="57"/>
        <v/>
      </c>
      <c r="R303" s="44"/>
      <c r="S303" s="44"/>
      <c r="T303" s="51"/>
      <c r="U303" s="44"/>
      <c r="V303" s="43"/>
      <c r="W303" s="52" t="str">
        <f t="shared" si="58"/>
        <v/>
      </c>
      <c r="X303" s="44"/>
      <c r="Z303" s="53" t="str">
        <f>IF($D303="","",IFERROR(MATCH($D303,Îlots!$D$8:$D$57,0),""))</f>
        <v/>
      </c>
      <c r="AA303" s="53" t="str">
        <f>IF($G303="","",IFERROR(MATCH($G303,Fertilisants!$B$8:$B$47,0),""))</f>
        <v/>
      </c>
      <c r="AB303" s="53" t="str">
        <f>IF($Z303="","",INDEX(Îlots!$E$8:$E$57,$Z303))</f>
        <v/>
      </c>
      <c r="AC303" s="53" t="str">
        <f>IF($Z303="","",INDEX(Îlots!$G$8:$G$57,$Z303)&amp;"")</f>
        <v/>
      </c>
      <c r="AD303" s="53" t="str">
        <f>IF($Z303="","",IF($F303=ApportCouvert,OccCouvert,INDEX(Îlots!$O$8:$O$57,$Z303)&amp;""))</f>
        <v/>
      </c>
      <c r="AE303" s="53" t="str">
        <f t="shared" si="59"/>
        <v/>
      </c>
      <c r="AF303" s="53" t="str">
        <f t="shared" si="60"/>
        <v/>
      </c>
      <c r="AG303" s="53" t="str">
        <f t="shared" si="61"/>
        <v/>
      </c>
      <c r="AH303" s="53">
        <f t="shared" si="62"/>
        <v>0</v>
      </c>
      <c r="AI303" s="53">
        <f t="shared" si="63"/>
        <v>0</v>
      </c>
      <c r="AJ303" s="53">
        <f t="shared" si="64"/>
        <v>0</v>
      </c>
      <c r="AK303" s="53">
        <f t="shared" si="65"/>
        <v>0</v>
      </c>
      <c r="AL303" s="53">
        <f t="shared" si="66"/>
        <v>0</v>
      </c>
      <c r="AM303" s="53">
        <f>IF($AA303="",0,IF(INDEX(Fertilisants!$C$8:$C$47,$AA303)="Effluent d'élevage",1,0))</f>
        <v>0</v>
      </c>
      <c r="AN303" s="53" t="str">
        <f>IF($AA303="","",IF(INDEX(Fertilisants!$C$8:$C$47,$AA303)="Engrais minéral","Minéral","Organique"))</f>
        <v/>
      </c>
      <c r="AO303" s="53" t="str">
        <f t="shared" si="67"/>
        <v/>
      </c>
      <c r="AP303" s="53" t="str">
        <f t="shared" si="68"/>
        <v/>
      </c>
      <c r="AQ303" s="53" t="str">
        <f t="shared" si="69"/>
        <v/>
      </c>
      <c r="AR303" s="53" t="str">
        <f>IF(AND($D303&lt;&gt;"",$D303=FicheIlot),COUNTIF($D$8:$D303,FicheIlot),"")</f>
        <v/>
      </c>
    </row>
    <row r="304" spans="2:44" ht="18.95" customHeight="1" x14ac:dyDescent="0.25">
      <c r="B304" s="42" t="str">
        <f>IF(C304="","",COUNT($C$8:C304))</f>
        <v/>
      </c>
      <c r="C304" s="43"/>
      <c r="D304" s="44"/>
      <c r="E304" s="45" t="str">
        <f>IF($Z304="","",IF($F304=ApportCouvert,INDEX(Îlots!$I$8:$I$57,$Z304)&amp;"",INDEX(Îlots!$N$8:$N$57,$Z304)&amp;""))</f>
        <v/>
      </c>
      <c r="F304" s="44"/>
      <c r="G304" s="44"/>
      <c r="H304" s="46" t="str">
        <f>IF($AA304="","",INDEX(Fertilisants!$D$8:$D$47,$AA304)&amp;"")</f>
        <v/>
      </c>
      <c r="I304" s="47"/>
      <c r="J304" s="48"/>
      <c r="K304" s="46" t="str">
        <f>IF($AA304="","",INDEX(Fertilisants!$E$8:$E$47,$AA304)&amp;"")</f>
        <v/>
      </c>
      <c r="L304" s="49" t="str">
        <f t="shared" si="56"/>
        <v/>
      </c>
      <c r="M304" s="50" t="str">
        <f>IF(OR($J304="",$AA304=""),"",$J304*N(INDEX(Fertilisants!$G$8:$G$47,$AA304)))</f>
        <v/>
      </c>
      <c r="N304" s="50" t="str">
        <f>IF(OR($J304="",$AA304=""),"",$J304*N(INDEX(Fertilisants!$I$8:$I$47,$AA304)))</f>
        <v/>
      </c>
      <c r="O304" s="50" t="str">
        <f>IF(OR($J304="",$AA304=""),"",$J304*N(INDEX(Fertilisants!$J$8:$J$47,$AA304)))</f>
        <v/>
      </c>
      <c r="P304" s="50" t="str">
        <f>IF(OR($J304="",$AA304=""),"",$J304*N(INDEX(Fertilisants!$K$8:$K$47,$AA304)))</f>
        <v/>
      </c>
      <c r="Q304" s="50" t="str">
        <f t="shared" si="57"/>
        <v/>
      </c>
      <c r="R304" s="44"/>
      <c r="S304" s="44"/>
      <c r="T304" s="51"/>
      <c r="U304" s="44"/>
      <c r="V304" s="43"/>
      <c r="W304" s="52" t="str">
        <f t="shared" si="58"/>
        <v/>
      </c>
      <c r="X304" s="44"/>
      <c r="Z304" s="53" t="str">
        <f>IF($D304="","",IFERROR(MATCH($D304,Îlots!$D$8:$D$57,0),""))</f>
        <v/>
      </c>
      <c r="AA304" s="53" t="str">
        <f>IF($G304="","",IFERROR(MATCH($G304,Fertilisants!$B$8:$B$47,0),""))</f>
        <v/>
      </c>
      <c r="AB304" s="53" t="str">
        <f>IF($Z304="","",INDEX(Îlots!$E$8:$E$57,$Z304))</f>
        <v/>
      </c>
      <c r="AC304" s="53" t="str">
        <f>IF($Z304="","",INDEX(Îlots!$G$8:$G$57,$Z304)&amp;"")</f>
        <v/>
      </c>
      <c r="AD304" s="53" t="str">
        <f>IF($Z304="","",IF($F304=ApportCouvert,OccCouvert,INDEX(Îlots!$O$8:$O$57,$Z304)&amp;""))</f>
        <v/>
      </c>
      <c r="AE304" s="53" t="str">
        <f t="shared" si="59"/>
        <v/>
      </c>
      <c r="AF304" s="53" t="str">
        <f t="shared" si="60"/>
        <v/>
      </c>
      <c r="AG304" s="53" t="str">
        <f t="shared" si="61"/>
        <v/>
      </c>
      <c r="AH304" s="53">
        <f t="shared" si="62"/>
        <v>0</v>
      </c>
      <c r="AI304" s="53">
        <f t="shared" si="63"/>
        <v>0</v>
      </c>
      <c r="AJ304" s="53">
        <f t="shared" si="64"/>
        <v>0</v>
      </c>
      <c r="AK304" s="53">
        <f t="shared" si="65"/>
        <v>0</v>
      </c>
      <c r="AL304" s="53">
        <f t="shared" si="66"/>
        <v>0</v>
      </c>
      <c r="AM304" s="53">
        <f>IF($AA304="",0,IF(INDEX(Fertilisants!$C$8:$C$47,$AA304)="Effluent d'élevage",1,0))</f>
        <v>0</v>
      </c>
      <c r="AN304" s="53" t="str">
        <f>IF($AA304="","",IF(INDEX(Fertilisants!$C$8:$C$47,$AA304)="Engrais minéral","Minéral","Organique"))</f>
        <v/>
      </c>
      <c r="AO304" s="53" t="str">
        <f t="shared" si="67"/>
        <v/>
      </c>
      <c r="AP304" s="53" t="str">
        <f t="shared" si="68"/>
        <v/>
      </c>
      <c r="AQ304" s="53" t="str">
        <f t="shared" si="69"/>
        <v/>
      </c>
      <c r="AR304" s="53" t="str">
        <f>IF(AND($D304&lt;&gt;"",$D304=FicheIlot),COUNTIF($D$8:$D304,FicheIlot),"")</f>
        <v/>
      </c>
    </row>
    <row r="305" spans="2:44" ht="18.95" customHeight="1" x14ac:dyDescent="0.25">
      <c r="B305" s="42" t="str">
        <f>IF(C305="","",COUNT($C$8:C305))</f>
        <v/>
      </c>
      <c r="C305" s="43"/>
      <c r="D305" s="44"/>
      <c r="E305" s="45" t="str">
        <f>IF($Z305="","",IF($F305=ApportCouvert,INDEX(Îlots!$I$8:$I$57,$Z305)&amp;"",INDEX(Îlots!$N$8:$N$57,$Z305)&amp;""))</f>
        <v/>
      </c>
      <c r="F305" s="44"/>
      <c r="G305" s="44"/>
      <c r="H305" s="46" t="str">
        <f>IF($AA305="","",INDEX(Fertilisants!$D$8:$D$47,$AA305)&amp;"")</f>
        <v/>
      </c>
      <c r="I305" s="47"/>
      <c r="J305" s="48"/>
      <c r="K305" s="46" t="str">
        <f>IF($AA305="","",INDEX(Fertilisants!$E$8:$E$47,$AA305)&amp;"")</f>
        <v/>
      </c>
      <c r="L305" s="49" t="str">
        <f t="shared" si="56"/>
        <v/>
      </c>
      <c r="M305" s="50" t="str">
        <f>IF(OR($J305="",$AA305=""),"",$J305*N(INDEX(Fertilisants!$G$8:$G$47,$AA305)))</f>
        <v/>
      </c>
      <c r="N305" s="50" t="str">
        <f>IF(OR($J305="",$AA305=""),"",$J305*N(INDEX(Fertilisants!$I$8:$I$47,$AA305)))</f>
        <v/>
      </c>
      <c r="O305" s="50" t="str">
        <f>IF(OR($J305="",$AA305=""),"",$J305*N(INDEX(Fertilisants!$J$8:$J$47,$AA305)))</f>
        <v/>
      </c>
      <c r="P305" s="50" t="str">
        <f>IF(OR($J305="",$AA305=""),"",$J305*N(INDEX(Fertilisants!$K$8:$K$47,$AA305)))</f>
        <v/>
      </c>
      <c r="Q305" s="50" t="str">
        <f t="shared" si="57"/>
        <v/>
      </c>
      <c r="R305" s="44"/>
      <c r="S305" s="44"/>
      <c r="T305" s="51"/>
      <c r="U305" s="44"/>
      <c r="V305" s="43"/>
      <c r="W305" s="52" t="str">
        <f t="shared" si="58"/>
        <v/>
      </c>
      <c r="X305" s="44"/>
      <c r="Z305" s="53" t="str">
        <f>IF($D305="","",IFERROR(MATCH($D305,Îlots!$D$8:$D$57,0),""))</f>
        <v/>
      </c>
      <c r="AA305" s="53" t="str">
        <f>IF($G305="","",IFERROR(MATCH($G305,Fertilisants!$B$8:$B$47,0),""))</f>
        <v/>
      </c>
      <c r="AB305" s="53" t="str">
        <f>IF($Z305="","",INDEX(Îlots!$E$8:$E$57,$Z305))</f>
        <v/>
      </c>
      <c r="AC305" s="53" t="str">
        <f>IF($Z305="","",INDEX(Îlots!$G$8:$G$57,$Z305)&amp;"")</f>
        <v/>
      </c>
      <c r="AD305" s="53" t="str">
        <f>IF($Z305="","",IF($F305=ApportCouvert,OccCouvert,INDEX(Îlots!$O$8:$O$57,$Z305)&amp;""))</f>
        <v/>
      </c>
      <c r="AE305" s="53" t="str">
        <f t="shared" si="59"/>
        <v/>
      </c>
      <c r="AF305" s="53" t="str">
        <f t="shared" si="60"/>
        <v/>
      </c>
      <c r="AG305" s="53" t="str">
        <f t="shared" si="61"/>
        <v/>
      </c>
      <c r="AH305" s="53">
        <f t="shared" si="62"/>
        <v>0</v>
      </c>
      <c r="AI305" s="53">
        <f t="shared" si="63"/>
        <v>0</v>
      </c>
      <c r="AJ305" s="53">
        <f t="shared" si="64"/>
        <v>0</v>
      </c>
      <c r="AK305" s="53">
        <f t="shared" si="65"/>
        <v>0</v>
      </c>
      <c r="AL305" s="53">
        <f t="shared" si="66"/>
        <v>0</v>
      </c>
      <c r="AM305" s="53">
        <f>IF($AA305="",0,IF(INDEX(Fertilisants!$C$8:$C$47,$AA305)="Effluent d'élevage",1,0))</f>
        <v>0</v>
      </c>
      <c r="AN305" s="53" t="str">
        <f>IF($AA305="","",IF(INDEX(Fertilisants!$C$8:$C$47,$AA305)="Engrais minéral","Minéral","Organique"))</f>
        <v/>
      </c>
      <c r="AO305" s="53" t="str">
        <f t="shared" si="67"/>
        <v/>
      </c>
      <c r="AP305" s="53" t="str">
        <f t="shared" si="68"/>
        <v/>
      </c>
      <c r="AQ305" s="53" t="str">
        <f t="shared" si="69"/>
        <v/>
      </c>
      <c r="AR305" s="53" t="str">
        <f>IF(AND($D305&lt;&gt;"",$D305=FicheIlot),COUNTIF($D$8:$D305,FicheIlot),"")</f>
        <v/>
      </c>
    </row>
    <row r="306" spans="2:44" ht="18.95" customHeight="1" x14ac:dyDescent="0.25">
      <c r="B306" s="42" t="str">
        <f>IF(C306="","",COUNT($C$8:C306))</f>
        <v/>
      </c>
      <c r="C306" s="43"/>
      <c r="D306" s="44"/>
      <c r="E306" s="45" t="str">
        <f>IF($Z306="","",IF($F306=ApportCouvert,INDEX(Îlots!$I$8:$I$57,$Z306)&amp;"",INDEX(Îlots!$N$8:$N$57,$Z306)&amp;""))</f>
        <v/>
      </c>
      <c r="F306" s="44"/>
      <c r="G306" s="44"/>
      <c r="H306" s="46" t="str">
        <f>IF($AA306="","",INDEX(Fertilisants!$D$8:$D$47,$AA306)&amp;"")</f>
        <v/>
      </c>
      <c r="I306" s="47"/>
      <c r="J306" s="48"/>
      <c r="K306" s="46" t="str">
        <f>IF($AA306="","",INDEX(Fertilisants!$E$8:$E$47,$AA306)&amp;"")</f>
        <v/>
      </c>
      <c r="L306" s="49" t="str">
        <f t="shared" si="56"/>
        <v/>
      </c>
      <c r="M306" s="50" t="str">
        <f>IF(OR($J306="",$AA306=""),"",$J306*N(INDEX(Fertilisants!$G$8:$G$47,$AA306)))</f>
        <v/>
      </c>
      <c r="N306" s="50" t="str">
        <f>IF(OR($J306="",$AA306=""),"",$J306*N(INDEX(Fertilisants!$I$8:$I$47,$AA306)))</f>
        <v/>
      </c>
      <c r="O306" s="50" t="str">
        <f>IF(OR($J306="",$AA306=""),"",$J306*N(INDEX(Fertilisants!$J$8:$J$47,$AA306)))</f>
        <v/>
      </c>
      <c r="P306" s="50" t="str">
        <f>IF(OR($J306="",$AA306=""),"",$J306*N(INDEX(Fertilisants!$K$8:$K$47,$AA306)))</f>
        <v/>
      </c>
      <c r="Q306" s="50" t="str">
        <f t="shared" si="57"/>
        <v/>
      </c>
      <c r="R306" s="44"/>
      <c r="S306" s="44"/>
      <c r="T306" s="51"/>
      <c r="U306" s="44"/>
      <c r="V306" s="43"/>
      <c r="W306" s="52" t="str">
        <f t="shared" si="58"/>
        <v/>
      </c>
      <c r="X306" s="44"/>
      <c r="Z306" s="53" t="str">
        <f>IF($D306="","",IFERROR(MATCH($D306,Îlots!$D$8:$D$57,0),""))</f>
        <v/>
      </c>
      <c r="AA306" s="53" t="str">
        <f>IF($G306="","",IFERROR(MATCH($G306,Fertilisants!$B$8:$B$47,0),""))</f>
        <v/>
      </c>
      <c r="AB306" s="53" t="str">
        <f>IF($Z306="","",INDEX(Îlots!$E$8:$E$57,$Z306))</f>
        <v/>
      </c>
      <c r="AC306" s="53" t="str">
        <f>IF($Z306="","",INDEX(Îlots!$G$8:$G$57,$Z306)&amp;"")</f>
        <v/>
      </c>
      <c r="AD306" s="53" t="str">
        <f>IF($Z306="","",IF($F306=ApportCouvert,OccCouvert,INDEX(Îlots!$O$8:$O$57,$Z306)&amp;""))</f>
        <v/>
      </c>
      <c r="AE306" s="53" t="str">
        <f t="shared" si="59"/>
        <v/>
      </c>
      <c r="AF306" s="53" t="str">
        <f t="shared" si="60"/>
        <v/>
      </c>
      <c r="AG306" s="53" t="str">
        <f t="shared" si="61"/>
        <v/>
      </c>
      <c r="AH306" s="53">
        <f t="shared" si="62"/>
        <v>0</v>
      </c>
      <c r="AI306" s="53">
        <f t="shared" si="63"/>
        <v>0</v>
      </c>
      <c r="AJ306" s="53">
        <f t="shared" si="64"/>
        <v>0</v>
      </c>
      <c r="AK306" s="53">
        <f t="shared" si="65"/>
        <v>0</v>
      </c>
      <c r="AL306" s="53">
        <f t="shared" si="66"/>
        <v>0</v>
      </c>
      <c r="AM306" s="53">
        <f>IF($AA306="",0,IF(INDEX(Fertilisants!$C$8:$C$47,$AA306)="Effluent d'élevage",1,0))</f>
        <v>0</v>
      </c>
      <c r="AN306" s="53" t="str">
        <f>IF($AA306="","",IF(INDEX(Fertilisants!$C$8:$C$47,$AA306)="Engrais minéral","Minéral","Organique"))</f>
        <v/>
      </c>
      <c r="AO306" s="53" t="str">
        <f t="shared" si="67"/>
        <v/>
      </c>
      <c r="AP306" s="53" t="str">
        <f t="shared" si="68"/>
        <v/>
      </c>
      <c r="AQ306" s="53" t="str">
        <f t="shared" si="69"/>
        <v/>
      </c>
      <c r="AR306" s="53" t="str">
        <f>IF(AND($D306&lt;&gt;"",$D306=FicheIlot),COUNTIF($D$8:$D306,FicheIlot),"")</f>
        <v/>
      </c>
    </row>
    <row r="307" spans="2:44" ht="18.95" customHeight="1" x14ac:dyDescent="0.25">
      <c r="B307" s="42" t="str">
        <f>IF(C307="","",COUNT($C$8:C307))</f>
        <v/>
      </c>
      <c r="C307" s="43"/>
      <c r="D307" s="44"/>
      <c r="E307" s="45" t="str">
        <f>IF($Z307="","",IF($F307=ApportCouvert,INDEX(Îlots!$I$8:$I$57,$Z307)&amp;"",INDEX(Îlots!$N$8:$N$57,$Z307)&amp;""))</f>
        <v/>
      </c>
      <c r="F307" s="44"/>
      <c r="G307" s="44"/>
      <c r="H307" s="46" t="str">
        <f>IF($AA307="","",INDEX(Fertilisants!$D$8:$D$47,$AA307)&amp;"")</f>
        <v/>
      </c>
      <c r="I307" s="47"/>
      <c r="J307" s="48"/>
      <c r="K307" s="46" t="str">
        <f>IF($AA307="","",INDEX(Fertilisants!$E$8:$E$47,$AA307)&amp;"")</f>
        <v/>
      </c>
      <c r="L307" s="49" t="str">
        <f t="shared" si="56"/>
        <v/>
      </c>
      <c r="M307" s="50" t="str">
        <f>IF(OR($J307="",$AA307=""),"",$J307*N(INDEX(Fertilisants!$G$8:$G$47,$AA307)))</f>
        <v/>
      </c>
      <c r="N307" s="50" t="str">
        <f>IF(OR($J307="",$AA307=""),"",$J307*N(INDEX(Fertilisants!$I$8:$I$47,$AA307)))</f>
        <v/>
      </c>
      <c r="O307" s="50" t="str">
        <f>IF(OR($J307="",$AA307=""),"",$J307*N(INDEX(Fertilisants!$J$8:$J$47,$AA307)))</f>
        <v/>
      </c>
      <c r="P307" s="50" t="str">
        <f>IF(OR($J307="",$AA307=""),"",$J307*N(INDEX(Fertilisants!$K$8:$K$47,$AA307)))</f>
        <v/>
      </c>
      <c r="Q307" s="50" t="str">
        <f t="shared" si="57"/>
        <v/>
      </c>
      <c r="R307" s="44"/>
      <c r="S307" s="44"/>
      <c r="T307" s="51"/>
      <c r="U307" s="44"/>
      <c r="V307" s="43"/>
      <c r="W307" s="52" t="str">
        <f t="shared" si="58"/>
        <v/>
      </c>
      <c r="X307" s="44"/>
      <c r="Z307" s="53" t="str">
        <f>IF($D307="","",IFERROR(MATCH($D307,Îlots!$D$8:$D$57,0),""))</f>
        <v/>
      </c>
      <c r="AA307" s="53" t="str">
        <f>IF($G307="","",IFERROR(MATCH($G307,Fertilisants!$B$8:$B$47,0),""))</f>
        <v/>
      </c>
      <c r="AB307" s="53" t="str">
        <f>IF($Z307="","",INDEX(Îlots!$E$8:$E$57,$Z307))</f>
        <v/>
      </c>
      <c r="AC307" s="53" t="str">
        <f>IF($Z307="","",INDEX(Îlots!$G$8:$G$57,$Z307)&amp;"")</f>
        <v/>
      </c>
      <c r="AD307" s="53" t="str">
        <f>IF($Z307="","",IF($F307=ApportCouvert,OccCouvert,INDEX(Îlots!$O$8:$O$57,$Z307)&amp;""))</f>
        <v/>
      </c>
      <c r="AE307" s="53" t="str">
        <f t="shared" si="59"/>
        <v/>
      </c>
      <c r="AF307" s="53" t="str">
        <f t="shared" si="60"/>
        <v/>
      </c>
      <c r="AG307" s="53" t="str">
        <f t="shared" si="61"/>
        <v/>
      </c>
      <c r="AH307" s="53">
        <f t="shared" si="62"/>
        <v>0</v>
      </c>
      <c r="AI307" s="53">
        <f t="shared" si="63"/>
        <v>0</v>
      </c>
      <c r="AJ307" s="53">
        <f t="shared" si="64"/>
        <v>0</v>
      </c>
      <c r="AK307" s="53">
        <f t="shared" si="65"/>
        <v>0</v>
      </c>
      <c r="AL307" s="53">
        <f t="shared" si="66"/>
        <v>0</v>
      </c>
      <c r="AM307" s="53">
        <f>IF($AA307="",0,IF(INDEX(Fertilisants!$C$8:$C$47,$AA307)="Effluent d'élevage",1,0))</f>
        <v>0</v>
      </c>
      <c r="AN307" s="53" t="str">
        <f>IF($AA307="","",IF(INDEX(Fertilisants!$C$8:$C$47,$AA307)="Engrais minéral","Minéral","Organique"))</f>
        <v/>
      </c>
      <c r="AO307" s="53" t="str">
        <f t="shared" si="67"/>
        <v/>
      </c>
      <c r="AP307" s="53" t="str">
        <f t="shared" si="68"/>
        <v/>
      </c>
      <c r="AQ307" s="53" t="str">
        <f t="shared" si="69"/>
        <v/>
      </c>
      <c r="AR307" s="53" t="str">
        <f>IF(AND($D307&lt;&gt;"",$D307=FicheIlot),COUNTIF($D$8:$D307,FicheIlot),"")</f>
        <v/>
      </c>
    </row>
    <row r="308" spans="2:44" ht="18.95" customHeight="1" x14ac:dyDescent="0.25">
      <c r="B308" s="42" t="str">
        <f>IF(C308="","",COUNT($C$8:C308))</f>
        <v/>
      </c>
      <c r="C308" s="43"/>
      <c r="D308" s="44"/>
      <c r="E308" s="45" t="str">
        <f>IF($Z308="","",IF($F308=ApportCouvert,INDEX(Îlots!$I$8:$I$57,$Z308)&amp;"",INDEX(Îlots!$N$8:$N$57,$Z308)&amp;""))</f>
        <v/>
      </c>
      <c r="F308" s="44"/>
      <c r="G308" s="44"/>
      <c r="H308" s="46" t="str">
        <f>IF($AA308="","",INDEX(Fertilisants!$D$8:$D$47,$AA308)&amp;"")</f>
        <v/>
      </c>
      <c r="I308" s="47"/>
      <c r="J308" s="48"/>
      <c r="K308" s="46" t="str">
        <f>IF($AA308="","",INDEX(Fertilisants!$E$8:$E$47,$AA308)&amp;"")</f>
        <v/>
      </c>
      <c r="L308" s="49" t="str">
        <f t="shared" si="56"/>
        <v/>
      </c>
      <c r="M308" s="50" t="str">
        <f>IF(OR($J308="",$AA308=""),"",$J308*N(INDEX(Fertilisants!$G$8:$G$47,$AA308)))</f>
        <v/>
      </c>
      <c r="N308" s="50" t="str">
        <f>IF(OR($J308="",$AA308=""),"",$J308*N(INDEX(Fertilisants!$I$8:$I$47,$AA308)))</f>
        <v/>
      </c>
      <c r="O308" s="50" t="str">
        <f>IF(OR($J308="",$AA308=""),"",$J308*N(INDEX(Fertilisants!$J$8:$J$47,$AA308)))</f>
        <v/>
      </c>
      <c r="P308" s="50" t="str">
        <f>IF(OR($J308="",$AA308=""),"",$J308*N(INDEX(Fertilisants!$K$8:$K$47,$AA308)))</f>
        <v/>
      </c>
      <c r="Q308" s="50" t="str">
        <f t="shared" si="57"/>
        <v/>
      </c>
      <c r="R308" s="44"/>
      <c r="S308" s="44"/>
      <c r="T308" s="51"/>
      <c r="U308" s="44"/>
      <c r="V308" s="43"/>
      <c r="W308" s="52" t="str">
        <f t="shared" si="58"/>
        <v/>
      </c>
      <c r="X308" s="44"/>
      <c r="Z308" s="53" t="str">
        <f>IF($D308="","",IFERROR(MATCH($D308,Îlots!$D$8:$D$57,0),""))</f>
        <v/>
      </c>
      <c r="AA308" s="53" t="str">
        <f>IF($G308="","",IFERROR(MATCH($G308,Fertilisants!$B$8:$B$47,0),""))</f>
        <v/>
      </c>
      <c r="AB308" s="53" t="str">
        <f>IF($Z308="","",INDEX(Îlots!$E$8:$E$57,$Z308))</f>
        <v/>
      </c>
      <c r="AC308" s="53" t="str">
        <f>IF($Z308="","",INDEX(Îlots!$G$8:$G$57,$Z308)&amp;"")</f>
        <v/>
      </c>
      <c r="AD308" s="53" t="str">
        <f>IF($Z308="","",IF($F308=ApportCouvert,OccCouvert,INDEX(Îlots!$O$8:$O$57,$Z308)&amp;""))</f>
        <v/>
      </c>
      <c r="AE308" s="53" t="str">
        <f t="shared" si="59"/>
        <v/>
      </c>
      <c r="AF308" s="53" t="str">
        <f t="shared" si="60"/>
        <v/>
      </c>
      <c r="AG308" s="53" t="str">
        <f t="shared" si="61"/>
        <v/>
      </c>
      <c r="AH308" s="53">
        <f t="shared" si="62"/>
        <v>0</v>
      </c>
      <c r="AI308" s="53">
        <f t="shared" si="63"/>
        <v>0</v>
      </c>
      <c r="AJ308" s="53">
        <f t="shared" si="64"/>
        <v>0</v>
      </c>
      <c r="AK308" s="53">
        <f t="shared" si="65"/>
        <v>0</v>
      </c>
      <c r="AL308" s="53">
        <f t="shared" si="66"/>
        <v>0</v>
      </c>
      <c r="AM308" s="53">
        <f>IF($AA308="",0,IF(INDEX(Fertilisants!$C$8:$C$47,$AA308)="Effluent d'élevage",1,0))</f>
        <v>0</v>
      </c>
      <c r="AN308" s="53" t="str">
        <f>IF($AA308="","",IF(INDEX(Fertilisants!$C$8:$C$47,$AA308)="Engrais minéral","Minéral","Organique"))</f>
        <v/>
      </c>
      <c r="AO308" s="53" t="str">
        <f t="shared" si="67"/>
        <v/>
      </c>
      <c r="AP308" s="53" t="str">
        <f t="shared" si="68"/>
        <v/>
      </c>
      <c r="AQ308" s="53" t="str">
        <f t="shared" si="69"/>
        <v/>
      </c>
      <c r="AR308" s="53" t="str">
        <f>IF(AND($D308&lt;&gt;"",$D308=FicheIlot),COUNTIF($D$8:$D308,FicheIlot),"")</f>
        <v/>
      </c>
    </row>
    <row r="309" spans="2:44" ht="18.95" customHeight="1" x14ac:dyDescent="0.25">
      <c r="B309" s="42" t="str">
        <f>IF(C309="","",COUNT($C$8:C309))</f>
        <v/>
      </c>
      <c r="C309" s="43"/>
      <c r="D309" s="44"/>
      <c r="E309" s="45" t="str">
        <f>IF($Z309="","",IF($F309=ApportCouvert,INDEX(Îlots!$I$8:$I$57,$Z309)&amp;"",INDEX(Îlots!$N$8:$N$57,$Z309)&amp;""))</f>
        <v/>
      </c>
      <c r="F309" s="44"/>
      <c r="G309" s="44"/>
      <c r="H309" s="46" t="str">
        <f>IF($AA309="","",INDEX(Fertilisants!$D$8:$D$47,$AA309)&amp;"")</f>
        <v/>
      </c>
      <c r="I309" s="47"/>
      <c r="J309" s="48"/>
      <c r="K309" s="46" t="str">
        <f>IF($AA309="","",INDEX(Fertilisants!$E$8:$E$47,$AA309)&amp;"")</f>
        <v/>
      </c>
      <c r="L309" s="49" t="str">
        <f t="shared" si="56"/>
        <v/>
      </c>
      <c r="M309" s="50" t="str">
        <f>IF(OR($J309="",$AA309=""),"",$J309*N(INDEX(Fertilisants!$G$8:$G$47,$AA309)))</f>
        <v/>
      </c>
      <c r="N309" s="50" t="str">
        <f>IF(OR($J309="",$AA309=""),"",$J309*N(INDEX(Fertilisants!$I$8:$I$47,$AA309)))</f>
        <v/>
      </c>
      <c r="O309" s="50" t="str">
        <f>IF(OR($J309="",$AA309=""),"",$J309*N(INDEX(Fertilisants!$J$8:$J$47,$AA309)))</f>
        <v/>
      </c>
      <c r="P309" s="50" t="str">
        <f>IF(OR($J309="",$AA309=""),"",$J309*N(INDEX(Fertilisants!$K$8:$K$47,$AA309)))</f>
        <v/>
      </c>
      <c r="Q309" s="50" t="str">
        <f t="shared" si="57"/>
        <v/>
      </c>
      <c r="R309" s="44"/>
      <c r="S309" s="44"/>
      <c r="T309" s="51"/>
      <c r="U309" s="44"/>
      <c r="V309" s="43"/>
      <c r="W309" s="52" t="str">
        <f t="shared" si="58"/>
        <v/>
      </c>
      <c r="X309" s="44"/>
      <c r="Z309" s="53" t="str">
        <f>IF($D309="","",IFERROR(MATCH($D309,Îlots!$D$8:$D$57,0),""))</f>
        <v/>
      </c>
      <c r="AA309" s="53" t="str">
        <f>IF($G309="","",IFERROR(MATCH($G309,Fertilisants!$B$8:$B$47,0),""))</f>
        <v/>
      </c>
      <c r="AB309" s="53" t="str">
        <f>IF($Z309="","",INDEX(Îlots!$E$8:$E$57,$Z309))</f>
        <v/>
      </c>
      <c r="AC309" s="53" t="str">
        <f>IF($Z309="","",INDEX(Îlots!$G$8:$G$57,$Z309)&amp;"")</f>
        <v/>
      </c>
      <c r="AD309" s="53" t="str">
        <f>IF($Z309="","",IF($F309=ApportCouvert,OccCouvert,INDEX(Îlots!$O$8:$O$57,$Z309)&amp;""))</f>
        <v/>
      </c>
      <c r="AE309" s="53" t="str">
        <f t="shared" si="59"/>
        <v/>
      </c>
      <c r="AF309" s="53" t="str">
        <f t="shared" si="60"/>
        <v/>
      </c>
      <c r="AG309" s="53" t="str">
        <f t="shared" si="61"/>
        <v/>
      </c>
      <c r="AH309" s="53">
        <f t="shared" si="62"/>
        <v>0</v>
      </c>
      <c r="AI309" s="53">
        <f t="shared" si="63"/>
        <v>0</v>
      </c>
      <c r="AJ309" s="53">
        <f t="shared" si="64"/>
        <v>0</v>
      </c>
      <c r="AK309" s="53">
        <f t="shared" si="65"/>
        <v>0</v>
      </c>
      <c r="AL309" s="53">
        <f t="shared" si="66"/>
        <v>0</v>
      </c>
      <c r="AM309" s="53">
        <f>IF($AA309="",0,IF(INDEX(Fertilisants!$C$8:$C$47,$AA309)="Effluent d'élevage",1,0))</f>
        <v>0</v>
      </c>
      <c r="AN309" s="53" t="str">
        <f>IF($AA309="","",IF(INDEX(Fertilisants!$C$8:$C$47,$AA309)="Engrais minéral","Minéral","Organique"))</f>
        <v/>
      </c>
      <c r="AO309" s="53" t="str">
        <f t="shared" si="67"/>
        <v/>
      </c>
      <c r="AP309" s="53" t="str">
        <f t="shared" si="68"/>
        <v/>
      </c>
      <c r="AQ309" s="53" t="str">
        <f t="shared" si="69"/>
        <v/>
      </c>
      <c r="AR309" s="53" t="str">
        <f>IF(AND($D309&lt;&gt;"",$D309=FicheIlot),COUNTIF($D$8:$D309,FicheIlot),"")</f>
        <v/>
      </c>
    </row>
    <row r="310" spans="2:44" ht="18.95" customHeight="1" x14ac:dyDescent="0.25">
      <c r="B310" s="42" t="str">
        <f>IF(C310="","",COUNT($C$8:C310))</f>
        <v/>
      </c>
      <c r="C310" s="43"/>
      <c r="D310" s="44"/>
      <c r="E310" s="45" t="str">
        <f>IF($Z310="","",IF($F310=ApportCouvert,INDEX(Îlots!$I$8:$I$57,$Z310)&amp;"",INDEX(Îlots!$N$8:$N$57,$Z310)&amp;""))</f>
        <v/>
      </c>
      <c r="F310" s="44"/>
      <c r="G310" s="44"/>
      <c r="H310" s="46" t="str">
        <f>IF($AA310="","",INDEX(Fertilisants!$D$8:$D$47,$AA310)&amp;"")</f>
        <v/>
      </c>
      <c r="I310" s="47"/>
      <c r="J310" s="48"/>
      <c r="K310" s="46" t="str">
        <f>IF($AA310="","",INDEX(Fertilisants!$E$8:$E$47,$AA310)&amp;"")</f>
        <v/>
      </c>
      <c r="L310" s="49" t="str">
        <f t="shared" si="56"/>
        <v/>
      </c>
      <c r="M310" s="50" t="str">
        <f>IF(OR($J310="",$AA310=""),"",$J310*N(INDEX(Fertilisants!$G$8:$G$47,$AA310)))</f>
        <v/>
      </c>
      <c r="N310" s="50" t="str">
        <f>IF(OR($J310="",$AA310=""),"",$J310*N(INDEX(Fertilisants!$I$8:$I$47,$AA310)))</f>
        <v/>
      </c>
      <c r="O310" s="50" t="str">
        <f>IF(OR($J310="",$AA310=""),"",$J310*N(INDEX(Fertilisants!$J$8:$J$47,$AA310)))</f>
        <v/>
      </c>
      <c r="P310" s="50" t="str">
        <f>IF(OR($J310="",$AA310=""),"",$J310*N(INDEX(Fertilisants!$K$8:$K$47,$AA310)))</f>
        <v/>
      </c>
      <c r="Q310" s="50" t="str">
        <f t="shared" si="57"/>
        <v/>
      </c>
      <c r="R310" s="44"/>
      <c r="S310" s="44"/>
      <c r="T310" s="51"/>
      <c r="U310" s="44"/>
      <c r="V310" s="43"/>
      <c r="W310" s="52" t="str">
        <f t="shared" si="58"/>
        <v/>
      </c>
      <c r="X310" s="44"/>
      <c r="Z310" s="53" t="str">
        <f>IF($D310="","",IFERROR(MATCH($D310,Îlots!$D$8:$D$57,0),""))</f>
        <v/>
      </c>
      <c r="AA310" s="53" t="str">
        <f>IF($G310="","",IFERROR(MATCH($G310,Fertilisants!$B$8:$B$47,0),""))</f>
        <v/>
      </c>
      <c r="AB310" s="53" t="str">
        <f>IF($Z310="","",INDEX(Îlots!$E$8:$E$57,$Z310))</f>
        <v/>
      </c>
      <c r="AC310" s="53" t="str">
        <f>IF($Z310="","",INDEX(Îlots!$G$8:$G$57,$Z310)&amp;"")</f>
        <v/>
      </c>
      <c r="AD310" s="53" t="str">
        <f>IF($Z310="","",IF($F310=ApportCouvert,OccCouvert,INDEX(Îlots!$O$8:$O$57,$Z310)&amp;""))</f>
        <v/>
      </c>
      <c r="AE310" s="53" t="str">
        <f t="shared" si="59"/>
        <v/>
      </c>
      <c r="AF310" s="53" t="str">
        <f t="shared" si="60"/>
        <v/>
      </c>
      <c r="AG310" s="53" t="str">
        <f t="shared" si="61"/>
        <v/>
      </c>
      <c r="AH310" s="53">
        <f t="shared" si="62"/>
        <v>0</v>
      </c>
      <c r="AI310" s="53">
        <f t="shared" si="63"/>
        <v>0</v>
      </c>
      <c r="AJ310" s="53">
        <f t="shared" si="64"/>
        <v>0</v>
      </c>
      <c r="AK310" s="53">
        <f t="shared" si="65"/>
        <v>0</v>
      </c>
      <c r="AL310" s="53">
        <f t="shared" si="66"/>
        <v>0</v>
      </c>
      <c r="AM310" s="53">
        <f>IF($AA310="",0,IF(INDEX(Fertilisants!$C$8:$C$47,$AA310)="Effluent d'élevage",1,0))</f>
        <v>0</v>
      </c>
      <c r="AN310" s="53" t="str">
        <f>IF($AA310="","",IF(INDEX(Fertilisants!$C$8:$C$47,$AA310)="Engrais minéral","Minéral","Organique"))</f>
        <v/>
      </c>
      <c r="AO310" s="53" t="str">
        <f t="shared" si="67"/>
        <v/>
      </c>
      <c r="AP310" s="53" t="str">
        <f t="shared" si="68"/>
        <v/>
      </c>
      <c r="AQ310" s="53" t="str">
        <f t="shared" si="69"/>
        <v/>
      </c>
      <c r="AR310" s="53" t="str">
        <f>IF(AND($D310&lt;&gt;"",$D310=FicheIlot),COUNTIF($D$8:$D310,FicheIlot),"")</f>
        <v/>
      </c>
    </row>
    <row r="311" spans="2:44" ht="18.95" customHeight="1" x14ac:dyDescent="0.25">
      <c r="B311" s="42" t="str">
        <f>IF(C311="","",COUNT($C$8:C311))</f>
        <v/>
      </c>
      <c r="C311" s="43"/>
      <c r="D311" s="44"/>
      <c r="E311" s="45" t="str">
        <f>IF($Z311="","",IF($F311=ApportCouvert,INDEX(Îlots!$I$8:$I$57,$Z311)&amp;"",INDEX(Îlots!$N$8:$N$57,$Z311)&amp;""))</f>
        <v/>
      </c>
      <c r="F311" s="44"/>
      <c r="G311" s="44"/>
      <c r="H311" s="46" t="str">
        <f>IF($AA311="","",INDEX(Fertilisants!$D$8:$D$47,$AA311)&amp;"")</f>
        <v/>
      </c>
      <c r="I311" s="47"/>
      <c r="J311" s="48"/>
      <c r="K311" s="46" t="str">
        <f>IF($AA311="","",INDEX(Fertilisants!$E$8:$E$47,$AA311)&amp;"")</f>
        <v/>
      </c>
      <c r="L311" s="49" t="str">
        <f t="shared" si="56"/>
        <v/>
      </c>
      <c r="M311" s="50" t="str">
        <f>IF(OR($J311="",$AA311=""),"",$J311*N(INDEX(Fertilisants!$G$8:$G$47,$AA311)))</f>
        <v/>
      </c>
      <c r="N311" s="50" t="str">
        <f>IF(OR($J311="",$AA311=""),"",$J311*N(INDEX(Fertilisants!$I$8:$I$47,$AA311)))</f>
        <v/>
      </c>
      <c r="O311" s="50" t="str">
        <f>IF(OR($J311="",$AA311=""),"",$J311*N(INDEX(Fertilisants!$J$8:$J$47,$AA311)))</f>
        <v/>
      </c>
      <c r="P311" s="50" t="str">
        <f>IF(OR($J311="",$AA311=""),"",$J311*N(INDEX(Fertilisants!$K$8:$K$47,$AA311)))</f>
        <v/>
      </c>
      <c r="Q311" s="50" t="str">
        <f t="shared" si="57"/>
        <v/>
      </c>
      <c r="R311" s="44"/>
      <c r="S311" s="44"/>
      <c r="T311" s="51"/>
      <c r="U311" s="44"/>
      <c r="V311" s="43"/>
      <c r="W311" s="52" t="str">
        <f t="shared" si="58"/>
        <v/>
      </c>
      <c r="X311" s="44"/>
      <c r="Z311" s="53" t="str">
        <f>IF($D311="","",IFERROR(MATCH($D311,Îlots!$D$8:$D$57,0),""))</f>
        <v/>
      </c>
      <c r="AA311" s="53" t="str">
        <f>IF($G311="","",IFERROR(MATCH($G311,Fertilisants!$B$8:$B$47,0),""))</f>
        <v/>
      </c>
      <c r="AB311" s="53" t="str">
        <f>IF($Z311="","",INDEX(Îlots!$E$8:$E$57,$Z311))</f>
        <v/>
      </c>
      <c r="AC311" s="53" t="str">
        <f>IF($Z311="","",INDEX(Îlots!$G$8:$G$57,$Z311)&amp;"")</f>
        <v/>
      </c>
      <c r="AD311" s="53" t="str">
        <f>IF($Z311="","",IF($F311=ApportCouvert,OccCouvert,INDEX(Îlots!$O$8:$O$57,$Z311)&amp;""))</f>
        <v/>
      </c>
      <c r="AE311" s="53" t="str">
        <f t="shared" si="59"/>
        <v/>
      </c>
      <c r="AF311" s="53" t="str">
        <f t="shared" si="60"/>
        <v/>
      </c>
      <c r="AG311" s="53" t="str">
        <f t="shared" si="61"/>
        <v/>
      </c>
      <c r="AH311" s="53">
        <f t="shared" si="62"/>
        <v>0</v>
      </c>
      <c r="AI311" s="53">
        <f t="shared" si="63"/>
        <v>0</v>
      </c>
      <c r="AJ311" s="53">
        <f t="shared" si="64"/>
        <v>0</v>
      </c>
      <c r="AK311" s="53">
        <f t="shared" si="65"/>
        <v>0</v>
      </c>
      <c r="AL311" s="53">
        <f t="shared" si="66"/>
        <v>0</v>
      </c>
      <c r="AM311" s="53">
        <f>IF($AA311="",0,IF(INDEX(Fertilisants!$C$8:$C$47,$AA311)="Effluent d'élevage",1,0))</f>
        <v>0</v>
      </c>
      <c r="AN311" s="53" t="str">
        <f>IF($AA311="","",IF(INDEX(Fertilisants!$C$8:$C$47,$AA311)="Engrais minéral","Minéral","Organique"))</f>
        <v/>
      </c>
      <c r="AO311" s="53" t="str">
        <f t="shared" si="67"/>
        <v/>
      </c>
      <c r="AP311" s="53" t="str">
        <f t="shared" si="68"/>
        <v/>
      </c>
      <c r="AQ311" s="53" t="str">
        <f t="shared" si="69"/>
        <v/>
      </c>
      <c r="AR311" s="53" t="str">
        <f>IF(AND($D311&lt;&gt;"",$D311=FicheIlot),COUNTIF($D$8:$D311,FicheIlot),"")</f>
        <v/>
      </c>
    </row>
    <row r="312" spans="2:44" ht="18.95" customHeight="1" x14ac:dyDescent="0.25">
      <c r="B312" s="42" t="str">
        <f>IF(C312="","",COUNT($C$8:C312))</f>
        <v/>
      </c>
      <c r="C312" s="43"/>
      <c r="D312" s="44"/>
      <c r="E312" s="45" t="str">
        <f>IF($Z312="","",IF($F312=ApportCouvert,INDEX(Îlots!$I$8:$I$57,$Z312)&amp;"",INDEX(Îlots!$N$8:$N$57,$Z312)&amp;""))</f>
        <v/>
      </c>
      <c r="F312" s="44"/>
      <c r="G312" s="44"/>
      <c r="H312" s="46" t="str">
        <f>IF($AA312="","",INDEX(Fertilisants!$D$8:$D$47,$AA312)&amp;"")</f>
        <v/>
      </c>
      <c r="I312" s="47"/>
      <c r="J312" s="48"/>
      <c r="K312" s="46" t="str">
        <f>IF($AA312="","",INDEX(Fertilisants!$E$8:$E$47,$AA312)&amp;"")</f>
        <v/>
      </c>
      <c r="L312" s="49" t="str">
        <f t="shared" si="56"/>
        <v/>
      </c>
      <c r="M312" s="50" t="str">
        <f>IF(OR($J312="",$AA312=""),"",$J312*N(INDEX(Fertilisants!$G$8:$G$47,$AA312)))</f>
        <v/>
      </c>
      <c r="N312" s="50" t="str">
        <f>IF(OR($J312="",$AA312=""),"",$J312*N(INDEX(Fertilisants!$I$8:$I$47,$AA312)))</f>
        <v/>
      </c>
      <c r="O312" s="50" t="str">
        <f>IF(OR($J312="",$AA312=""),"",$J312*N(INDEX(Fertilisants!$J$8:$J$47,$AA312)))</f>
        <v/>
      </c>
      <c r="P312" s="50" t="str">
        <f>IF(OR($J312="",$AA312=""),"",$J312*N(INDEX(Fertilisants!$K$8:$K$47,$AA312)))</f>
        <v/>
      </c>
      <c r="Q312" s="50" t="str">
        <f t="shared" si="57"/>
        <v/>
      </c>
      <c r="R312" s="44"/>
      <c r="S312" s="44"/>
      <c r="T312" s="51"/>
      <c r="U312" s="44"/>
      <c r="V312" s="43"/>
      <c r="W312" s="52" t="str">
        <f t="shared" si="58"/>
        <v/>
      </c>
      <c r="X312" s="44"/>
      <c r="Z312" s="53" t="str">
        <f>IF($D312="","",IFERROR(MATCH($D312,Îlots!$D$8:$D$57,0),""))</f>
        <v/>
      </c>
      <c r="AA312" s="53" t="str">
        <f>IF($G312="","",IFERROR(MATCH($G312,Fertilisants!$B$8:$B$47,0),""))</f>
        <v/>
      </c>
      <c r="AB312" s="53" t="str">
        <f>IF($Z312="","",INDEX(Îlots!$E$8:$E$57,$Z312))</f>
        <v/>
      </c>
      <c r="AC312" s="53" t="str">
        <f>IF($Z312="","",INDEX(Îlots!$G$8:$G$57,$Z312)&amp;"")</f>
        <v/>
      </c>
      <c r="AD312" s="53" t="str">
        <f>IF($Z312="","",IF($F312=ApportCouvert,OccCouvert,INDEX(Îlots!$O$8:$O$57,$Z312)&amp;""))</f>
        <v/>
      </c>
      <c r="AE312" s="53" t="str">
        <f t="shared" si="59"/>
        <v/>
      </c>
      <c r="AF312" s="53" t="str">
        <f t="shared" si="60"/>
        <v/>
      </c>
      <c r="AG312" s="53" t="str">
        <f t="shared" si="61"/>
        <v/>
      </c>
      <c r="AH312" s="53">
        <f t="shared" si="62"/>
        <v>0</v>
      </c>
      <c r="AI312" s="53">
        <f t="shared" si="63"/>
        <v>0</v>
      </c>
      <c r="AJ312" s="53">
        <f t="shared" si="64"/>
        <v>0</v>
      </c>
      <c r="AK312" s="53">
        <f t="shared" si="65"/>
        <v>0</v>
      </c>
      <c r="AL312" s="53">
        <f t="shared" si="66"/>
        <v>0</v>
      </c>
      <c r="AM312" s="53">
        <f>IF($AA312="",0,IF(INDEX(Fertilisants!$C$8:$C$47,$AA312)="Effluent d'élevage",1,0))</f>
        <v>0</v>
      </c>
      <c r="AN312" s="53" t="str">
        <f>IF($AA312="","",IF(INDEX(Fertilisants!$C$8:$C$47,$AA312)="Engrais minéral","Minéral","Organique"))</f>
        <v/>
      </c>
      <c r="AO312" s="53" t="str">
        <f t="shared" si="67"/>
        <v/>
      </c>
      <c r="AP312" s="53" t="str">
        <f t="shared" si="68"/>
        <v/>
      </c>
      <c r="AQ312" s="53" t="str">
        <f t="shared" si="69"/>
        <v/>
      </c>
      <c r="AR312" s="53" t="str">
        <f>IF(AND($D312&lt;&gt;"",$D312=FicheIlot),COUNTIF($D$8:$D312,FicheIlot),"")</f>
        <v/>
      </c>
    </row>
    <row r="313" spans="2:44" ht="18.95" customHeight="1" x14ac:dyDescent="0.25">
      <c r="B313" s="42" t="str">
        <f>IF(C313="","",COUNT($C$8:C313))</f>
        <v/>
      </c>
      <c r="C313" s="43"/>
      <c r="D313" s="44"/>
      <c r="E313" s="45" t="str">
        <f>IF($Z313="","",IF($F313=ApportCouvert,INDEX(Îlots!$I$8:$I$57,$Z313)&amp;"",INDEX(Îlots!$N$8:$N$57,$Z313)&amp;""))</f>
        <v/>
      </c>
      <c r="F313" s="44"/>
      <c r="G313" s="44"/>
      <c r="H313" s="46" t="str">
        <f>IF($AA313="","",INDEX(Fertilisants!$D$8:$D$47,$AA313)&amp;"")</f>
        <v/>
      </c>
      <c r="I313" s="47"/>
      <c r="J313" s="48"/>
      <c r="K313" s="46" t="str">
        <f>IF($AA313="","",INDEX(Fertilisants!$E$8:$E$47,$AA313)&amp;"")</f>
        <v/>
      </c>
      <c r="L313" s="49" t="str">
        <f t="shared" si="56"/>
        <v/>
      </c>
      <c r="M313" s="50" t="str">
        <f>IF(OR($J313="",$AA313=""),"",$J313*N(INDEX(Fertilisants!$G$8:$G$47,$AA313)))</f>
        <v/>
      </c>
      <c r="N313" s="50" t="str">
        <f>IF(OR($J313="",$AA313=""),"",$J313*N(INDEX(Fertilisants!$I$8:$I$47,$AA313)))</f>
        <v/>
      </c>
      <c r="O313" s="50" t="str">
        <f>IF(OR($J313="",$AA313=""),"",$J313*N(INDEX(Fertilisants!$J$8:$J$47,$AA313)))</f>
        <v/>
      </c>
      <c r="P313" s="50" t="str">
        <f>IF(OR($J313="",$AA313=""),"",$J313*N(INDEX(Fertilisants!$K$8:$K$47,$AA313)))</f>
        <v/>
      </c>
      <c r="Q313" s="50" t="str">
        <f t="shared" si="57"/>
        <v/>
      </c>
      <c r="R313" s="44"/>
      <c r="S313" s="44"/>
      <c r="T313" s="51"/>
      <c r="U313" s="44"/>
      <c r="V313" s="43"/>
      <c r="W313" s="52" t="str">
        <f t="shared" si="58"/>
        <v/>
      </c>
      <c r="X313" s="44"/>
      <c r="Z313" s="53" t="str">
        <f>IF($D313="","",IFERROR(MATCH($D313,Îlots!$D$8:$D$57,0),""))</f>
        <v/>
      </c>
      <c r="AA313" s="53" t="str">
        <f>IF($G313="","",IFERROR(MATCH($G313,Fertilisants!$B$8:$B$47,0),""))</f>
        <v/>
      </c>
      <c r="AB313" s="53" t="str">
        <f>IF($Z313="","",INDEX(Îlots!$E$8:$E$57,$Z313))</f>
        <v/>
      </c>
      <c r="AC313" s="53" t="str">
        <f>IF($Z313="","",INDEX(Îlots!$G$8:$G$57,$Z313)&amp;"")</f>
        <v/>
      </c>
      <c r="AD313" s="53" t="str">
        <f>IF($Z313="","",IF($F313=ApportCouvert,OccCouvert,INDEX(Îlots!$O$8:$O$57,$Z313)&amp;""))</f>
        <v/>
      </c>
      <c r="AE313" s="53" t="str">
        <f t="shared" si="59"/>
        <v/>
      </c>
      <c r="AF313" s="53" t="str">
        <f t="shared" si="60"/>
        <v/>
      </c>
      <c r="AG313" s="53" t="str">
        <f t="shared" si="61"/>
        <v/>
      </c>
      <c r="AH313" s="53">
        <f t="shared" si="62"/>
        <v>0</v>
      </c>
      <c r="AI313" s="53">
        <f t="shared" si="63"/>
        <v>0</v>
      </c>
      <c r="AJ313" s="53">
        <f t="shared" si="64"/>
        <v>0</v>
      </c>
      <c r="AK313" s="53">
        <f t="shared" si="65"/>
        <v>0</v>
      </c>
      <c r="AL313" s="53">
        <f t="shared" si="66"/>
        <v>0</v>
      </c>
      <c r="AM313" s="53">
        <f>IF($AA313="",0,IF(INDEX(Fertilisants!$C$8:$C$47,$AA313)="Effluent d'élevage",1,0))</f>
        <v>0</v>
      </c>
      <c r="AN313" s="53" t="str">
        <f>IF($AA313="","",IF(INDEX(Fertilisants!$C$8:$C$47,$AA313)="Engrais minéral","Minéral","Organique"))</f>
        <v/>
      </c>
      <c r="AO313" s="53" t="str">
        <f t="shared" si="67"/>
        <v/>
      </c>
      <c r="AP313" s="53" t="str">
        <f t="shared" si="68"/>
        <v/>
      </c>
      <c r="AQ313" s="53" t="str">
        <f t="shared" si="69"/>
        <v/>
      </c>
      <c r="AR313" s="53" t="str">
        <f>IF(AND($D313&lt;&gt;"",$D313=FicheIlot),COUNTIF($D$8:$D313,FicheIlot),"")</f>
        <v/>
      </c>
    </row>
    <row r="314" spans="2:44" ht="18.95" customHeight="1" x14ac:dyDescent="0.25">
      <c r="B314" s="42" t="str">
        <f>IF(C314="","",COUNT($C$8:C314))</f>
        <v/>
      </c>
      <c r="C314" s="43"/>
      <c r="D314" s="44"/>
      <c r="E314" s="45" t="str">
        <f>IF($Z314="","",IF($F314=ApportCouvert,INDEX(Îlots!$I$8:$I$57,$Z314)&amp;"",INDEX(Îlots!$N$8:$N$57,$Z314)&amp;""))</f>
        <v/>
      </c>
      <c r="F314" s="44"/>
      <c r="G314" s="44"/>
      <c r="H314" s="46" t="str">
        <f>IF($AA314="","",INDEX(Fertilisants!$D$8:$D$47,$AA314)&amp;"")</f>
        <v/>
      </c>
      <c r="I314" s="47"/>
      <c r="J314" s="48"/>
      <c r="K314" s="46" t="str">
        <f>IF($AA314="","",INDEX(Fertilisants!$E$8:$E$47,$AA314)&amp;"")</f>
        <v/>
      </c>
      <c r="L314" s="49" t="str">
        <f t="shared" si="56"/>
        <v/>
      </c>
      <c r="M314" s="50" t="str">
        <f>IF(OR($J314="",$AA314=""),"",$J314*N(INDEX(Fertilisants!$G$8:$G$47,$AA314)))</f>
        <v/>
      </c>
      <c r="N314" s="50" t="str">
        <f>IF(OR($J314="",$AA314=""),"",$J314*N(INDEX(Fertilisants!$I$8:$I$47,$AA314)))</f>
        <v/>
      </c>
      <c r="O314" s="50" t="str">
        <f>IF(OR($J314="",$AA314=""),"",$J314*N(INDEX(Fertilisants!$J$8:$J$47,$AA314)))</f>
        <v/>
      </c>
      <c r="P314" s="50" t="str">
        <f>IF(OR($J314="",$AA314=""),"",$J314*N(INDEX(Fertilisants!$K$8:$K$47,$AA314)))</f>
        <v/>
      </c>
      <c r="Q314" s="50" t="str">
        <f t="shared" si="57"/>
        <v/>
      </c>
      <c r="R314" s="44"/>
      <c r="S314" s="44"/>
      <c r="T314" s="51"/>
      <c r="U314" s="44"/>
      <c r="V314" s="43"/>
      <c r="W314" s="52" t="str">
        <f t="shared" si="58"/>
        <v/>
      </c>
      <c r="X314" s="44"/>
      <c r="Z314" s="53" t="str">
        <f>IF($D314="","",IFERROR(MATCH($D314,Îlots!$D$8:$D$57,0),""))</f>
        <v/>
      </c>
      <c r="AA314" s="53" t="str">
        <f>IF($G314="","",IFERROR(MATCH($G314,Fertilisants!$B$8:$B$47,0),""))</f>
        <v/>
      </c>
      <c r="AB314" s="53" t="str">
        <f>IF($Z314="","",INDEX(Îlots!$E$8:$E$57,$Z314))</f>
        <v/>
      </c>
      <c r="AC314" s="53" t="str">
        <f>IF($Z314="","",INDEX(Îlots!$G$8:$G$57,$Z314)&amp;"")</f>
        <v/>
      </c>
      <c r="AD314" s="53" t="str">
        <f>IF($Z314="","",IF($F314=ApportCouvert,OccCouvert,INDEX(Îlots!$O$8:$O$57,$Z314)&amp;""))</f>
        <v/>
      </c>
      <c r="AE314" s="53" t="str">
        <f t="shared" si="59"/>
        <v/>
      </c>
      <c r="AF314" s="53" t="str">
        <f t="shared" si="60"/>
        <v/>
      </c>
      <c r="AG314" s="53" t="str">
        <f t="shared" si="61"/>
        <v/>
      </c>
      <c r="AH314" s="53">
        <f t="shared" si="62"/>
        <v>0</v>
      </c>
      <c r="AI314" s="53">
        <f t="shared" si="63"/>
        <v>0</v>
      </c>
      <c r="AJ314" s="53">
        <f t="shared" si="64"/>
        <v>0</v>
      </c>
      <c r="AK314" s="53">
        <f t="shared" si="65"/>
        <v>0</v>
      </c>
      <c r="AL314" s="53">
        <f t="shared" si="66"/>
        <v>0</v>
      </c>
      <c r="AM314" s="53">
        <f>IF($AA314="",0,IF(INDEX(Fertilisants!$C$8:$C$47,$AA314)="Effluent d'élevage",1,0))</f>
        <v>0</v>
      </c>
      <c r="AN314" s="53" t="str">
        <f>IF($AA314="","",IF(INDEX(Fertilisants!$C$8:$C$47,$AA314)="Engrais minéral","Minéral","Organique"))</f>
        <v/>
      </c>
      <c r="AO314" s="53" t="str">
        <f t="shared" si="67"/>
        <v/>
      </c>
      <c r="AP314" s="53" t="str">
        <f t="shared" si="68"/>
        <v/>
      </c>
      <c r="AQ314" s="53" t="str">
        <f t="shared" si="69"/>
        <v/>
      </c>
      <c r="AR314" s="53" t="str">
        <f>IF(AND($D314&lt;&gt;"",$D314=FicheIlot),COUNTIF($D$8:$D314,FicheIlot),"")</f>
        <v/>
      </c>
    </row>
    <row r="315" spans="2:44" ht="18.95" customHeight="1" x14ac:dyDescent="0.25">
      <c r="B315" s="42" t="str">
        <f>IF(C315="","",COUNT($C$8:C315))</f>
        <v/>
      </c>
      <c r="C315" s="43"/>
      <c r="D315" s="44"/>
      <c r="E315" s="45" t="str">
        <f>IF($Z315="","",IF($F315=ApportCouvert,INDEX(Îlots!$I$8:$I$57,$Z315)&amp;"",INDEX(Îlots!$N$8:$N$57,$Z315)&amp;""))</f>
        <v/>
      </c>
      <c r="F315" s="44"/>
      <c r="G315" s="44"/>
      <c r="H315" s="46" t="str">
        <f>IF($AA315="","",INDEX(Fertilisants!$D$8:$D$47,$AA315)&amp;"")</f>
        <v/>
      </c>
      <c r="I315" s="47"/>
      <c r="J315" s="48"/>
      <c r="K315" s="46" t="str">
        <f>IF($AA315="","",INDEX(Fertilisants!$E$8:$E$47,$AA315)&amp;"")</f>
        <v/>
      </c>
      <c r="L315" s="49" t="str">
        <f t="shared" si="56"/>
        <v/>
      </c>
      <c r="M315" s="50" t="str">
        <f>IF(OR($J315="",$AA315=""),"",$J315*N(INDEX(Fertilisants!$G$8:$G$47,$AA315)))</f>
        <v/>
      </c>
      <c r="N315" s="50" t="str">
        <f>IF(OR($J315="",$AA315=""),"",$J315*N(INDEX(Fertilisants!$I$8:$I$47,$AA315)))</f>
        <v/>
      </c>
      <c r="O315" s="50" t="str">
        <f>IF(OR($J315="",$AA315=""),"",$J315*N(INDEX(Fertilisants!$J$8:$J$47,$AA315)))</f>
        <v/>
      </c>
      <c r="P315" s="50" t="str">
        <f>IF(OR($J315="",$AA315=""),"",$J315*N(INDEX(Fertilisants!$K$8:$K$47,$AA315)))</f>
        <v/>
      </c>
      <c r="Q315" s="50" t="str">
        <f t="shared" si="57"/>
        <v/>
      </c>
      <c r="R315" s="44"/>
      <c r="S315" s="44"/>
      <c r="T315" s="51"/>
      <c r="U315" s="44"/>
      <c r="V315" s="43"/>
      <c r="W315" s="52" t="str">
        <f t="shared" si="58"/>
        <v/>
      </c>
      <c r="X315" s="44"/>
      <c r="Z315" s="53" t="str">
        <f>IF($D315="","",IFERROR(MATCH($D315,Îlots!$D$8:$D$57,0),""))</f>
        <v/>
      </c>
      <c r="AA315" s="53" t="str">
        <f>IF($G315="","",IFERROR(MATCH($G315,Fertilisants!$B$8:$B$47,0),""))</f>
        <v/>
      </c>
      <c r="AB315" s="53" t="str">
        <f>IF($Z315="","",INDEX(Îlots!$E$8:$E$57,$Z315))</f>
        <v/>
      </c>
      <c r="AC315" s="53" t="str">
        <f>IF($Z315="","",INDEX(Îlots!$G$8:$G$57,$Z315)&amp;"")</f>
        <v/>
      </c>
      <c r="AD315" s="53" t="str">
        <f>IF($Z315="","",IF($F315=ApportCouvert,OccCouvert,INDEX(Îlots!$O$8:$O$57,$Z315)&amp;""))</f>
        <v/>
      </c>
      <c r="AE315" s="53" t="str">
        <f t="shared" si="59"/>
        <v/>
      </c>
      <c r="AF315" s="53" t="str">
        <f t="shared" si="60"/>
        <v/>
      </c>
      <c r="AG315" s="53" t="str">
        <f t="shared" si="61"/>
        <v/>
      </c>
      <c r="AH315" s="53">
        <f t="shared" si="62"/>
        <v>0</v>
      </c>
      <c r="AI315" s="53">
        <f t="shared" si="63"/>
        <v>0</v>
      </c>
      <c r="AJ315" s="53">
        <f t="shared" si="64"/>
        <v>0</v>
      </c>
      <c r="AK315" s="53">
        <f t="shared" si="65"/>
        <v>0</v>
      </c>
      <c r="AL315" s="53">
        <f t="shared" si="66"/>
        <v>0</v>
      </c>
      <c r="AM315" s="53">
        <f>IF($AA315="",0,IF(INDEX(Fertilisants!$C$8:$C$47,$AA315)="Effluent d'élevage",1,0))</f>
        <v>0</v>
      </c>
      <c r="AN315" s="53" t="str">
        <f>IF($AA315="","",IF(INDEX(Fertilisants!$C$8:$C$47,$AA315)="Engrais minéral","Minéral","Organique"))</f>
        <v/>
      </c>
      <c r="AO315" s="53" t="str">
        <f t="shared" si="67"/>
        <v/>
      </c>
      <c r="AP315" s="53" t="str">
        <f t="shared" si="68"/>
        <v/>
      </c>
      <c r="AQ315" s="53" t="str">
        <f t="shared" si="69"/>
        <v/>
      </c>
      <c r="AR315" s="53" t="str">
        <f>IF(AND($D315&lt;&gt;"",$D315=FicheIlot),COUNTIF($D$8:$D315,FicheIlot),"")</f>
        <v/>
      </c>
    </row>
    <row r="316" spans="2:44" ht="18.95" customHeight="1" x14ac:dyDescent="0.25">
      <c r="B316" s="42" t="str">
        <f>IF(C316="","",COUNT($C$8:C316))</f>
        <v/>
      </c>
      <c r="C316" s="43"/>
      <c r="D316" s="44"/>
      <c r="E316" s="45" t="str">
        <f>IF($Z316="","",IF($F316=ApportCouvert,INDEX(Îlots!$I$8:$I$57,$Z316)&amp;"",INDEX(Îlots!$N$8:$N$57,$Z316)&amp;""))</f>
        <v/>
      </c>
      <c r="F316" s="44"/>
      <c r="G316" s="44"/>
      <c r="H316" s="46" t="str">
        <f>IF($AA316="","",INDEX(Fertilisants!$D$8:$D$47,$AA316)&amp;"")</f>
        <v/>
      </c>
      <c r="I316" s="47"/>
      <c r="J316" s="48"/>
      <c r="K316" s="46" t="str">
        <f>IF($AA316="","",INDEX(Fertilisants!$E$8:$E$47,$AA316)&amp;"")</f>
        <v/>
      </c>
      <c r="L316" s="49" t="str">
        <f t="shared" si="56"/>
        <v/>
      </c>
      <c r="M316" s="50" t="str">
        <f>IF(OR($J316="",$AA316=""),"",$J316*N(INDEX(Fertilisants!$G$8:$G$47,$AA316)))</f>
        <v/>
      </c>
      <c r="N316" s="50" t="str">
        <f>IF(OR($J316="",$AA316=""),"",$J316*N(INDEX(Fertilisants!$I$8:$I$47,$AA316)))</f>
        <v/>
      </c>
      <c r="O316" s="50" t="str">
        <f>IF(OR($J316="",$AA316=""),"",$J316*N(INDEX(Fertilisants!$J$8:$J$47,$AA316)))</f>
        <v/>
      </c>
      <c r="P316" s="50" t="str">
        <f>IF(OR($J316="",$AA316=""),"",$J316*N(INDEX(Fertilisants!$K$8:$K$47,$AA316)))</f>
        <v/>
      </c>
      <c r="Q316" s="50" t="str">
        <f t="shared" si="57"/>
        <v/>
      </c>
      <c r="R316" s="44"/>
      <c r="S316" s="44"/>
      <c r="T316" s="51"/>
      <c r="U316" s="44"/>
      <c r="V316" s="43"/>
      <c r="W316" s="52" t="str">
        <f t="shared" si="58"/>
        <v/>
      </c>
      <c r="X316" s="44"/>
      <c r="Z316" s="53" t="str">
        <f>IF($D316="","",IFERROR(MATCH($D316,Îlots!$D$8:$D$57,0),""))</f>
        <v/>
      </c>
      <c r="AA316" s="53" t="str">
        <f>IF($G316="","",IFERROR(MATCH($G316,Fertilisants!$B$8:$B$47,0),""))</f>
        <v/>
      </c>
      <c r="AB316" s="53" t="str">
        <f>IF($Z316="","",INDEX(Îlots!$E$8:$E$57,$Z316))</f>
        <v/>
      </c>
      <c r="AC316" s="53" t="str">
        <f>IF($Z316="","",INDEX(Îlots!$G$8:$G$57,$Z316)&amp;"")</f>
        <v/>
      </c>
      <c r="AD316" s="53" t="str">
        <f>IF($Z316="","",IF($F316=ApportCouvert,OccCouvert,INDEX(Îlots!$O$8:$O$57,$Z316)&amp;""))</f>
        <v/>
      </c>
      <c r="AE316" s="53" t="str">
        <f t="shared" si="59"/>
        <v/>
      </c>
      <c r="AF316" s="53" t="str">
        <f t="shared" si="60"/>
        <v/>
      </c>
      <c r="AG316" s="53" t="str">
        <f t="shared" si="61"/>
        <v/>
      </c>
      <c r="AH316" s="53">
        <f t="shared" si="62"/>
        <v>0</v>
      </c>
      <c r="AI316" s="53">
        <f t="shared" si="63"/>
        <v>0</v>
      </c>
      <c r="AJ316" s="53">
        <f t="shared" si="64"/>
        <v>0</v>
      </c>
      <c r="AK316" s="53">
        <f t="shared" si="65"/>
        <v>0</v>
      </c>
      <c r="AL316" s="53">
        <f t="shared" si="66"/>
        <v>0</v>
      </c>
      <c r="AM316" s="53">
        <f>IF($AA316="",0,IF(INDEX(Fertilisants!$C$8:$C$47,$AA316)="Effluent d'élevage",1,0))</f>
        <v>0</v>
      </c>
      <c r="AN316" s="53" t="str">
        <f>IF($AA316="","",IF(INDEX(Fertilisants!$C$8:$C$47,$AA316)="Engrais minéral","Minéral","Organique"))</f>
        <v/>
      </c>
      <c r="AO316" s="53" t="str">
        <f t="shared" si="67"/>
        <v/>
      </c>
      <c r="AP316" s="53" t="str">
        <f t="shared" si="68"/>
        <v/>
      </c>
      <c r="AQ316" s="53" t="str">
        <f t="shared" si="69"/>
        <v/>
      </c>
      <c r="AR316" s="53" t="str">
        <f>IF(AND($D316&lt;&gt;"",$D316=FicheIlot),COUNTIF($D$8:$D316,FicheIlot),"")</f>
        <v/>
      </c>
    </row>
    <row r="317" spans="2:44" ht="18.95" customHeight="1" x14ac:dyDescent="0.25">
      <c r="B317" s="42" t="str">
        <f>IF(C317="","",COUNT($C$8:C317))</f>
        <v/>
      </c>
      <c r="C317" s="43"/>
      <c r="D317" s="44"/>
      <c r="E317" s="45" t="str">
        <f>IF($Z317="","",IF($F317=ApportCouvert,INDEX(Îlots!$I$8:$I$57,$Z317)&amp;"",INDEX(Îlots!$N$8:$N$57,$Z317)&amp;""))</f>
        <v/>
      </c>
      <c r="F317" s="44"/>
      <c r="G317" s="44"/>
      <c r="H317" s="46" t="str">
        <f>IF($AA317="","",INDEX(Fertilisants!$D$8:$D$47,$AA317)&amp;"")</f>
        <v/>
      </c>
      <c r="I317" s="47"/>
      <c r="J317" s="48"/>
      <c r="K317" s="46" t="str">
        <f>IF($AA317="","",INDEX(Fertilisants!$E$8:$E$47,$AA317)&amp;"")</f>
        <v/>
      </c>
      <c r="L317" s="49" t="str">
        <f t="shared" si="56"/>
        <v/>
      </c>
      <c r="M317" s="50" t="str">
        <f>IF(OR($J317="",$AA317=""),"",$J317*N(INDEX(Fertilisants!$G$8:$G$47,$AA317)))</f>
        <v/>
      </c>
      <c r="N317" s="50" t="str">
        <f>IF(OR($J317="",$AA317=""),"",$J317*N(INDEX(Fertilisants!$I$8:$I$47,$AA317)))</f>
        <v/>
      </c>
      <c r="O317" s="50" t="str">
        <f>IF(OR($J317="",$AA317=""),"",$J317*N(INDEX(Fertilisants!$J$8:$J$47,$AA317)))</f>
        <v/>
      </c>
      <c r="P317" s="50" t="str">
        <f>IF(OR($J317="",$AA317=""),"",$J317*N(INDEX(Fertilisants!$K$8:$K$47,$AA317)))</f>
        <v/>
      </c>
      <c r="Q317" s="50" t="str">
        <f t="shared" si="57"/>
        <v/>
      </c>
      <c r="R317" s="44"/>
      <c r="S317" s="44"/>
      <c r="T317" s="51"/>
      <c r="U317" s="44"/>
      <c r="V317" s="43"/>
      <c r="W317" s="52" t="str">
        <f t="shared" si="58"/>
        <v/>
      </c>
      <c r="X317" s="44"/>
      <c r="Z317" s="53" t="str">
        <f>IF($D317="","",IFERROR(MATCH($D317,Îlots!$D$8:$D$57,0),""))</f>
        <v/>
      </c>
      <c r="AA317" s="53" t="str">
        <f>IF($G317="","",IFERROR(MATCH($G317,Fertilisants!$B$8:$B$47,0),""))</f>
        <v/>
      </c>
      <c r="AB317" s="53" t="str">
        <f>IF($Z317="","",INDEX(Îlots!$E$8:$E$57,$Z317))</f>
        <v/>
      </c>
      <c r="AC317" s="53" t="str">
        <f>IF($Z317="","",INDEX(Îlots!$G$8:$G$57,$Z317)&amp;"")</f>
        <v/>
      </c>
      <c r="AD317" s="53" t="str">
        <f>IF($Z317="","",IF($F317=ApportCouvert,OccCouvert,INDEX(Îlots!$O$8:$O$57,$Z317)&amp;""))</f>
        <v/>
      </c>
      <c r="AE317" s="53" t="str">
        <f t="shared" si="59"/>
        <v/>
      </c>
      <c r="AF317" s="53" t="str">
        <f t="shared" si="60"/>
        <v/>
      </c>
      <c r="AG317" s="53" t="str">
        <f t="shared" si="61"/>
        <v/>
      </c>
      <c r="AH317" s="53">
        <f t="shared" si="62"/>
        <v>0</v>
      </c>
      <c r="AI317" s="53">
        <f t="shared" si="63"/>
        <v>0</v>
      </c>
      <c r="AJ317" s="53">
        <f t="shared" si="64"/>
        <v>0</v>
      </c>
      <c r="AK317" s="53">
        <f t="shared" si="65"/>
        <v>0</v>
      </c>
      <c r="AL317" s="53">
        <f t="shared" si="66"/>
        <v>0</v>
      </c>
      <c r="AM317" s="53">
        <f>IF($AA317="",0,IF(INDEX(Fertilisants!$C$8:$C$47,$AA317)="Effluent d'élevage",1,0))</f>
        <v>0</v>
      </c>
      <c r="AN317" s="53" t="str">
        <f>IF($AA317="","",IF(INDEX(Fertilisants!$C$8:$C$47,$AA317)="Engrais minéral","Minéral","Organique"))</f>
        <v/>
      </c>
      <c r="AO317" s="53" t="str">
        <f t="shared" si="67"/>
        <v/>
      </c>
      <c r="AP317" s="53" t="str">
        <f t="shared" si="68"/>
        <v/>
      </c>
      <c r="AQ317" s="53" t="str">
        <f t="shared" si="69"/>
        <v/>
      </c>
      <c r="AR317" s="53" t="str">
        <f>IF(AND($D317&lt;&gt;"",$D317=FicheIlot),COUNTIF($D$8:$D317,FicheIlot),"")</f>
        <v/>
      </c>
    </row>
    <row r="318" spans="2:44" ht="18.95" customHeight="1" x14ac:dyDescent="0.25">
      <c r="B318" s="42" t="str">
        <f>IF(C318="","",COUNT($C$8:C318))</f>
        <v/>
      </c>
      <c r="C318" s="43"/>
      <c r="D318" s="44"/>
      <c r="E318" s="45" t="str">
        <f>IF($Z318="","",IF($F318=ApportCouvert,INDEX(Îlots!$I$8:$I$57,$Z318)&amp;"",INDEX(Îlots!$N$8:$N$57,$Z318)&amp;""))</f>
        <v/>
      </c>
      <c r="F318" s="44"/>
      <c r="G318" s="44"/>
      <c r="H318" s="46" t="str">
        <f>IF($AA318="","",INDEX(Fertilisants!$D$8:$D$47,$AA318)&amp;"")</f>
        <v/>
      </c>
      <c r="I318" s="47"/>
      <c r="J318" s="48"/>
      <c r="K318" s="46" t="str">
        <f>IF($AA318="","",INDEX(Fertilisants!$E$8:$E$47,$AA318)&amp;"")</f>
        <v/>
      </c>
      <c r="L318" s="49" t="str">
        <f t="shared" si="56"/>
        <v/>
      </c>
      <c r="M318" s="50" t="str">
        <f>IF(OR($J318="",$AA318=""),"",$J318*N(INDEX(Fertilisants!$G$8:$G$47,$AA318)))</f>
        <v/>
      </c>
      <c r="N318" s="50" t="str">
        <f>IF(OR($J318="",$AA318=""),"",$J318*N(INDEX(Fertilisants!$I$8:$I$47,$AA318)))</f>
        <v/>
      </c>
      <c r="O318" s="50" t="str">
        <f>IF(OR($J318="",$AA318=""),"",$J318*N(INDEX(Fertilisants!$J$8:$J$47,$AA318)))</f>
        <v/>
      </c>
      <c r="P318" s="50" t="str">
        <f>IF(OR($J318="",$AA318=""),"",$J318*N(INDEX(Fertilisants!$K$8:$K$47,$AA318)))</f>
        <v/>
      </c>
      <c r="Q318" s="50" t="str">
        <f t="shared" si="57"/>
        <v/>
      </c>
      <c r="R318" s="44"/>
      <c r="S318" s="44"/>
      <c r="T318" s="51"/>
      <c r="U318" s="44"/>
      <c r="V318" s="43"/>
      <c r="W318" s="52" t="str">
        <f t="shared" si="58"/>
        <v/>
      </c>
      <c r="X318" s="44"/>
      <c r="Z318" s="53" t="str">
        <f>IF($D318="","",IFERROR(MATCH($D318,Îlots!$D$8:$D$57,0),""))</f>
        <v/>
      </c>
      <c r="AA318" s="53" t="str">
        <f>IF($G318="","",IFERROR(MATCH($G318,Fertilisants!$B$8:$B$47,0),""))</f>
        <v/>
      </c>
      <c r="AB318" s="53" t="str">
        <f>IF($Z318="","",INDEX(Îlots!$E$8:$E$57,$Z318))</f>
        <v/>
      </c>
      <c r="AC318" s="53" t="str">
        <f>IF($Z318="","",INDEX(Îlots!$G$8:$G$57,$Z318)&amp;"")</f>
        <v/>
      </c>
      <c r="AD318" s="53" t="str">
        <f>IF($Z318="","",IF($F318=ApportCouvert,OccCouvert,INDEX(Îlots!$O$8:$O$57,$Z318)&amp;""))</f>
        <v/>
      </c>
      <c r="AE318" s="53" t="str">
        <f t="shared" si="59"/>
        <v/>
      </c>
      <c r="AF318" s="53" t="str">
        <f t="shared" si="60"/>
        <v/>
      </c>
      <c r="AG318" s="53" t="str">
        <f t="shared" si="61"/>
        <v/>
      </c>
      <c r="AH318" s="53">
        <f t="shared" si="62"/>
        <v>0</v>
      </c>
      <c r="AI318" s="53">
        <f t="shared" si="63"/>
        <v>0</v>
      </c>
      <c r="AJ318" s="53">
        <f t="shared" si="64"/>
        <v>0</v>
      </c>
      <c r="AK318" s="53">
        <f t="shared" si="65"/>
        <v>0</v>
      </c>
      <c r="AL318" s="53">
        <f t="shared" si="66"/>
        <v>0</v>
      </c>
      <c r="AM318" s="53">
        <f>IF($AA318="",0,IF(INDEX(Fertilisants!$C$8:$C$47,$AA318)="Effluent d'élevage",1,0))</f>
        <v>0</v>
      </c>
      <c r="AN318" s="53" t="str">
        <f>IF($AA318="","",IF(INDEX(Fertilisants!$C$8:$C$47,$AA318)="Engrais minéral","Minéral","Organique"))</f>
        <v/>
      </c>
      <c r="AO318" s="53" t="str">
        <f t="shared" si="67"/>
        <v/>
      </c>
      <c r="AP318" s="53" t="str">
        <f t="shared" si="68"/>
        <v/>
      </c>
      <c r="AQ318" s="53" t="str">
        <f t="shared" si="69"/>
        <v/>
      </c>
      <c r="AR318" s="53" t="str">
        <f>IF(AND($D318&lt;&gt;"",$D318=FicheIlot),COUNTIF($D$8:$D318,FicheIlot),"")</f>
        <v/>
      </c>
    </row>
    <row r="319" spans="2:44" ht="18.95" customHeight="1" x14ac:dyDescent="0.25">
      <c r="B319" s="42" t="str">
        <f>IF(C319="","",COUNT($C$8:C319))</f>
        <v/>
      </c>
      <c r="C319" s="43"/>
      <c r="D319" s="44"/>
      <c r="E319" s="45" t="str">
        <f>IF($Z319="","",IF($F319=ApportCouvert,INDEX(Îlots!$I$8:$I$57,$Z319)&amp;"",INDEX(Îlots!$N$8:$N$57,$Z319)&amp;""))</f>
        <v/>
      </c>
      <c r="F319" s="44"/>
      <c r="G319" s="44"/>
      <c r="H319" s="46" t="str">
        <f>IF($AA319="","",INDEX(Fertilisants!$D$8:$D$47,$AA319)&amp;"")</f>
        <v/>
      </c>
      <c r="I319" s="47"/>
      <c r="J319" s="48"/>
      <c r="K319" s="46" t="str">
        <f>IF($AA319="","",INDEX(Fertilisants!$E$8:$E$47,$AA319)&amp;"")</f>
        <v/>
      </c>
      <c r="L319" s="49" t="str">
        <f t="shared" si="56"/>
        <v/>
      </c>
      <c r="M319" s="50" t="str">
        <f>IF(OR($J319="",$AA319=""),"",$J319*N(INDEX(Fertilisants!$G$8:$G$47,$AA319)))</f>
        <v/>
      </c>
      <c r="N319" s="50" t="str">
        <f>IF(OR($J319="",$AA319=""),"",$J319*N(INDEX(Fertilisants!$I$8:$I$47,$AA319)))</f>
        <v/>
      </c>
      <c r="O319" s="50" t="str">
        <f>IF(OR($J319="",$AA319=""),"",$J319*N(INDEX(Fertilisants!$J$8:$J$47,$AA319)))</f>
        <v/>
      </c>
      <c r="P319" s="50" t="str">
        <f>IF(OR($J319="",$AA319=""),"",$J319*N(INDEX(Fertilisants!$K$8:$K$47,$AA319)))</f>
        <v/>
      </c>
      <c r="Q319" s="50" t="str">
        <f t="shared" si="57"/>
        <v/>
      </c>
      <c r="R319" s="44"/>
      <c r="S319" s="44"/>
      <c r="T319" s="51"/>
      <c r="U319" s="44"/>
      <c r="V319" s="43"/>
      <c r="W319" s="52" t="str">
        <f t="shared" si="58"/>
        <v/>
      </c>
      <c r="X319" s="44"/>
      <c r="Z319" s="53" t="str">
        <f>IF($D319="","",IFERROR(MATCH($D319,Îlots!$D$8:$D$57,0),""))</f>
        <v/>
      </c>
      <c r="AA319" s="53" t="str">
        <f>IF($G319="","",IFERROR(MATCH($G319,Fertilisants!$B$8:$B$47,0),""))</f>
        <v/>
      </c>
      <c r="AB319" s="53" t="str">
        <f>IF($Z319="","",INDEX(Îlots!$E$8:$E$57,$Z319))</f>
        <v/>
      </c>
      <c r="AC319" s="53" t="str">
        <f>IF($Z319="","",INDEX(Îlots!$G$8:$G$57,$Z319)&amp;"")</f>
        <v/>
      </c>
      <c r="AD319" s="53" t="str">
        <f>IF($Z319="","",IF($F319=ApportCouvert,OccCouvert,INDEX(Îlots!$O$8:$O$57,$Z319)&amp;""))</f>
        <v/>
      </c>
      <c r="AE319" s="53" t="str">
        <f t="shared" si="59"/>
        <v/>
      </c>
      <c r="AF319" s="53" t="str">
        <f t="shared" si="60"/>
        <v/>
      </c>
      <c r="AG319" s="53" t="str">
        <f t="shared" si="61"/>
        <v/>
      </c>
      <c r="AH319" s="53">
        <f t="shared" si="62"/>
        <v>0</v>
      </c>
      <c r="AI319" s="53">
        <f t="shared" si="63"/>
        <v>0</v>
      </c>
      <c r="AJ319" s="53">
        <f t="shared" si="64"/>
        <v>0</v>
      </c>
      <c r="AK319" s="53">
        <f t="shared" si="65"/>
        <v>0</v>
      </c>
      <c r="AL319" s="53">
        <f t="shared" si="66"/>
        <v>0</v>
      </c>
      <c r="AM319" s="53">
        <f>IF($AA319="",0,IF(INDEX(Fertilisants!$C$8:$C$47,$AA319)="Effluent d'élevage",1,0))</f>
        <v>0</v>
      </c>
      <c r="AN319" s="53" t="str">
        <f>IF($AA319="","",IF(INDEX(Fertilisants!$C$8:$C$47,$AA319)="Engrais minéral","Minéral","Organique"))</f>
        <v/>
      </c>
      <c r="AO319" s="53" t="str">
        <f t="shared" si="67"/>
        <v/>
      </c>
      <c r="AP319" s="53" t="str">
        <f t="shared" si="68"/>
        <v/>
      </c>
      <c r="AQ319" s="53" t="str">
        <f t="shared" si="69"/>
        <v/>
      </c>
      <c r="AR319" s="53" t="str">
        <f>IF(AND($D319&lt;&gt;"",$D319=FicheIlot),COUNTIF($D$8:$D319,FicheIlot),"")</f>
        <v/>
      </c>
    </row>
    <row r="320" spans="2:44" ht="18.95" customHeight="1" x14ac:dyDescent="0.25">
      <c r="B320" s="42" t="str">
        <f>IF(C320="","",COUNT($C$8:C320))</f>
        <v/>
      </c>
      <c r="C320" s="43"/>
      <c r="D320" s="44"/>
      <c r="E320" s="45" t="str">
        <f>IF($Z320="","",IF($F320=ApportCouvert,INDEX(Îlots!$I$8:$I$57,$Z320)&amp;"",INDEX(Îlots!$N$8:$N$57,$Z320)&amp;""))</f>
        <v/>
      </c>
      <c r="F320" s="44"/>
      <c r="G320" s="44"/>
      <c r="H320" s="46" t="str">
        <f>IF($AA320="","",INDEX(Fertilisants!$D$8:$D$47,$AA320)&amp;"")</f>
        <v/>
      </c>
      <c r="I320" s="47"/>
      <c r="J320" s="48"/>
      <c r="K320" s="46" t="str">
        <f>IF($AA320="","",INDEX(Fertilisants!$E$8:$E$47,$AA320)&amp;"")</f>
        <v/>
      </c>
      <c r="L320" s="49" t="str">
        <f t="shared" si="56"/>
        <v/>
      </c>
      <c r="M320" s="50" t="str">
        <f>IF(OR($J320="",$AA320=""),"",$J320*N(INDEX(Fertilisants!$G$8:$G$47,$AA320)))</f>
        <v/>
      </c>
      <c r="N320" s="50" t="str">
        <f>IF(OR($J320="",$AA320=""),"",$J320*N(INDEX(Fertilisants!$I$8:$I$47,$AA320)))</f>
        <v/>
      </c>
      <c r="O320" s="50" t="str">
        <f>IF(OR($J320="",$AA320=""),"",$J320*N(INDEX(Fertilisants!$J$8:$J$47,$AA320)))</f>
        <v/>
      </c>
      <c r="P320" s="50" t="str">
        <f>IF(OR($J320="",$AA320=""),"",$J320*N(INDEX(Fertilisants!$K$8:$K$47,$AA320)))</f>
        <v/>
      </c>
      <c r="Q320" s="50" t="str">
        <f t="shared" si="57"/>
        <v/>
      </c>
      <c r="R320" s="44"/>
      <c r="S320" s="44"/>
      <c r="T320" s="51"/>
      <c r="U320" s="44"/>
      <c r="V320" s="43"/>
      <c r="W320" s="52" t="str">
        <f t="shared" si="58"/>
        <v/>
      </c>
      <c r="X320" s="44"/>
      <c r="Z320" s="53" t="str">
        <f>IF($D320="","",IFERROR(MATCH($D320,Îlots!$D$8:$D$57,0),""))</f>
        <v/>
      </c>
      <c r="AA320" s="53" t="str">
        <f>IF($G320="","",IFERROR(MATCH($G320,Fertilisants!$B$8:$B$47,0),""))</f>
        <v/>
      </c>
      <c r="AB320" s="53" t="str">
        <f>IF($Z320="","",INDEX(Îlots!$E$8:$E$57,$Z320))</f>
        <v/>
      </c>
      <c r="AC320" s="53" t="str">
        <f>IF($Z320="","",INDEX(Îlots!$G$8:$G$57,$Z320)&amp;"")</f>
        <v/>
      </c>
      <c r="AD320" s="53" t="str">
        <f>IF($Z320="","",IF($F320=ApportCouvert,OccCouvert,INDEX(Îlots!$O$8:$O$57,$Z320)&amp;""))</f>
        <v/>
      </c>
      <c r="AE320" s="53" t="str">
        <f t="shared" si="59"/>
        <v/>
      </c>
      <c r="AF320" s="53" t="str">
        <f t="shared" si="60"/>
        <v/>
      </c>
      <c r="AG320" s="53" t="str">
        <f t="shared" si="61"/>
        <v/>
      </c>
      <c r="AH320" s="53">
        <f t="shared" si="62"/>
        <v>0</v>
      </c>
      <c r="AI320" s="53">
        <f t="shared" si="63"/>
        <v>0</v>
      </c>
      <c r="AJ320" s="53">
        <f t="shared" si="64"/>
        <v>0</v>
      </c>
      <c r="AK320" s="53">
        <f t="shared" si="65"/>
        <v>0</v>
      </c>
      <c r="AL320" s="53">
        <f t="shared" si="66"/>
        <v>0</v>
      </c>
      <c r="AM320" s="53">
        <f>IF($AA320="",0,IF(INDEX(Fertilisants!$C$8:$C$47,$AA320)="Effluent d'élevage",1,0))</f>
        <v>0</v>
      </c>
      <c r="AN320" s="53" t="str">
        <f>IF($AA320="","",IF(INDEX(Fertilisants!$C$8:$C$47,$AA320)="Engrais minéral","Minéral","Organique"))</f>
        <v/>
      </c>
      <c r="AO320" s="53" t="str">
        <f t="shared" si="67"/>
        <v/>
      </c>
      <c r="AP320" s="53" t="str">
        <f t="shared" si="68"/>
        <v/>
      </c>
      <c r="AQ320" s="53" t="str">
        <f t="shared" si="69"/>
        <v/>
      </c>
      <c r="AR320" s="53" t="str">
        <f>IF(AND($D320&lt;&gt;"",$D320=FicheIlot),COUNTIF($D$8:$D320,FicheIlot),"")</f>
        <v/>
      </c>
    </row>
    <row r="321" spans="2:44" ht="18.95" customHeight="1" x14ac:dyDescent="0.25">
      <c r="B321" s="42" t="str">
        <f>IF(C321="","",COUNT($C$8:C321))</f>
        <v/>
      </c>
      <c r="C321" s="43"/>
      <c r="D321" s="44"/>
      <c r="E321" s="45" t="str">
        <f>IF($Z321="","",IF($F321=ApportCouvert,INDEX(Îlots!$I$8:$I$57,$Z321)&amp;"",INDEX(Îlots!$N$8:$N$57,$Z321)&amp;""))</f>
        <v/>
      </c>
      <c r="F321" s="44"/>
      <c r="G321" s="44"/>
      <c r="H321" s="46" t="str">
        <f>IF($AA321="","",INDEX(Fertilisants!$D$8:$D$47,$AA321)&amp;"")</f>
        <v/>
      </c>
      <c r="I321" s="47"/>
      <c r="J321" s="48"/>
      <c r="K321" s="46" t="str">
        <f>IF($AA321="","",INDEX(Fertilisants!$E$8:$E$47,$AA321)&amp;"")</f>
        <v/>
      </c>
      <c r="L321" s="49" t="str">
        <f t="shared" si="56"/>
        <v/>
      </c>
      <c r="M321" s="50" t="str">
        <f>IF(OR($J321="",$AA321=""),"",$J321*N(INDEX(Fertilisants!$G$8:$G$47,$AA321)))</f>
        <v/>
      </c>
      <c r="N321" s="50" t="str">
        <f>IF(OR($J321="",$AA321=""),"",$J321*N(INDEX(Fertilisants!$I$8:$I$47,$AA321)))</f>
        <v/>
      </c>
      <c r="O321" s="50" t="str">
        <f>IF(OR($J321="",$AA321=""),"",$J321*N(INDEX(Fertilisants!$J$8:$J$47,$AA321)))</f>
        <v/>
      </c>
      <c r="P321" s="50" t="str">
        <f>IF(OR($J321="",$AA321=""),"",$J321*N(INDEX(Fertilisants!$K$8:$K$47,$AA321)))</f>
        <v/>
      </c>
      <c r="Q321" s="50" t="str">
        <f t="shared" si="57"/>
        <v/>
      </c>
      <c r="R321" s="44"/>
      <c r="S321" s="44"/>
      <c r="T321" s="51"/>
      <c r="U321" s="44"/>
      <c r="V321" s="43"/>
      <c r="W321" s="52" t="str">
        <f t="shared" si="58"/>
        <v/>
      </c>
      <c r="X321" s="44"/>
      <c r="Z321" s="53" t="str">
        <f>IF($D321="","",IFERROR(MATCH($D321,Îlots!$D$8:$D$57,0),""))</f>
        <v/>
      </c>
      <c r="AA321" s="53" t="str">
        <f>IF($G321="","",IFERROR(MATCH($G321,Fertilisants!$B$8:$B$47,0),""))</f>
        <v/>
      </c>
      <c r="AB321" s="53" t="str">
        <f>IF($Z321="","",INDEX(Îlots!$E$8:$E$57,$Z321))</f>
        <v/>
      </c>
      <c r="AC321" s="53" t="str">
        <f>IF($Z321="","",INDEX(Îlots!$G$8:$G$57,$Z321)&amp;"")</f>
        <v/>
      </c>
      <c r="AD321" s="53" t="str">
        <f>IF($Z321="","",IF($F321=ApportCouvert,OccCouvert,INDEX(Îlots!$O$8:$O$57,$Z321)&amp;""))</f>
        <v/>
      </c>
      <c r="AE321" s="53" t="str">
        <f t="shared" si="59"/>
        <v/>
      </c>
      <c r="AF321" s="53" t="str">
        <f t="shared" si="60"/>
        <v/>
      </c>
      <c r="AG321" s="53" t="str">
        <f t="shared" si="61"/>
        <v/>
      </c>
      <c r="AH321" s="53">
        <f t="shared" si="62"/>
        <v>0</v>
      </c>
      <c r="AI321" s="53">
        <f t="shared" si="63"/>
        <v>0</v>
      </c>
      <c r="AJ321" s="53">
        <f t="shared" si="64"/>
        <v>0</v>
      </c>
      <c r="AK321" s="53">
        <f t="shared" si="65"/>
        <v>0</v>
      </c>
      <c r="AL321" s="53">
        <f t="shared" si="66"/>
        <v>0</v>
      </c>
      <c r="AM321" s="53">
        <f>IF($AA321="",0,IF(INDEX(Fertilisants!$C$8:$C$47,$AA321)="Effluent d'élevage",1,0))</f>
        <v>0</v>
      </c>
      <c r="AN321" s="53" t="str">
        <f>IF($AA321="","",IF(INDEX(Fertilisants!$C$8:$C$47,$AA321)="Engrais minéral","Minéral","Organique"))</f>
        <v/>
      </c>
      <c r="AO321" s="53" t="str">
        <f t="shared" si="67"/>
        <v/>
      </c>
      <c r="AP321" s="53" t="str">
        <f t="shared" si="68"/>
        <v/>
      </c>
      <c r="AQ321" s="53" t="str">
        <f t="shared" si="69"/>
        <v/>
      </c>
      <c r="AR321" s="53" t="str">
        <f>IF(AND($D321&lt;&gt;"",$D321=FicheIlot),COUNTIF($D$8:$D321,FicheIlot),"")</f>
        <v/>
      </c>
    </row>
    <row r="322" spans="2:44" ht="18.95" customHeight="1" x14ac:dyDescent="0.25">
      <c r="B322" s="42" t="str">
        <f>IF(C322="","",COUNT($C$8:C322))</f>
        <v/>
      </c>
      <c r="C322" s="43"/>
      <c r="D322" s="44"/>
      <c r="E322" s="45" t="str">
        <f>IF($Z322="","",IF($F322=ApportCouvert,INDEX(Îlots!$I$8:$I$57,$Z322)&amp;"",INDEX(Îlots!$N$8:$N$57,$Z322)&amp;""))</f>
        <v/>
      </c>
      <c r="F322" s="44"/>
      <c r="G322" s="44"/>
      <c r="H322" s="46" t="str">
        <f>IF($AA322="","",INDEX(Fertilisants!$D$8:$D$47,$AA322)&amp;"")</f>
        <v/>
      </c>
      <c r="I322" s="47"/>
      <c r="J322" s="48"/>
      <c r="K322" s="46" t="str">
        <f>IF($AA322="","",INDEX(Fertilisants!$E$8:$E$47,$AA322)&amp;"")</f>
        <v/>
      </c>
      <c r="L322" s="49" t="str">
        <f t="shared" si="56"/>
        <v/>
      </c>
      <c r="M322" s="50" t="str">
        <f>IF(OR($J322="",$AA322=""),"",$J322*N(INDEX(Fertilisants!$G$8:$G$47,$AA322)))</f>
        <v/>
      </c>
      <c r="N322" s="50" t="str">
        <f>IF(OR($J322="",$AA322=""),"",$J322*N(INDEX(Fertilisants!$I$8:$I$47,$AA322)))</f>
        <v/>
      </c>
      <c r="O322" s="50" t="str">
        <f>IF(OR($J322="",$AA322=""),"",$J322*N(INDEX(Fertilisants!$J$8:$J$47,$AA322)))</f>
        <v/>
      </c>
      <c r="P322" s="50" t="str">
        <f>IF(OR($J322="",$AA322=""),"",$J322*N(INDEX(Fertilisants!$K$8:$K$47,$AA322)))</f>
        <v/>
      </c>
      <c r="Q322" s="50" t="str">
        <f t="shared" si="57"/>
        <v/>
      </c>
      <c r="R322" s="44"/>
      <c r="S322" s="44"/>
      <c r="T322" s="51"/>
      <c r="U322" s="44"/>
      <c r="V322" s="43"/>
      <c r="W322" s="52" t="str">
        <f t="shared" si="58"/>
        <v/>
      </c>
      <c r="X322" s="44"/>
      <c r="Z322" s="53" t="str">
        <f>IF($D322="","",IFERROR(MATCH($D322,Îlots!$D$8:$D$57,0),""))</f>
        <v/>
      </c>
      <c r="AA322" s="53" t="str">
        <f>IF($G322="","",IFERROR(MATCH($G322,Fertilisants!$B$8:$B$47,0),""))</f>
        <v/>
      </c>
      <c r="AB322" s="53" t="str">
        <f>IF($Z322="","",INDEX(Îlots!$E$8:$E$57,$Z322))</f>
        <v/>
      </c>
      <c r="AC322" s="53" t="str">
        <f>IF($Z322="","",INDEX(Îlots!$G$8:$G$57,$Z322)&amp;"")</f>
        <v/>
      </c>
      <c r="AD322" s="53" t="str">
        <f>IF($Z322="","",IF($F322=ApportCouvert,OccCouvert,INDEX(Îlots!$O$8:$O$57,$Z322)&amp;""))</f>
        <v/>
      </c>
      <c r="AE322" s="53" t="str">
        <f t="shared" si="59"/>
        <v/>
      </c>
      <c r="AF322" s="53" t="str">
        <f t="shared" si="60"/>
        <v/>
      </c>
      <c r="AG322" s="53" t="str">
        <f t="shared" si="61"/>
        <v/>
      </c>
      <c r="AH322" s="53">
        <f t="shared" si="62"/>
        <v>0</v>
      </c>
      <c r="AI322" s="53">
        <f t="shared" si="63"/>
        <v>0</v>
      </c>
      <c r="AJ322" s="53">
        <f t="shared" si="64"/>
        <v>0</v>
      </c>
      <c r="AK322" s="53">
        <f t="shared" si="65"/>
        <v>0</v>
      </c>
      <c r="AL322" s="53">
        <f t="shared" si="66"/>
        <v>0</v>
      </c>
      <c r="AM322" s="53">
        <f>IF($AA322="",0,IF(INDEX(Fertilisants!$C$8:$C$47,$AA322)="Effluent d'élevage",1,0))</f>
        <v>0</v>
      </c>
      <c r="AN322" s="53" t="str">
        <f>IF($AA322="","",IF(INDEX(Fertilisants!$C$8:$C$47,$AA322)="Engrais minéral","Minéral","Organique"))</f>
        <v/>
      </c>
      <c r="AO322" s="53" t="str">
        <f t="shared" si="67"/>
        <v/>
      </c>
      <c r="AP322" s="53" t="str">
        <f t="shared" si="68"/>
        <v/>
      </c>
      <c r="AQ322" s="53" t="str">
        <f t="shared" si="69"/>
        <v/>
      </c>
      <c r="AR322" s="53" t="str">
        <f>IF(AND($D322&lt;&gt;"",$D322=FicheIlot),COUNTIF($D$8:$D322,FicheIlot),"")</f>
        <v/>
      </c>
    </row>
    <row r="323" spans="2:44" ht="18.95" customHeight="1" x14ac:dyDescent="0.25">
      <c r="B323" s="42" t="str">
        <f>IF(C323="","",COUNT($C$8:C323))</f>
        <v/>
      </c>
      <c r="C323" s="43"/>
      <c r="D323" s="44"/>
      <c r="E323" s="45" t="str">
        <f>IF($Z323="","",IF($F323=ApportCouvert,INDEX(Îlots!$I$8:$I$57,$Z323)&amp;"",INDEX(Îlots!$N$8:$N$57,$Z323)&amp;""))</f>
        <v/>
      </c>
      <c r="F323" s="44"/>
      <c r="G323" s="44"/>
      <c r="H323" s="46" t="str">
        <f>IF($AA323="","",INDEX(Fertilisants!$D$8:$D$47,$AA323)&amp;"")</f>
        <v/>
      </c>
      <c r="I323" s="47"/>
      <c r="J323" s="48"/>
      <c r="K323" s="46" t="str">
        <f>IF($AA323="","",INDEX(Fertilisants!$E$8:$E$47,$AA323)&amp;"")</f>
        <v/>
      </c>
      <c r="L323" s="49" t="str">
        <f t="shared" si="56"/>
        <v/>
      </c>
      <c r="M323" s="50" t="str">
        <f>IF(OR($J323="",$AA323=""),"",$J323*N(INDEX(Fertilisants!$G$8:$G$47,$AA323)))</f>
        <v/>
      </c>
      <c r="N323" s="50" t="str">
        <f>IF(OR($J323="",$AA323=""),"",$J323*N(INDEX(Fertilisants!$I$8:$I$47,$AA323)))</f>
        <v/>
      </c>
      <c r="O323" s="50" t="str">
        <f>IF(OR($J323="",$AA323=""),"",$J323*N(INDEX(Fertilisants!$J$8:$J$47,$AA323)))</f>
        <v/>
      </c>
      <c r="P323" s="50" t="str">
        <f>IF(OR($J323="",$AA323=""),"",$J323*N(INDEX(Fertilisants!$K$8:$K$47,$AA323)))</f>
        <v/>
      </c>
      <c r="Q323" s="50" t="str">
        <f t="shared" si="57"/>
        <v/>
      </c>
      <c r="R323" s="44"/>
      <c r="S323" s="44"/>
      <c r="T323" s="51"/>
      <c r="U323" s="44"/>
      <c r="V323" s="43"/>
      <c r="W323" s="52" t="str">
        <f t="shared" si="58"/>
        <v/>
      </c>
      <c r="X323" s="44"/>
      <c r="Z323" s="53" t="str">
        <f>IF($D323="","",IFERROR(MATCH($D323,Îlots!$D$8:$D$57,0),""))</f>
        <v/>
      </c>
      <c r="AA323" s="53" t="str">
        <f>IF($G323="","",IFERROR(MATCH($G323,Fertilisants!$B$8:$B$47,0),""))</f>
        <v/>
      </c>
      <c r="AB323" s="53" t="str">
        <f>IF($Z323="","",INDEX(Îlots!$E$8:$E$57,$Z323))</f>
        <v/>
      </c>
      <c r="AC323" s="53" t="str">
        <f>IF($Z323="","",INDEX(Îlots!$G$8:$G$57,$Z323)&amp;"")</f>
        <v/>
      </c>
      <c r="AD323" s="53" t="str">
        <f>IF($Z323="","",IF($F323=ApportCouvert,OccCouvert,INDEX(Îlots!$O$8:$O$57,$Z323)&amp;""))</f>
        <v/>
      </c>
      <c r="AE323" s="53" t="str">
        <f t="shared" si="59"/>
        <v/>
      </c>
      <c r="AF323" s="53" t="str">
        <f t="shared" si="60"/>
        <v/>
      </c>
      <c r="AG323" s="53" t="str">
        <f t="shared" si="61"/>
        <v/>
      </c>
      <c r="AH323" s="53">
        <f t="shared" si="62"/>
        <v>0</v>
      </c>
      <c r="AI323" s="53">
        <f t="shared" si="63"/>
        <v>0</v>
      </c>
      <c r="AJ323" s="53">
        <f t="shared" si="64"/>
        <v>0</v>
      </c>
      <c r="AK323" s="53">
        <f t="shared" si="65"/>
        <v>0</v>
      </c>
      <c r="AL323" s="53">
        <f t="shared" si="66"/>
        <v>0</v>
      </c>
      <c r="AM323" s="53">
        <f>IF($AA323="",0,IF(INDEX(Fertilisants!$C$8:$C$47,$AA323)="Effluent d'élevage",1,0))</f>
        <v>0</v>
      </c>
      <c r="AN323" s="53" t="str">
        <f>IF($AA323="","",IF(INDEX(Fertilisants!$C$8:$C$47,$AA323)="Engrais minéral","Minéral","Organique"))</f>
        <v/>
      </c>
      <c r="AO323" s="53" t="str">
        <f t="shared" si="67"/>
        <v/>
      </c>
      <c r="AP323" s="53" t="str">
        <f t="shared" si="68"/>
        <v/>
      </c>
      <c r="AQ323" s="53" t="str">
        <f t="shared" si="69"/>
        <v/>
      </c>
      <c r="AR323" s="53" t="str">
        <f>IF(AND($D323&lt;&gt;"",$D323=FicheIlot),COUNTIF($D$8:$D323,FicheIlot),"")</f>
        <v/>
      </c>
    </row>
    <row r="324" spans="2:44" ht="18.95" customHeight="1" x14ac:dyDescent="0.25">
      <c r="B324" s="42" t="str">
        <f>IF(C324="","",COUNT($C$8:C324))</f>
        <v/>
      </c>
      <c r="C324" s="43"/>
      <c r="D324" s="44"/>
      <c r="E324" s="45" t="str">
        <f>IF($Z324="","",IF($F324=ApportCouvert,INDEX(Îlots!$I$8:$I$57,$Z324)&amp;"",INDEX(Îlots!$N$8:$N$57,$Z324)&amp;""))</f>
        <v/>
      </c>
      <c r="F324" s="44"/>
      <c r="G324" s="44"/>
      <c r="H324" s="46" t="str">
        <f>IF($AA324="","",INDEX(Fertilisants!$D$8:$D$47,$AA324)&amp;"")</f>
        <v/>
      </c>
      <c r="I324" s="47"/>
      <c r="J324" s="48"/>
      <c r="K324" s="46" t="str">
        <f>IF($AA324="","",INDEX(Fertilisants!$E$8:$E$47,$AA324)&amp;"")</f>
        <v/>
      </c>
      <c r="L324" s="49" t="str">
        <f t="shared" si="56"/>
        <v/>
      </c>
      <c r="M324" s="50" t="str">
        <f>IF(OR($J324="",$AA324=""),"",$J324*N(INDEX(Fertilisants!$G$8:$G$47,$AA324)))</f>
        <v/>
      </c>
      <c r="N324" s="50" t="str">
        <f>IF(OR($J324="",$AA324=""),"",$J324*N(INDEX(Fertilisants!$I$8:$I$47,$AA324)))</f>
        <v/>
      </c>
      <c r="O324" s="50" t="str">
        <f>IF(OR($J324="",$AA324=""),"",$J324*N(INDEX(Fertilisants!$J$8:$J$47,$AA324)))</f>
        <v/>
      </c>
      <c r="P324" s="50" t="str">
        <f>IF(OR($J324="",$AA324=""),"",$J324*N(INDEX(Fertilisants!$K$8:$K$47,$AA324)))</f>
        <v/>
      </c>
      <c r="Q324" s="50" t="str">
        <f t="shared" si="57"/>
        <v/>
      </c>
      <c r="R324" s="44"/>
      <c r="S324" s="44"/>
      <c r="T324" s="51"/>
      <c r="U324" s="44"/>
      <c r="V324" s="43"/>
      <c r="W324" s="52" t="str">
        <f t="shared" si="58"/>
        <v/>
      </c>
      <c r="X324" s="44"/>
      <c r="Z324" s="53" t="str">
        <f>IF($D324="","",IFERROR(MATCH($D324,Îlots!$D$8:$D$57,0),""))</f>
        <v/>
      </c>
      <c r="AA324" s="53" t="str">
        <f>IF($G324="","",IFERROR(MATCH($G324,Fertilisants!$B$8:$B$47,0),""))</f>
        <v/>
      </c>
      <c r="AB324" s="53" t="str">
        <f>IF($Z324="","",INDEX(Îlots!$E$8:$E$57,$Z324))</f>
        <v/>
      </c>
      <c r="AC324" s="53" t="str">
        <f>IF($Z324="","",INDEX(Îlots!$G$8:$G$57,$Z324)&amp;"")</f>
        <v/>
      </c>
      <c r="AD324" s="53" t="str">
        <f>IF($Z324="","",IF($F324=ApportCouvert,OccCouvert,INDEX(Îlots!$O$8:$O$57,$Z324)&amp;""))</f>
        <v/>
      </c>
      <c r="AE324" s="53" t="str">
        <f t="shared" si="59"/>
        <v/>
      </c>
      <c r="AF324" s="53" t="str">
        <f t="shared" si="60"/>
        <v/>
      </c>
      <c r="AG324" s="53" t="str">
        <f t="shared" si="61"/>
        <v/>
      </c>
      <c r="AH324" s="53">
        <f t="shared" si="62"/>
        <v>0</v>
      </c>
      <c r="AI324" s="53">
        <f t="shared" si="63"/>
        <v>0</v>
      </c>
      <c r="AJ324" s="53">
        <f t="shared" si="64"/>
        <v>0</v>
      </c>
      <c r="AK324" s="53">
        <f t="shared" si="65"/>
        <v>0</v>
      </c>
      <c r="AL324" s="53">
        <f t="shared" si="66"/>
        <v>0</v>
      </c>
      <c r="AM324" s="53">
        <f>IF($AA324="",0,IF(INDEX(Fertilisants!$C$8:$C$47,$AA324)="Effluent d'élevage",1,0))</f>
        <v>0</v>
      </c>
      <c r="AN324" s="53" t="str">
        <f>IF($AA324="","",IF(INDEX(Fertilisants!$C$8:$C$47,$AA324)="Engrais minéral","Minéral","Organique"))</f>
        <v/>
      </c>
      <c r="AO324" s="53" t="str">
        <f t="shared" si="67"/>
        <v/>
      </c>
      <c r="AP324" s="53" t="str">
        <f t="shared" si="68"/>
        <v/>
      </c>
      <c r="AQ324" s="53" t="str">
        <f t="shared" si="69"/>
        <v/>
      </c>
      <c r="AR324" s="53" t="str">
        <f>IF(AND($D324&lt;&gt;"",$D324=FicheIlot),COUNTIF($D$8:$D324,FicheIlot),"")</f>
        <v/>
      </c>
    </row>
    <row r="325" spans="2:44" ht="18.95" customHeight="1" x14ac:dyDescent="0.25">
      <c r="B325" s="42" t="str">
        <f>IF(C325="","",COUNT($C$8:C325))</f>
        <v/>
      </c>
      <c r="C325" s="43"/>
      <c r="D325" s="44"/>
      <c r="E325" s="45" t="str">
        <f>IF($Z325="","",IF($F325=ApportCouvert,INDEX(Îlots!$I$8:$I$57,$Z325)&amp;"",INDEX(Îlots!$N$8:$N$57,$Z325)&amp;""))</f>
        <v/>
      </c>
      <c r="F325" s="44"/>
      <c r="G325" s="44"/>
      <c r="H325" s="46" t="str">
        <f>IF($AA325="","",INDEX(Fertilisants!$D$8:$D$47,$AA325)&amp;"")</f>
        <v/>
      </c>
      <c r="I325" s="47"/>
      <c r="J325" s="48"/>
      <c r="K325" s="46" t="str">
        <f>IF($AA325="","",INDEX(Fertilisants!$E$8:$E$47,$AA325)&amp;"")</f>
        <v/>
      </c>
      <c r="L325" s="49" t="str">
        <f t="shared" si="56"/>
        <v/>
      </c>
      <c r="M325" s="50" t="str">
        <f>IF(OR($J325="",$AA325=""),"",$J325*N(INDEX(Fertilisants!$G$8:$G$47,$AA325)))</f>
        <v/>
      </c>
      <c r="N325" s="50" t="str">
        <f>IF(OR($J325="",$AA325=""),"",$J325*N(INDEX(Fertilisants!$I$8:$I$47,$AA325)))</f>
        <v/>
      </c>
      <c r="O325" s="50" t="str">
        <f>IF(OR($J325="",$AA325=""),"",$J325*N(INDEX(Fertilisants!$J$8:$J$47,$AA325)))</f>
        <v/>
      </c>
      <c r="P325" s="50" t="str">
        <f>IF(OR($J325="",$AA325=""),"",$J325*N(INDEX(Fertilisants!$K$8:$K$47,$AA325)))</f>
        <v/>
      </c>
      <c r="Q325" s="50" t="str">
        <f t="shared" si="57"/>
        <v/>
      </c>
      <c r="R325" s="44"/>
      <c r="S325" s="44"/>
      <c r="T325" s="51"/>
      <c r="U325" s="44"/>
      <c r="V325" s="43"/>
      <c r="W325" s="52" t="str">
        <f t="shared" si="58"/>
        <v/>
      </c>
      <c r="X325" s="44"/>
      <c r="Z325" s="53" t="str">
        <f>IF($D325="","",IFERROR(MATCH($D325,Îlots!$D$8:$D$57,0),""))</f>
        <v/>
      </c>
      <c r="AA325" s="53" t="str">
        <f>IF($G325="","",IFERROR(MATCH($G325,Fertilisants!$B$8:$B$47,0),""))</f>
        <v/>
      </c>
      <c r="AB325" s="53" t="str">
        <f>IF($Z325="","",INDEX(Îlots!$E$8:$E$57,$Z325))</f>
        <v/>
      </c>
      <c r="AC325" s="53" t="str">
        <f>IF($Z325="","",INDEX(Îlots!$G$8:$G$57,$Z325)&amp;"")</f>
        <v/>
      </c>
      <c r="AD325" s="53" t="str">
        <f>IF($Z325="","",IF($F325=ApportCouvert,OccCouvert,INDEX(Îlots!$O$8:$O$57,$Z325)&amp;""))</f>
        <v/>
      </c>
      <c r="AE325" s="53" t="str">
        <f t="shared" si="59"/>
        <v/>
      </c>
      <c r="AF325" s="53" t="str">
        <f t="shared" si="60"/>
        <v/>
      </c>
      <c r="AG325" s="53" t="str">
        <f t="shared" si="61"/>
        <v/>
      </c>
      <c r="AH325" s="53">
        <f t="shared" si="62"/>
        <v>0</v>
      </c>
      <c r="AI325" s="53">
        <f t="shared" si="63"/>
        <v>0</v>
      </c>
      <c r="AJ325" s="53">
        <f t="shared" si="64"/>
        <v>0</v>
      </c>
      <c r="AK325" s="53">
        <f t="shared" si="65"/>
        <v>0</v>
      </c>
      <c r="AL325" s="53">
        <f t="shared" si="66"/>
        <v>0</v>
      </c>
      <c r="AM325" s="53">
        <f>IF($AA325="",0,IF(INDEX(Fertilisants!$C$8:$C$47,$AA325)="Effluent d'élevage",1,0))</f>
        <v>0</v>
      </c>
      <c r="AN325" s="53" t="str">
        <f>IF($AA325="","",IF(INDEX(Fertilisants!$C$8:$C$47,$AA325)="Engrais minéral","Minéral","Organique"))</f>
        <v/>
      </c>
      <c r="AO325" s="53" t="str">
        <f t="shared" si="67"/>
        <v/>
      </c>
      <c r="AP325" s="53" t="str">
        <f t="shared" si="68"/>
        <v/>
      </c>
      <c r="AQ325" s="53" t="str">
        <f t="shared" si="69"/>
        <v/>
      </c>
      <c r="AR325" s="53" t="str">
        <f>IF(AND($D325&lt;&gt;"",$D325=FicheIlot),COUNTIF($D$8:$D325,FicheIlot),"")</f>
        <v/>
      </c>
    </row>
    <row r="326" spans="2:44" ht="18.95" customHeight="1" x14ac:dyDescent="0.25">
      <c r="B326" s="42" t="str">
        <f>IF(C326="","",COUNT($C$8:C326))</f>
        <v/>
      </c>
      <c r="C326" s="43"/>
      <c r="D326" s="44"/>
      <c r="E326" s="45" t="str">
        <f>IF($Z326="","",IF($F326=ApportCouvert,INDEX(Îlots!$I$8:$I$57,$Z326)&amp;"",INDEX(Îlots!$N$8:$N$57,$Z326)&amp;""))</f>
        <v/>
      </c>
      <c r="F326" s="44"/>
      <c r="G326" s="44"/>
      <c r="H326" s="46" t="str">
        <f>IF($AA326="","",INDEX(Fertilisants!$D$8:$D$47,$AA326)&amp;"")</f>
        <v/>
      </c>
      <c r="I326" s="47"/>
      <c r="J326" s="48"/>
      <c r="K326" s="46" t="str">
        <f>IF($AA326="","",INDEX(Fertilisants!$E$8:$E$47,$AA326)&amp;"")</f>
        <v/>
      </c>
      <c r="L326" s="49" t="str">
        <f t="shared" si="56"/>
        <v/>
      </c>
      <c r="M326" s="50" t="str">
        <f>IF(OR($J326="",$AA326=""),"",$J326*N(INDEX(Fertilisants!$G$8:$G$47,$AA326)))</f>
        <v/>
      </c>
      <c r="N326" s="50" t="str">
        <f>IF(OR($J326="",$AA326=""),"",$J326*N(INDEX(Fertilisants!$I$8:$I$47,$AA326)))</f>
        <v/>
      </c>
      <c r="O326" s="50" t="str">
        <f>IF(OR($J326="",$AA326=""),"",$J326*N(INDEX(Fertilisants!$J$8:$J$47,$AA326)))</f>
        <v/>
      </c>
      <c r="P326" s="50" t="str">
        <f>IF(OR($J326="",$AA326=""),"",$J326*N(INDEX(Fertilisants!$K$8:$K$47,$AA326)))</f>
        <v/>
      </c>
      <c r="Q326" s="50" t="str">
        <f t="shared" si="57"/>
        <v/>
      </c>
      <c r="R326" s="44"/>
      <c r="S326" s="44"/>
      <c r="T326" s="51"/>
      <c r="U326" s="44"/>
      <c r="V326" s="43"/>
      <c r="W326" s="52" t="str">
        <f t="shared" si="58"/>
        <v/>
      </c>
      <c r="X326" s="44"/>
      <c r="Z326" s="53" t="str">
        <f>IF($D326="","",IFERROR(MATCH($D326,Îlots!$D$8:$D$57,0),""))</f>
        <v/>
      </c>
      <c r="AA326" s="53" t="str">
        <f>IF($G326="","",IFERROR(MATCH($G326,Fertilisants!$B$8:$B$47,0),""))</f>
        <v/>
      </c>
      <c r="AB326" s="53" t="str">
        <f>IF($Z326="","",INDEX(Îlots!$E$8:$E$57,$Z326))</f>
        <v/>
      </c>
      <c r="AC326" s="53" t="str">
        <f>IF($Z326="","",INDEX(Îlots!$G$8:$G$57,$Z326)&amp;"")</f>
        <v/>
      </c>
      <c r="AD326" s="53" t="str">
        <f>IF($Z326="","",IF($F326=ApportCouvert,OccCouvert,INDEX(Îlots!$O$8:$O$57,$Z326)&amp;""))</f>
        <v/>
      </c>
      <c r="AE326" s="53" t="str">
        <f t="shared" si="59"/>
        <v/>
      </c>
      <c r="AF326" s="53" t="str">
        <f t="shared" si="60"/>
        <v/>
      </c>
      <c r="AG326" s="53" t="str">
        <f t="shared" si="61"/>
        <v/>
      </c>
      <c r="AH326" s="53">
        <f t="shared" si="62"/>
        <v>0</v>
      </c>
      <c r="AI326" s="53">
        <f t="shared" si="63"/>
        <v>0</v>
      </c>
      <c r="AJ326" s="53">
        <f t="shared" si="64"/>
        <v>0</v>
      </c>
      <c r="AK326" s="53">
        <f t="shared" si="65"/>
        <v>0</v>
      </c>
      <c r="AL326" s="53">
        <f t="shared" si="66"/>
        <v>0</v>
      </c>
      <c r="AM326" s="53">
        <f>IF($AA326="",0,IF(INDEX(Fertilisants!$C$8:$C$47,$AA326)="Effluent d'élevage",1,0))</f>
        <v>0</v>
      </c>
      <c r="AN326" s="53" t="str">
        <f>IF($AA326="","",IF(INDEX(Fertilisants!$C$8:$C$47,$AA326)="Engrais minéral","Minéral","Organique"))</f>
        <v/>
      </c>
      <c r="AO326" s="53" t="str">
        <f t="shared" si="67"/>
        <v/>
      </c>
      <c r="AP326" s="53" t="str">
        <f t="shared" si="68"/>
        <v/>
      </c>
      <c r="AQ326" s="53" t="str">
        <f t="shared" si="69"/>
        <v/>
      </c>
      <c r="AR326" s="53" t="str">
        <f>IF(AND($D326&lt;&gt;"",$D326=FicheIlot),COUNTIF($D$8:$D326,FicheIlot),"")</f>
        <v/>
      </c>
    </row>
    <row r="327" spans="2:44" ht="18.95" customHeight="1" x14ac:dyDescent="0.25">
      <c r="B327" s="42" t="str">
        <f>IF(C327="","",COUNT($C$8:C327))</f>
        <v/>
      </c>
      <c r="C327" s="43"/>
      <c r="D327" s="44"/>
      <c r="E327" s="45" t="str">
        <f>IF($Z327="","",IF($F327=ApportCouvert,INDEX(Îlots!$I$8:$I$57,$Z327)&amp;"",INDEX(Îlots!$N$8:$N$57,$Z327)&amp;""))</f>
        <v/>
      </c>
      <c r="F327" s="44"/>
      <c r="G327" s="44"/>
      <c r="H327" s="46" t="str">
        <f>IF($AA327="","",INDEX(Fertilisants!$D$8:$D$47,$AA327)&amp;"")</f>
        <v/>
      </c>
      <c r="I327" s="47"/>
      <c r="J327" s="48"/>
      <c r="K327" s="46" t="str">
        <f>IF($AA327="","",INDEX(Fertilisants!$E$8:$E$47,$AA327)&amp;"")</f>
        <v/>
      </c>
      <c r="L327" s="49" t="str">
        <f t="shared" si="56"/>
        <v/>
      </c>
      <c r="M327" s="50" t="str">
        <f>IF(OR($J327="",$AA327=""),"",$J327*N(INDEX(Fertilisants!$G$8:$G$47,$AA327)))</f>
        <v/>
      </c>
      <c r="N327" s="50" t="str">
        <f>IF(OR($J327="",$AA327=""),"",$J327*N(INDEX(Fertilisants!$I$8:$I$47,$AA327)))</f>
        <v/>
      </c>
      <c r="O327" s="50" t="str">
        <f>IF(OR($J327="",$AA327=""),"",$J327*N(INDEX(Fertilisants!$J$8:$J$47,$AA327)))</f>
        <v/>
      </c>
      <c r="P327" s="50" t="str">
        <f>IF(OR($J327="",$AA327=""),"",$J327*N(INDEX(Fertilisants!$K$8:$K$47,$AA327)))</f>
        <v/>
      </c>
      <c r="Q327" s="50" t="str">
        <f t="shared" si="57"/>
        <v/>
      </c>
      <c r="R327" s="44"/>
      <c r="S327" s="44"/>
      <c r="T327" s="51"/>
      <c r="U327" s="44"/>
      <c r="V327" s="43"/>
      <c r="W327" s="52" t="str">
        <f t="shared" si="58"/>
        <v/>
      </c>
      <c r="X327" s="44"/>
      <c r="Z327" s="53" t="str">
        <f>IF($D327="","",IFERROR(MATCH($D327,Îlots!$D$8:$D$57,0),""))</f>
        <v/>
      </c>
      <c r="AA327" s="53" t="str">
        <f>IF($G327="","",IFERROR(MATCH($G327,Fertilisants!$B$8:$B$47,0),""))</f>
        <v/>
      </c>
      <c r="AB327" s="53" t="str">
        <f>IF($Z327="","",INDEX(Îlots!$E$8:$E$57,$Z327))</f>
        <v/>
      </c>
      <c r="AC327" s="53" t="str">
        <f>IF($Z327="","",INDEX(Îlots!$G$8:$G$57,$Z327)&amp;"")</f>
        <v/>
      </c>
      <c r="AD327" s="53" t="str">
        <f>IF($Z327="","",IF($F327=ApportCouvert,OccCouvert,INDEX(Îlots!$O$8:$O$57,$Z327)&amp;""))</f>
        <v/>
      </c>
      <c r="AE327" s="53" t="str">
        <f t="shared" si="59"/>
        <v/>
      </c>
      <c r="AF327" s="53" t="str">
        <f t="shared" si="60"/>
        <v/>
      </c>
      <c r="AG327" s="53" t="str">
        <f t="shared" si="61"/>
        <v/>
      </c>
      <c r="AH327" s="53">
        <f t="shared" si="62"/>
        <v>0</v>
      </c>
      <c r="AI327" s="53">
        <f t="shared" si="63"/>
        <v>0</v>
      </c>
      <c r="AJ327" s="53">
        <f t="shared" si="64"/>
        <v>0</v>
      </c>
      <c r="AK327" s="53">
        <f t="shared" si="65"/>
        <v>0</v>
      </c>
      <c r="AL327" s="53">
        <f t="shared" si="66"/>
        <v>0</v>
      </c>
      <c r="AM327" s="53">
        <f>IF($AA327="",0,IF(INDEX(Fertilisants!$C$8:$C$47,$AA327)="Effluent d'élevage",1,0))</f>
        <v>0</v>
      </c>
      <c r="AN327" s="53" t="str">
        <f>IF($AA327="","",IF(INDEX(Fertilisants!$C$8:$C$47,$AA327)="Engrais minéral","Minéral","Organique"))</f>
        <v/>
      </c>
      <c r="AO327" s="53" t="str">
        <f t="shared" si="67"/>
        <v/>
      </c>
      <c r="AP327" s="53" t="str">
        <f t="shared" si="68"/>
        <v/>
      </c>
      <c r="AQ327" s="53" t="str">
        <f t="shared" si="69"/>
        <v/>
      </c>
      <c r="AR327" s="53" t="str">
        <f>IF(AND($D327&lt;&gt;"",$D327=FicheIlot),COUNTIF($D$8:$D327,FicheIlot),"")</f>
        <v/>
      </c>
    </row>
    <row r="328" spans="2:44" ht="18.95" customHeight="1" x14ac:dyDescent="0.25">
      <c r="B328" s="42" t="str">
        <f>IF(C328="","",COUNT($C$8:C328))</f>
        <v/>
      </c>
      <c r="C328" s="43"/>
      <c r="D328" s="44"/>
      <c r="E328" s="45" t="str">
        <f>IF($Z328="","",IF($F328=ApportCouvert,INDEX(Îlots!$I$8:$I$57,$Z328)&amp;"",INDEX(Îlots!$N$8:$N$57,$Z328)&amp;""))</f>
        <v/>
      </c>
      <c r="F328" s="44"/>
      <c r="G328" s="44"/>
      <c r="H328" s="46" t="str">
        <f>IF($AA328="","",INDEX(Fertilisants!$D$8:$D$47,$AA328)&amp;"")</f>
        <v/>
      </c>
      <c r="I328" s="47"/>
      <c r="J328" s="48"/>
      <c r="K328" s="46" t="str">
        <f>IF($AA328="","",INDEX(Fertilisants!$E$8:$E$47,$AA328)&amp;"")</f>
        <v/>
      </c>
      <c r="L328" s="49" t="str">
        <f t="shared" ref="L328:L391" si="70">IF(OR($I328="",$J328=""),"",$I328*$J328)</f>
        <v/>
      </c>
      <c r="M328" s="50" t="str">
        <f>IF(OR($J328="",$AA328=""),"",$J328*N(INDEX(Fertilisants!$G$8:$G$47,$AA328)))</f>
        <v/>
      </c>
      <c r="N328" s="50" t="str">
        <f>IF(OR($J328="",$AA328=""),"",$J328*N(INDEX(Fertilisants!$I$8:$I$47,$AA328)))</f>
        <v/>
      </c>
      <c r="O328" s="50" t="str">
        <f>IF(OR($J328="",$AA328=""),"",$J328*N(INDEX(Fertilisants!$J$8:$J$47,$AA328)))</f>
        <v/>
      </c>
      <c r="P328" s="50" t="str">
        <f>IF(OR($J328="",$AA328=""),"",$J328*N(INDEX(Fertilisants!$K$8:$K$47,$AA328)))</f>
        <v/>
      </c>
      <c r="Q328" s="50" t="str">
        <f t="shared" ref="Q328:Q391" si="71">IF(OR($I328="",$M328=""),"",$I328*$M328)</f>
        <v/>
      </c>
      <c r="R328" s="44"/>
      <c r="S328" s="44"/>
      <c r="T328" s="51"/>
      <c r="U328" s="44"/>
      <c r="V328" s="43"/>
      <c r="W328" s="52" t="str">
        <f t="shared" ref="W328:W391" si="72">IF($C328="","",IF(OR($D328="",$G328="",$I328="",$J328=""),"Incomplet",IF(OR($R328="Enneigé",$R328="Détrempé",$R328="Inondé",AND($R328="Gelé",$H328&lt;&gt;"Type 0",$H328&lt;&gt;"Type Ia")),"Sol interdit",IF($AL328=1,"Période interdite",IF(AND(ISNUMBER($AB328),$I328&gt;$AB328+0.001),"Surface &gt; îlot",IF(OR($C328&lt;DebutCampagne,$C328&gt;FinCampagne),"Hors campagne",IF(AND(ISNUMBER($V328),$V328-$C328&gt;DelaiSaisie),"Saisie tardive","Conforme")))))))</f>
        <v/>
      </c>
      <c r="X328" s="44"/>
      <c r="Z328" s="53" t="str">
        <f>IF($D328="","",IFERROR(MATCH($D328,Îlots!$D$8:$D$57,0),""))</f>
        <v/>
      </c>
      <c r="AA328" s="53" t="str">
        <f>IF($G328="","",IFERROR(MATCH($G328,Fertilisants!$B$8:$B$47,0),""))</f>
        <v/>
      </c>
      <c r="AB328" s="53" t="str">
        <f>IF($Z328="","",INDEX(Îlots!$E$8:$E$57,$Z328))</f>
        <v/>
      </c>
      <c r="AC328" s="53" t="str">
        <f>IF($Z328="","",INDEX(Îlots!$G$8:$G$57,$Z328)&amp;"")</f>
        <v/>
      </c>
      <c r="AD328" s="53" t="str">
        <f>IF($Z328="","",IF($F328=ApportCouvert,OccCouvert,INDEX(Îlots!$O$8:$O$57,$Z328)&amp;""))</f>
        <v/>
      </c>
      <c r="AE328" s="53" t="str">
        <f t="shared" ref="AE328:AE391" si="73">IF(OR($AD328="",$AC328="Non",ZoneVulnerable="Non"),"",IFERROR(MATCH($AD328,CalOccupations,0),""))</f>
        <v/>
      </c>
      <c r="AF328" s="53" t="str">
        <f t="shared" ref="AF328:AF391" si="74">IF($H328="","",IFERROR(MATCH($H328,CalTypes,0),""))</f>
        <v/>
      </c>
      <c r="AG328" s="53" t="str">
        <f t="shared" ref="AG328:AG391" si="75">IF(ISNUMBER($C328),MONTH($C328)*100+DAY($C328),"")</f>
        <v/>
      </c>
      <c r="AH328" s="53">
        <f t="shared" ref="AH328:AH391" si="76">IF(OR($AE328="",$AF328=""),0,IF(N(INDEX(CalPrincipal,$AE328,$AF328+0))=0,0,MONTH(INDEX(CalPrincipal,$AE328,$AF328+0))*100+DAY(INDEX(CalPrincipal,$AE328,$AF328+0))))</f>
        <v>0</v>
      </c>
      <c r="AI328" s="53">
        <f t="shared" ref="AI328:AI391" si="77">IF(OR($AE328="",$AF328=""),0,IF(N(INDEX(CalPrincipal,$AE328,$AF328+1))=0,0,MONTH(INDEX(CalPrincipal,$AE328,$AF328+1))*100+DAY(INDEX(CalPrincipal,$AE328,$AF328+1))))</f>
        <v>0</v>
      </c>
      <c r="AJ328" s="53">
        <f t="shared" ref="AJ328:AJ391" si="78">IF(OR($AE328="",$AF328=""),0,IF(N(INDEX(CalComplement,$AE328,$AF328+0))=0,0,MONTH(INDEX(CalComplement,$AE328,$AF328+0))*100+DAY(INDEX(CalComplement,$AE328,$AF328+0))))</f>
        <v>0</v>
      </c>
      <c r="AK328" s="53">
        <f t="shared" ref="AK328:AK391" si="79">IF(OR($AE328="",$AF328=""),0,IF(N(INDEX(CalComplement,$AE328,$AF328+1))=0,0,MONTH(INDEX(CalComplement,$AE328,$AF328+1))*100+DAY(INDEX(CalComplement,$AE328,$AF328+1))))</f>
        <v>0</v>
      </c>
      <c r="AL328" s="53">
        <f t="shared" ref="AL328:AL391" si="80">IF(OR($AE328="",$AF328="",$AG328=""),0,IF(OR(AND($AH328&gt;0,IF($AH328&lt;=$AI328,AND($AG328&gt;=$AH328,$AG328&lt;=$AI328),OR($AG328&gt;=$AH328,$AG328&lt;=$AI328))),AND($AJ328&gt;0,IF($AJ328&lt;=$AK328,AND($AG328&gt;=$AJ328,$AG328&lt;=$AK328),OR($AG328&gt;=$AJ328,$AG328&lt;=$AK328)))),1,0))</f>
        <v>0</v>
      </c>
      <c r="AM328" s="53">
        <f>IF($AA328="",0,IF(INDEX(Fertilisants!$C$8:$C$47,$AA328)="Effluent d'élevage",1,0))</f>
        <v>0</v>
      </c>
      <c r="AN328" s="53" t="str">
        <f>IF($AA328="","",IF(INDEX(Fertilisants!$C$8:$C$47,$AA328)="Engrais minéral","Minéral","Organique"))</f>
        <v/>
      </c>
      <c r="AO328" s="53" t="str">
        <f t="shared" ref="AO328:AO391" si="81">IF(OR($I328="",$N328=""),"",$I328*$N328)</f>
        <v/>
      </c>
      <c r="AP328" s="53" t="str">
        <f t="shared" ref="AP328:AP391" si="82">IF(OR($I328="",$O328=""),"",$I328*$O328)</f>
        <v/>
      </c>
      <c r="AQ328" s="53" t="str">
        <f t="shared" ref="AQ328:AQ391" si="83">IF(OR($I328="",$P328=""),"",$I328*$P328)</f>
        <v/>
      </c>
      <c r="AR328" s="53" t="str">
        <f>IF(AND($D328&lt;&gt;"",$D328=FicheIlot),COUNTIF($D$8:$D328,FicheIlot),"")</f>
        <v/>
      </c>
    </row>
    <row r="329" spans="2:44" ht="18.95" customHeight="1" x14ac:dyDescent="0.25">
      <c r="B329" s="42" t="str">
        <f>IF(C329="","",COUNT($C$8:C329))</f>
        <v/>
      </c>
      <c r="C329" s="43"/>
      <c r="D329" s="44"/>
      <c r="E329" s="45" t="str">
        <f>IF($Z329="","",IF($F329=ApportCouvert,INDEX(Îlots!$I$8:$I$57,$Z329)&amp;"",INDEX(Îlots!$N$8:$N$57,$Z329)&amp;""))</f>
        <v/>
      </c>
      <c r="F329" s="44"/>
      <c r="G329" s="44"/>
      <c r="H329" s="46" t="str">
        <f>IF($AA329="","",INDEX(Fertilisants!$D$8:$D$47,$AA329)&amp;"")</f>
        <v/>
      </c>
      <c r="I329" s="47"/>
      <c r="J329" s="48"/>
      <c r="K329" s="46" t="str">
        <f>IF($AA329="","",INDEX(Fertilisants!$E$8:$E$47,$AA329)&amp;"")</f>
        <v/>
      </c>
      <c r="L329" s="49" t="str">
        <f t="shared" si="70"/>
        <v/>
      </c>
      <c r="M329" s="50" t="str">
        <f>IF(OR($J329="",$AA329=""),"",$J329*N(INDEX(Fertilisants!$G$8:$G$47,$AA329)))</f>
        <v/>
      </c>
      <c r="N329" s="50" t="str">
        <f>IF(OR($J329="",$AA329=""),"",$J329*N(INDEX(Fertilisants!$I$8:$I$47,$AA329)))</f>
        <v/>
      </c>
      <c r="O329" s="50" t="str">
        <f>IF(OR($J329="",$AA329=""),"",$J329*N(INDEX(Fertilisants!$J$8:$J$47,$AA329)))</f>
        <v/>
      </c>
      <c r="P329" s="50" t="str">
        <f>IF(OR($J329="",$AA329=""),"",$J329*N(INDEX(Fertilisants!$K$8:$K$47,$AA329)))</f>
        <v/>
      </c>
      <c r="Q329" s="50" t="str">
        <f t="shared" si="71"/>
        <v/>
      </c>
      <c r="R329" s="44"/>
      <c r="S329" s="44"/>
      <c r="T329" s="51"/>
      <c r="U329" s="44"/>
      <c r="V329" s="43"/>
      <c r="W329" s="52" t="str">
        <f t="shared" si="72"/>
        <v/>
      </c>
      <c r="X329" s="44"/>
      <c r="Z329" s="53" t="str">
        <f>IF($D329="","",IFERROR(MATCH($D329,Îlots!$D$8:$D$57,0),""))</f>
        <v/>
      </c>
      <c r="AA329" s="53" t="str">
        <f>IF($G329="","",IFERROR(MATCH($G329,Fertilisants!$B$8:$B$47,0),""))</f>
        <v/>
      </c>
      <c r="AB329" s="53" t="str">
        <f>IF($Z329="","",INDEX(Îlots!$E$8:$E$57,$Z329))</f>
        <v/>
      </c>
      <c r="AC329" s="53" t="str">
        <f>IF($Z329="","",INDEX(Îlots!$G$8:$G$57,$Z329)&amp;"")</f>
        <v/>
      </c>
      <c r="AD329" s="53" t="str">
        <f>IF($Z329="","",IF($F329=ApportCouvert,OccCouvert,INDEX(Îlots!$O$8:$O$57,$Z329)&amp;""))</f>
        <v/>
      </c>
      <c r="AE329" s="53" t="str">
        <f t="shared" si="73"/>
        <v/>
      </c>
      <c r="AF329" s="53" t="str">
        <f t="shared" si="74"/>
        <v/>
      </c>
      <c r="AG329" s="53" t="str">
        <f t="shared" si="75"/>
        <v/>
      </c>
      <c r="AH329" s="53">
        <f t="shared" si="76"/>
        <v>0</v>
      </c>
      <c r="AI329" s="53">
        <f t="shared" si="77"/>
        <v>0</v>
      </c>
      <c r="AJ329" s="53">
        <f t="shared" si="78"/>
        <v>0</v>
      </c>
      <c r="AK329" s="53">
        <f t="shared" si="79"/>
        <v>0</v>
      </c>
      <c r="AL329" s="53">
        <f t="shared" si="80"/>
        <v>0</v>
      </c>
      <c r="AM329" s="53">
        <f>IF($AA329="",0,IF(INDEX(Fertilisants!$C$8:$C$47,$AA329)="Effluent d'élevage",1,0))</f>
        <v>0</v>
      </c>
      <c r="AN329" s="53" t="str">
        <f>IF($AA329="","",IF(INDEX(Fertilisants!$C$8:$C$47,$AA329)="Engrais minéral","Minéral","Organique"))</f>
        <v/>
      </c>
      <c r="AO329" s="53" t="str">
        <f t="shared" si="81"/>
        <v/>
      </c>
      <c r="AP329" s="53" t="str">
        <f t="shared" si="82"/>
        <v/>
      </c>
      <c r="AQ329" s="53" t="str">
        <f t="shared" si="83"/>
        <v/>
      </c>
      <c r="AR329" s="53" t="str">
        <f>IF(AND($D329&lt;&gt;"",$D329=FicheIlot),COUNTIF($D$8:$D329,FicheIlot),"")</f>
        <v/>
      </c>
    </row>
    <row r="330" spans="2:44" ht="18.95" customHeight="1" x14ac:dyDescent="0.25">
      <c r="B330" s="42" t="str">
        <f>IF(C330="","",COUNT($C$8:C330))</f>
        <v/>
      </c>
      <c r="C330" s="43"/>
      <c r="D330" s="44"/>
      <c r="E330" s="45" t="str">
        <f>IF($Z330="","",IF($F330=ApportCouvert,INDEX(Îlots!$I$8:$I$57,$Z330)&amp;"",INDEX(Îlots!$N$8:$N$57,$Z330)&amp;""))</f>
        <v/>
      </c>
      <c r="F330" s="44"/>
      <c r="G330" s="44"/>
      <c r="H330" s="46" t="str">
        <f>IF($AA330="","",INDEX(Fertilisants!$D$8:$D$47,$AA330)&amp;"")</f>
        <v/>
      </c>
      <c r="I330" s="47"/>
      <c r="J330" s="48"/>
      <c r="K330" s="46" t="str">
        <f>IF($AA330="","",INDEX(Fertilisants!$E$8:$E$47,$AA330)&amp;"")</f>
        <v/>
      </c>
      <c r="L330" s="49" t="str">
        <f t="shared" si="70"/>
        <v/>
      </c>
      <c r="M330" s="50" t="str">
        <f>IF(OR($J330="",$AA330=""),"",$J330*N(INDEX(Fertilisants!$G$8:$G$47,$AA330)))</f>
        <v/>
      </c>
      <c r="N330" s="50" t="str">
        <f>IF(OR($J330="",$AA330=""),"",$J330*N(INDEX(Fertilisants!$I$8:$I$47,$AA330)))</f>
        <v/>
      </c>
      <c r="O330" s="50" t="str">
        <f>IF(OR($J330="",$AA330=""),"",$J330*N(INDEX(Fertilisants!$J$8:$J$47,$AA330)))</f>
        <v/>
      </c>
      <c r="P330" s="50" t="str">
        <f>IF(OR($J330="",$AA330=""),"",$J330*N(INDEX(Fertilisants!$K$8:$K$47,$AA330)))</f>
        <v/>
      </c>
      <c r="Q330" s="50" t="str">
        <f t="shared" si="71"/>
        <v/>
      </c>
      <c r="R330" s="44"/>
      <c r="S330" s="44"/>
      <c r="T330" s="51"/>
      <c r="U330" s="44"/>
      <c r="V330" s="43"/>
      <c r="W330" s="52" t="str">
        <f t="shared" si="72"/>
        <v/>
      </c>
      <c r="X330" s="44"/>
      <c r="Z330" s="53" t="str">
        <f>IF($D330="","",IFERROR(MATCH($D330,Îlots!$D$8:$D$57,0),""))</f>
        <v/>
      </c>
      <c r="AA330" s="53" t="str">
        <f>IF($G330="","",IFERROR(MATCH($G330,Fertilisants!$B$8:$B$47,0),""))</f>
        <v/>
      </c>
      <c r="AB330" s="53" t="str">
        <f>IF($Z330="","",INDEX(Îlots!$E$8:$E$57,$Z330))</f>
        <v/>
      </c>
      <c r="AC330" s="53" t="str">
        <f>IF($Z330="","",INDEX(Îlots!$G$8:$G$57,$Z330)&amp;"")</f>
        <v/>
      </c>
      <c r="AD330" s="53" t="str">
        <f>IF($Z330="","",IF($F330=ApportCouvert,OccCouvert,INDEX(Îlots!$O$8:$O$57,$Z330)&amp;""))</f>
        <v/>
      </c>
      <c r="AE330" s="53" t="str">
        <f t="shared" si="73"/>
        <v/>
      </c>
      <c r="AF330" s="53" t="str">
        <f t="shared" si="74"/>
        <v/>
      </c>
      <c r="AG330" s="53" t="str">
        <f t="shared" si="75"/>
        <v/>
      </c>
      <c r="AH330" s="53">
        <f t="shared" si="76"/>
        <v>0</v>
      </c>
      <c r="AI330" s="53">
        <f t="shared" si="77"/>
        <v>0</v>
      </c>
      <c r="AJ330" s="53">
        <f t="shared" si="78"/>
        <v>0</v>
      </c>
      <c r="AK330" s="53">
        <f t="shared" si="79"/>
        <v>0</v>
      </c>
      <c r="AL330" s="53">
        <f t="shared" si="80"/>
        <v>0</v>
      </c>
      <c r="AM330" s="53">
        <f>IF($AA330="",0,IF(INDEX(Fertilisants!$C$8:$C$47,$AA330)="Effluent d'élevage",1,0))</f>
        <v>0</v>
      </c>
      <c r="AN330" s="53" t="str">
        <f>IF($AA330="","",IF(INDEX(Fertilisants!$C$8:$C$47,$AA330)="Engrais minéral","Minéral","Organique"))</f>
        <v/>
      </c>
      <c r="AO330" s="53" t="str">
        <f t="shared" si="81"/>
        <v/>
      </c>
      <c r="AP330" s="53" t="str">
        <f t="shared" si="82"/>
        <v/>
      </c>
      <c r="AQ330" s="53" t="str">
        <f t="shared" si="83"/>
        <v/>
      </c>
      <c r="AR330" s="53" t="str">
        <f>IF(AND($D330&lt;&gt;"",$D330=FicheIlot),COUNTIF($D$8:$D330,FicheIlot),"")</f>
        <v/>
      </c>
    </row>
    <row r="331" spans="2:44" ht="18.95" customHeight="1" x14ac:dyDescent="0.25">
      <c r="B331" s="42" t="str">
        <f>IF(C331="","",COUNT($C$8:C331))</f>
        <v/>
      </c>
      <c r="C331" s="43"/>
      <c r="D331" s="44"/>
      <c r="E331" s="45" t="str">
        <f>IF($Z331="","",IF($F331=ApportCouvert,INDEX(Îlots!$I$8:$I$57,$Z331)&amp;"",INDEX(Îlots!$N$8:$N$57,$Z331)&amp;""))</f>
        <v/>
      </c>
      <c r="F331" s="44"/>
      <c r="G331" s="44"/>
      <c r="H331" s="46" t="str">
        <f>IF($AA331="","",INDEX(Fertilisants!$D$8:$D$47,$AA331)&amp;"")</f>
        <v/>
      </c>
      <c r="I331" s="47"/>
      <c r="J331" s="48"/>
      <c r="K331" s="46" t="str">
        <f>IF($AA331="","",INDEX(Fertilisants!$E$8:$E$47,$AA331)&amp;"")</f>
        <v/>
      </c>
      <c r="L331" s="49" t="str">
        <f t="shared" si="70"/>
        <v/>
      </c>
      <c r="M331" s="50" t="str">
        <f>IF(OR($J331="",$AA331=""),"",$J331*N(INDEX(Fertilisants!$G$8:$G$47,$AA331)))</f>
        <v/>
      </c>
      <c r="N331" s="50" t="str">
        <f>IF(OR($J331="",$AA331=""),"",$J331*N(INDEX(Fertilisants!$I$8:$I$47,$AA331)))</f>
        <v/>
      </c>
      <c r="O331" s="50" t="str">
        <f>IF(OR($J331="",$AA331=""),"",$J331*N(INDEX(Fertilisants!$J$8:$J$47,$AA331)))</f>
        <v/>
      </c>
      <c r="P331" s="50" t="str">
        <f>IF(OR($J331="",$AA331=""),"",$J331*N(INDEX(Fertilisants!$K$8:$K$47,$AA331)))</f>
        <v/>
      </c>
      <c r="Q331" s="50" t="str">
        <f t="shared" si="71"/>
        <v/>
      </c>
      <c r="R331" s="44"/>
      <c r="S331" s="44"/>
      <c r="T331" s="51"/>
      <c r="U331" s="44"/>
      <c r="V331" s="43"/>
      <c r="W331" s="52" t="str">
        <f t="shared" si="72"/>
        <v/>
      </c>
      <c r="X331" s="44"/>
      <c r="Z331" s="53" t="str">
        <f>IF($D331="","",IFERROR(MATCH($D331,Îlots!$D$8:$D$57,0),""))</f>
        <v/>
      </c>
      <c r="AA331" s="53" t="str">
        <f>IF($G331="","",IFERROR(MATCH($G331,Fertilisants!$B$8:$B$47,0),""))</f>
        <v/>
      </c>
      <c r="AB331" s="53" t="str">
        <f>IF($Z331="","",INDEX(Îlots!$E$8:$E$57,$Z331))</f>
        <v/>
      </c>
      <c r="AC331" s="53" t="str">
        <f>IF($Z331="","",INDEX(Îlots!$G$8:$G$57,$Z331)&amp;"")</f>
        <v/>
      </c>
      <c r="AD331" s="53" t="str">
        <f>IF($Z331="","",IF($F331=ApportCouvert,OccCouvert,INDEX(Îlots!$O$8:$O$57,$Z331)&amp;""))</f>
        <v/>
      </c>
      <c r="AE331" s="53" t="str">
        <f t="shared" si="73"/>
        <v/>
      </c>
      <c r="AF331" s="53" t="str">
        <f t="shared" si="74"/>
        <v/>
      </c>
      <c r="AG331" s="53" t="str">
        <f t="shared" si="75"/>
        <v/>
      </c>
      <c r="AH331" s="53">
        <f t="shared" si="76"/>
        <v>0</v>
      </c>
      <c r="AI331" s="53">
        <f t="shared" si="77"/>
        <v>0</v>
      </c>
      <c r="AJ331" s="53">
        <f t="shared" si="78"/>
        <v>0</v>
      </c>
      <c r="AK331" s="53">
        <f t="shared" si="79"/>
        <v>0</v>
      </c>
      <c r="AL331" s="53">
        <f t="shared" si="80"/>
        <v>0</v>
      </c>
      <c r="AM331" s="53">
        <f>IF($AA331="",0,IF(INDEX(Fertilisants!$C$8:$C$47,$AA331)="Effluent d'élevage",1,0))</f>
        <v>0</v>
      </c>
      <c r="AN331" s="53" t="str">
        <f>IF($AA331="","",IF(INDEX(Fertilisants!$C$8:$C$47,$AA331)="Engrais minéral","Minéral","Organique"))</f>
        <v/>
      </c>
      <c r="AO331" s="53" t="str">
        <f t="shared" si="81"/>
        <v/>
      </c>
      <c r="AP331" s="53" t="str">
        <f t="shared" si="82"/>
        <v/>
      </c>
      <c r="AQ331" s="53" t="str">
        <f t="shared" si="83"/>
        <v/>
      </c>
      <c r="AR331" s="53" t="str">
        <f>IF(AND($D331&lt;&gt;"",$D331=FicheIlot),COUNTIF($D$8:$D331,FicheIlot),"")</f>
        <v/>
      </c>
    </row>
    <row r="332" spans="2:44" ht="18.95" customHeight="1" x14ac:dyDescent="0.25">
      <c r="B332" s="42" t="str">
        <f>IF(C332="","",COUNT($C$8:C332))</f>
        <v/>
      </c>
      <c r="C332" s="43"/>
      <c r="D332" s="44"/>
      <c r="E332" s="45" t="str">
        <f>IF($Z332="","",IF($F332=ApportCouvert,INDEX(Îlots!$I$8:$I$57,$Z332)&amp;"",INDEX(Îlots!$N$8:$N$57,$Z332)&amp;""))</f>
        <v/>
      </c>
      <c r="F332" s="44"/>
      <c r="G332" s="44"/>
      <c r="H332" s="46" t="str">
        <f>IF($AA332="","",INDEX(Fertilisants!$D$8:$D$47,$AA332)&amp;"")</f>
        <v/>
      </c>
      <c r="I332" s="47"/>
      <c r="J332" s="48"/>
      <c r="K332" s="46" t="str">
        <f>IF($AA332="","",INDEX(Fertilisants!$E$8:$E$47,$AA332)&amp;"")</f>
        <v/>
      </c>
      <c r="L332" s="49" t="str">
        <f t="shared" si="70"/>
        <v/>
      </c>
      <c r="M332" s="50" t="str">
        <f>IF(OR($J332="",$AA332=""),"",$J332*N(INDEX(Fertilisants!$G$8:$G$47,$AA332)))</f>
        <v/>
      </c>
      <c r="N332" s="50" t="str">
        <f>IF(OR($J332="",$AA332=""),"",$J332*N(INDEX(Fertilisants!$I$8:$I$47,$AA332)))</f>
        <v/>
      </c>
      <c r="O332" s="50" t="str">
        <f>IF(OR($J332="",$AA332=""),"",$J332*N(INDEX(Fertilisants!$J$8:$J$47,$AA332)))</f>
        <v/>
      </c>
      <c r="P332" s="50" t="str">
        <f>IF(OR($J332="",$AA332=""),"",$J332*N(INDEX(Fertilisants!$K$8:$K$47,$AA332)))</f>
        <v/>
      </c>
      <c r="Q332" s="50" t="str">
        <f t="shared" si="71"/>
        <v/>
      </c>
      <c r="R332" s="44"/>
      <c r="S332" s="44"/>
      <c r="T332" s="51"/>
      <c r="U332" s="44"/>
      <c r="V332" s="43"/>
      <c r="W332" s="52" t="str">
        <f t="shared" si="72"/>
        <v/>
      </c>
      <c r="X332" s="44"/>
      <c r="Z332" s="53" t="str">
        <f>IF($D332="","",IFERROR(MATCH($D332,Îlots!$D$8:$D$57,0),""))</f>
        <v/>
      </c>
      <c r="AA332" s="53" t="str">
        <f>IF($G332="","",IFERROR(MATCH($G332,Fertilisants!$B$8:$B$47,0),""))</f>
        <v/>
      </c>
      <c r="AB332" s="53" t="str">
        <f>IF($Z332="","",INDEX(Îlots!$E$8:$E$57,$Z332))</f>
        <v/>
      </c>
      <c r="AC332" s="53" t="str">
        <f>IF($Z332="","",INDEX(Îlots!$G$8:$G$57,$Z332)&amp;"")</f>
        <v/>
      </c>
      <c r="AD332" s="53" t="str">
        <f>IF($Z332="","",IF($F332=ApportCouvert,OccCouvert,INDEX(Îlots!$O$8:$O$57,$Z332)&amp;""))</f>
        <v/>
      </c>
      <c r="AE332" s="53" t="str">
        <f t="shared" si="73"/>
        <v/>
      </c>
      <c r="AF332" s="53" t="str">
        <f t="shared" si="74"/>
        <v/>
      </c>
      <c r="AG332" s="53" t="str">
        <f t="shared" si="75"/>
        <v/>
      </c>
      <c r="AH332" s="53">
        <f t="shared" si="76"/>
        <v>0</v>
      </c>
      <c r="AI332" s="53">
        <f t="shared" si="77"/>
        <v>0</v>
      </c>
      <c r="AJ332" s="53">
        <f t="shared" si="78"/>
        <v>0</v>
      </c>
      <c r="AK332" s="53">
        <f t="shared" si="79"/>
        <v>0</v>
      </c>
      <c r="AL332" s="53">
        <f t="shared" si="80"/>
        <v>0</v>
      </c>
      <c r="AM332" s="53">
        <f>IF($AA332="",0,IF(INDEX(Fertilisants!$C$8:$C$47,$AA332)="Effluent d'élevage",1,0))</f>
        <v>0</v>
      </c>
      <c r="AN332" s="53" t="str">
        <f>IF($AA332="","",IF(INDEX(Fertilisants!$C$8:$C$47,$AA332)="Engrais minéral","Minéral","Organique"))</f>
        <v/>
      </c>
      <c r="AO332" s="53" t="str">
        <f t="shared" si="81"/>
        <v/>
      </c>
      <c r="AP332" s="53" t="str">
        <f t="shared" si="82"/>
        <v/>
      </c>
      <c r="AQ332" s="53" t="str">
        <f t="shared" si="83"/>
        <v/>
      </c>
      <c r="AR332" s="53" t="str">
        <f>IF(AND($D332&lt;&gt;"",$D332=FicheIlot),COUNTIF($D$8:$D332,FicheIlot),"")</f>
        <v/>
      </c>
    </row>
    <row r="333" spans="2:44" ht="18.95" customHeight="1" x14ac:dyDescent="0.25">
      <c r="B333" s="42" t="str">
        <f>IF(C333="","",COUNT($C$8:C333))</f>
        <v/>
      </c>
      <c r="C333" s="43"/>
      <c r="D333" s="44"/>
      <c r="E333" s="45" t="str">
        <f>IF($Z333="","",IF($F333=ApportCouvert,INDEX(Îlots!$I$8:$I$57,$Z333)&amp;"",INDEX(Îlots!$N$8:$N$57,$Z333)&amp;""))</f>
        <v/>
      </c>
      <c r="F333" s="44"/>
      <c r="G333" s="44"/>
      <c r="H333" s="46" t="str">
        <f>IF($AA333="","",INDEX(Fertilisants!$D$8:$D$47,$AA333)&amp;"")</f>
        <v/>
      </c>
      <c r="I333" s="47"/>
      <c r="J333" s="48"/>
      <c r="K333" s="46" t="str">
        <f>IF($AA333="","",INDEX(Fertilisants!$E$8:$E$47,$AA333)&amp;"")</f>
        <v/>
      </c>
      <c r="L333" s="49" t="str">
        <f t="shared" si="70"/>
        <v/>
      </c>
      <c r="M333" s="50" t="str">
        <f>IF(OR($J333="",$AA333=""),"",$J333*N(INDEX(Fertilisants!$G$8:$G$47,$AA333)))</f>
        <v/>
      </c>
      <c r="N333" s="50" t="str">
        <f>IF(OR($J333="",$AA333=""),"",$J333*N(INDEX(Fertilisants!$I$8:$I$47,$AA333)))</f>
        <v/>
      </c>
      <c r="O333" s="50" t="str">
        <f>IF(OR($J333="",$AA333=""),"",$J333*N(INDEX(Fertilisants!$J$8:$J$47,$AA333)))</f>
        <v/>
      </c>
      <c r="P333" s="50" t="str">
        <f>IF(OR($J333="",$AA333=""),"",$J333*N(INDEX(Fertilisants!$K$8:$K$47,$AA333)))</f>
        <v/>
      </c>
      <c r="Q333" s="50" t="str">
        <f t="shared" si="71"/>
        <v/>
      </c>
      <c r="R333" s="44"/>
      <c r="S333" s="44"/>
      <c r="T333" s="51"/>
      <c r="U333" s="44"/>
      <c r="V333" s="43"/>
      <c r="W333" s="52" t="str">
        <f t="shared" si="72"/>
        <v/>
      </c>
      <c r="X333" s="44"/>
      <c r="Z333" s="53" t="str">
        <f>IF($D333="","",IFERROR(MATCH($D333,Îlots!$D$8:$D$57,0),""))</f>
        <v/>
      </c>
      <c r="AA333" s="53" t="str">
        <f>IF($G333="","",IFERROR(MATCH($G333,Fertilisants!$B$8:$B$47,0),""))</f>
        <v/>
      </c>
      <c r="AB333" s="53" t="str">
        <f>IF($Z333="","",INDEX(Îlots!$E$8:$E$57,$Z333))</f>
        <v/>
      </c>
      <c r="AC333" s="53" t="str">
        <f>IF($Z333="","",INDEX(Îlots!$G$8:$G$57,$Z333)&amp;"")</f>
        <v/>
      </c>
      <c r="AD333" s="53" t="str">
        <f>IF($Z333="","",IF($F333=ApportCouvert,OccCouvert,INDEX(Îlots!$O$8:$O$57,$Z333)&amp;""))</f>
        <v/>
      </c>
      <c r="AE333" s="53" t="str">
        <f t="shared" si="73"/>
        <v/>
      </c>
      <c r="AF333" s="53" t="str">
        <f t="shared" si="74"/>
        <v/>
      </c>
      <c r="AG333" s="53" t="str">
        <f t="shared" si="75"/>
        <v/>
      </c>
      <c r="AH333" s="53">
        <f t="shared" si="76"/>
        <v>0</v>
      </c>
      <c r="AI333" s="53">
        <f t="shared" si="77"/>
        <v>0</v>
      </c>
      <c r="AJ333" s="53">
        <f t="shared" si="78"/>
        <v>0</v>
      </c>
      <c r="AK333" s="53">
        <f t="shared" si="79"/>
        <v>0</v>
      </c>
      <c r="AL333" s="53">
        <f t="shared" si="80"/>
        <v>0</v>
      </c>
      <c r="AM333" s="53">
        <f>IF($AA333="",0,IF(INDEX(Fertilisants!$C$8:$C$47,$AA333)="Effluent d'élevage",1,0))</f>
        <v>0</v>
      </c>
      <c r="AN333" s="53" t="str">
        <f>IF($AA333="","",IF(INDEX(Fertilisants!$C$8:$C$47,$AA333)="Engrais minéral","Minéral","Organique"))</f>
        <v/>
      </c>
      <c r="AO333" s="53" t="str">
        <f t="shared" si="81"/>
        <v/>
      </c>
      <c r="AP333" s="53" t="str">
        <f t="shared" si="82"/>
        <v/>
      </c>
      <c r="AQ333" s="53" t="str">
        <f t="shared" si="83"/>
        <v/>
      </c>
      <c r="AR333" s="53" t="str">
        <f>IF(AND($D333&lt;&gt;"",$D333=FicheIlot),COUNTIF($D$8:$D333,FicheIlot),"")</f>
        <v/>
      </c>
    </row>
    <row r="334" spans="2:44" ht="18.95" customHeight="1" x14ac:dyDescent="0.25">
      <c r="B334" s="42" t="str">
        <f>IF(C334="","",COUNT($C$8:C334))</f>
        <v/>
      </c>
      <c r="C334" s="43"/>
      <c r="D334" s="44"/>
      <c r="E334" s="45" t="str">
        <f>IF($Z334="","",IF($F334=ApportCouvert,INDEX(Îlots!$I$8:$I$57,$Z334)&amp;"",INDEX(Îlots!$N$8:$N$57,$Z334)&amp;""))</f>
        <v/>
      </c>
      <c r="F334" s="44"/>
      <c r="G334" s="44"/>
      <c r="H334" s="46" t="str">
        <f>IF($AA334="","",INDEX(Fertilisants!$D$8:$D$47,$AA334)&amp;"")</f>
        <v/>
      </c>
      <c r="I334" s="47"/>
      <c r="J334" s="48"/>
      <c r="K334" s="46" t="str">
        <f>IF($AA334="","",INDEX(Fertilisants!$E$8:$E$47,$AA334)&amp;"")</f>
        <v/>
      </c>
      <c r="L334" s="49" t="str">
        <f t="shared" si="70"/>
        <v/>
      </c>
      <c r="M334" s="50" t="str">
        <f>IF(OR($J334="",$AA334=""),"",$J334*N(INDEX(Fertilisants!$G$8:$G$47,$AA334)))</f>
        <v/>
      </c>
      <c r="N334" s="50" t="str">
        <f>IF(OR($J334="",$AA334=""),"",$J334*N(INDEX(Fertilisants!$I$8:$I$47,$AA334)))</f>
        <v/>
      </c>
      <c r="O334" s="50" t="str">
        <f>IF(OR($J334="",$AA334=""),"",$J334*N(INDEX(Fertilisants!$J$8:$J$47,$AA334)))</f>
        <v/>
      </c>
      <c r="P334" s="50" t="str">
        <f>IF(OR($J334="",$AA334=""),"",$J334*N(INDEX(Fertilisants!$K$8:$K$47,$AA334)))</f>
        <v/>
      </c>
      <c r="Q334" s="50" t="str">
        <f t="shared" si="71"/>
        <v/>
      </c>
      <c r="R334" s="44"/>
      <c r="S334" s="44"/>
      <c r="T334" s="51"/>
      <c r="U334" s="44"/>
      <c r="V334" s="43"/>
      <c r="W334" s="52" t="str">
        <f t="shared" si="72"/>
        <v/>
      </c>
      <c r="X334" s="44"/>
      <c r="Z334" s="53" t="str">
        <f>IF($D334="","",IFERROR(MATCH($D334,Îlots!$D$8:$D$57,0),""))</f>
        <v/>
      </c>
      <c r="AA334" s="53" t="str">
        <f>IF($G334="","",IFERROR(MATCH($G334,Fertilisants!$B$8:$B$47,0),""))</f>
        <v/>
      </c>
      <c r="AB334" s="53" t="str">
        <f>IF($Z334="","",INDEX(Îlots!$E$8:$E$57,$Z334))</f>
        <v/>
      </c>
      <c r="AC334" s="53" t="str">
        <f>IF($Z334="","",INDEX(Îlots!$G$8:$G$57,$Z334)&amp;"")</f>
        <v/>
      </c>
      <c r="AD334" s="53" t="str">
        <f>IF($Z334="","",IF($F334=ApportCouvert,OccCouvert,INDEX(Îlots!$O$8:$O$57,$Z334)&amp;""))</f>
        <v/>
      </c>
      <c r="AE334" s="53" t="str">
        <f t="shared" si="73"/>
        <v/>
      </c>
      <c r="AF334" s="53" t="str">
        <f t="shared" si="74"/>
        <v/>
      </c>
      <c r="AG334" s="53" t="str">
        <f t="shared" si="75"/>
        <v/>
      </c>
      <c r="AH334" s="53">
        <f t="shared" si="76"/>
        <v>0</v>
      </c>
      <c r="AI334" s="53">
        <f t="shared" si="77"/>
        <v>0</v>
      </c>
      <c r="AJ334" s="53">
        <f t="shared" si="78"/>
        <v>0</v>
      </c>
      <c r="AK334" s="53">
        <f t="shared" si="79"/>
        <v>0</v>
      </c>
      <c r="AL334" s="53">
        <f t="shared" si="80"/>
        <v>0</v>
      </c>
      <c r="AM334" s="53">
        <f>IF($AA334="",0,IF(INDEX(Fertilisants!$C$8:$C$47,$AA334)="Effluent d'élevage",1,0))</f>
        <v>0</v>
      </c>
      <c r="AN334" s="53" t="str">
        <f>IF($AA334="","",IF(INDEX(Fertilisants!$C$8:$C$47,$AA334)="Engrais minéral","Minéral","Organique"))</f>
        <v/>
      </c>
      <c r="AO334" s="53" t="str">
        <f t="shared" si="81"/>
        <v/>
      </c>
      <c r="AP334" s="53" t="str">
        <f t="shared" si="82"/>
        <v/>
      </c>
      <c r="AQ334" s="53" t="str">
        <f t="shared" si="83"/>
        <v/>
      </c>
      <c r="AR334" s="53" t="str">
        <f>IF(AND($D334&lt;&gt;"",$D334=FicheIlot),COUNTIF($D$8:$D334,FicheIlot),"")</f>
        <v/>
      </c>
    </row>
    <row r="335" spans="2:44" ht="18.95" customHeight="1" x14ac:dyDescent="0.25">
      <c r="B335" s="42" t="str">
        <f>IF(C335="","",COUNT($C$8:C335))</f>
        <v/>
      </c>
      <c r="C335" s="43"/>
      <c r="D335" s="44"/>
      <c r="E335" s="45" t="str">
        <f>IF($Z335="","",IF($F335=ApportCouvert,INDEX(Îlots!$I$8:$I$57,$Z335)&amp;"",INDEX(Îlots!$N$8:$N$57,$Z335)&amp;""))</f>
        <v/>
      </c>
      <c r="F335" s="44"/>
      <c r="G335" s="44"/>
      <c r="H335" s="46" t="str">
        <f>IF($AA335="","",INDEX(Fertilisants!$D$8:$D$47,$AA335)&amp;"")</f>
        <v/>
      </c>
      <c r="I335" s="47"/>
      <c r="J335" s="48"/>
      <c r="K335" s="46" t="str">
        <f>IF($AA335="","",INDEX(Fertilisants!$E$8:$E$47,$AA335)&amp;"")</f>
        <v/>
      </c>
      <c r="L335" s="49" t="str">
        <f t="shared" si="70"/>
        <v/>
      </c>
      <c r="M335" s="50" t="str">
        <f>IF(OR($J335="",$AA335=""),"",$J335*N(INDEX(Fertilisants!$G$8:$G$47,$AA335)))</f>
        <v/>
      </c>
      <c r="N335" s="50" t="str">
        <f>IF(OR($J335="",$AA335=""),"",$J335*N(INDEX(Fertilisants!$I$8:$I$47,$AA335)))</f>
        <v/>
      </c>
      <c r="O335" s="50" t="str">
        <f>IF(OR($J335="",$AA335=""),"",$J335*N(INDEX(Fertilisants!$J$8:$J$47,$AA335)))</f>
        <v/>
      </c>
      <c r="P335" s="50" t="str">
        <f>IF(OR($J335="",$AA335=""),"",$J335*N(INDEX(Fertilisants!$K$8:$K$47,$AA335)))</f>
        <v/>
      </c>
      <c r="Q335" s="50" t="str">
        <f t="shared" si="71"/>
        <v/>
      </c>
      <c r="R335" s="44"/>
      <c r="S335" s="44"/>
      <c r="T335" s="51"/>
      <c r="U335" s="44"/>
      <c r="V335" s="43"/>
      <c r="W335" s="52" t="str">
        <f t="shared" si="72"/>
        <v/>
      </c>
      <c r="X335" s="44"/>
      <c r="Z335" s="53" t="str">
        <f>IF($D335="","",IFERROR(MATCH($D335,Îlots!$D$8:$D$57,0),""))</f>
        <v/>
      </c>
      <c r="AA335" s="53" t="str">
        <f>IF($G335="","",IFERROR(MATCH($G335,Fertilisants!$B$8:$B$47,0),""))</f>
        <v/>
      </c>
      <c r="AB335" s="53" t="str">
        <f>IF($Z335="","",INDEX(Îlots!$E$8:$E$57,$Z335))</f>
        <v/>
      </c>
      <c r="AC335" s="53" t="str">
        <f>IF($Z335="","",INDEX(Îlots!$G$8:$G$57,$Z335)&amp;"")</f>
        <v/>
      </c>
      <c r="AD335" s="53" t="str">
        <f>IF($Z335="","",IF($F335=ApportCouvert,OccCouvert,INDEX(Îlots!$O$8:$O$57,$Z335)&amp;""))</f>
        <v/>
      </c>
      <c r="AE335" s="53" t="str">
        <f t="shared" si="73"/>
        <v/>
      </c>
      <c r="AF335" s="53" t="str">
        <f t="shared" si="74"/>
        <v/>
      </c>
      <c r="AG335" s="53" t="str">
        <f t="shared" si="75"/>
        <v/>
      </c>
      <c r="AH335" s="53">
        <f t="shared" si="76"/>
        <v>0</v>
      </c>
      <c r="AI335" s="53">
        <f t="shared" si="77"/>
        <v>0</v>
      </c>
      <c r="AJ335" s="53">
        <f t="shared" si="78"/>
        <v>0</v>
      </c>
      <c r="AK335" s="53">
        <f t="shared" si="79"/>
        <v>0</v>
      </c>
      <c r="AL335" s="53">
        <f t="shared" si="80"/>
        <v>0</v>
      </c>
      <c r="AM335" s="53">
        <f>IF($AA335="",0,IF(INDEX(Fertilisants!$C$8:$C$47,$AA335)="Effluent d'élevage",1,0))</f>
        <v>0</v>
      </c>
      <c r="AN335" s="53" t="str">
        <f>IF($AA335="","",IF(INDEX(Fertilisants!$C$8:$C$47,$AA335)="Engrais minéral","Minéral","Organique"))</f>
        <v/>
      </c>
      <c r="AO335" s="53" t="str">
        <f t="shared" si="81"/>
        <v/>
      </c>
      <c r="AP335" s="53" t="str">
        <f t="shared" si="82"/>
        <v/>
      </c>
      <c r="AQ335" s="53" t="str">
        <f t="shared" si="83"/>
        <v/>
      </c>
      <c r="AR335" s="53" t="str">
        <f>IF(AND($D335&lt;&gt;"",$D335=FicheIlot),COUNTIF($D$8:$D335,FicheIlot),"")</f>
        <v/>
      </c>
    </row>
    <row r="336" spans="2:44" ht="18.95" customHeight="1" x14ac:dyDescent="0.25">
      <c r="B336" s="42" t="str">
        <f>IF(C336="","",COUNT($C$8:C336))</f>
        <v/>
      </c>
      <c r="C336" s="43"/>
      <c r="D336" s="44"/>
      <c r="E336" s="45" t="str">
        <f>IF($Z336="","",IF($F336=ApportCouvert,INDEX(Îlots!$I$8:$I$57,$Z336)&amp;"",INDEX(Îlots!$N$8:$N$57,$Z336)&amp;""))</f>
        <v/>
      </c>
      <c r="F336" s="44"/>
      <c r="G336" s="44"/>
      <c r="H336" s="46" t="str">
        <f>IF($AA336="","",INDEX(Fertilisants!$D$8:$D$47,$AA336)&amp;"")</f>
        <v/>
      </c>
      <c r="I336" s="47"/>
      <c r="J336" s="48"/>
      <c r="K336" s="46" t="str">
        <f>IF($AA336="","",INDEX(Fertilisants!$E$8:$E$47,$AA336)&amp;"")</f>
        <v/>
      </c>
      <c r="L336" s="49" t="str">
        <f t="shared" si="70"/>
        <v/>
      </c>
      <c r="M336" s="50" t="str">
        <f>IF(OR($J336="",$AA336=""),"",$J336*N(INDEX(Fertilisants!$G$8:$G$47,$AA336)))</f>
        <v/>
      </c>
      <c r="N336" s="50" t="str">
        <f>IF(OR($J336="",$AA336=""),"",$J336*N(INDEX(Fertilisants!$I$8:$I$47,$AA336)))</f>
        <v/>
      </c>
      <c r="O336" s="50" t="str">
        <f>IF(OR($J336="",$AA336=""),"",$J336*N(INDEX(Fertilisants!$J$8:$J$47,$AA336)))</f>
        <v/>
      </c>
      <c r="P336" s="50" t="str">
        <f>IF(OR($J336="",$AA336=""),"",$J336*N(INDEX(Fertilisants!$K$8:$K$47,$AA336)))</f>
        <v/>
      </c>
      <c r="Q336" s="50" t="str">
        <f t="shared" si="71"/>
        <v/>
      </c>
      <c r="R336" s="44"/>
      <c r="S336" s="44"/>
      <c r="T336" s="51"/>
      <c r="U336" s="44"/>
      <c r="V336" s="43"/>
      <c r="W336" s="52" t="str">
        <f t="shared" si="72"/>
        <v/>
      </c>
      <c r="X336" s="44"/>
      <c r="Z336" s="53" t="str">
        <f>IF($D336="","",IFERROR(MATCH($D336,Îlots!$D$8:$D$57,0),""))</f>
        <v/>
      </c>
      <c r="AA336" s="53" t="str">
        <f>IF($G336="","",IFERROR(MATCH($G336,Fertilisants!$B$8:$B$47,0),""))</f>
        <v/>
      </c>
      <c r="AB336" s="53" t="str">
        <f>IF($Z336="","",INDEX(Îlots!$E$8:$E$57,$Z336))</f>
        <v/>
      </c>
      <c r="AC336" s="53" t="str">
        <f>IF($Z336="","",INDEX(Îlots!$G$8:$G$57,$Z336)&amp;"")</f>
        <v/>
      </c>
      <c r="AD336" s="53" t="str">
        <f>IF($Z336="","",IF($F336=ApportCouvert,OccCouvert,INDEX(Îlots!$O$8:$O$57,$Z336)&amp;""))</f>
        <v/>
      </c>
      <c r="AE336" s="53" t="str">
        <f t="shared" si="73"/>
        <v/>
      </c>
      <c r="AF336" s="53" t="str">
        <f t="shared" si="74"/>
        <v/>
      </c>
      <c r="AG336" s="53" t="str">
        <f t="shared" si="75"/>
        <v/>
      </c>
      <c r="AH336" s="53">
        <f t="shared" si="76"/>
        <v>0</v>
      </c>
      <c r="AI336" s="53">
        <f t="shared" si="77"/>
        <v>0</v>
      </c>
      <c r="AJ336" s="53">
        <f t="shared" si="78"/>
        <v>0</v>
      </c>
      <c r="AK336" s="53">
        <f t="shared" si="79"/>
        <v>0</v>
      </c>
      <c r="AL336" s="53">
        <f t="shared" si="80"/>
        <v>0</v>
      </c>
      <c r="AM336" s="53">
        <f>IF($AA336="",0,IF(INDEX(Fertilisants!$C$8:$C$47,$AA336)="Effluent d'élevage",1,0))</f>
        <v>0</v>
      </c>
      <c r="AN336" s="53" t="str">
        <f>IF($AA336="","",IF(INDEX(Fertilisants!$C$8:$C$47,$AA336)="Engrais minéral","Minéral","Organique"))</f>
        <v/>
      </c>
      <c r="AO336" s="53" t="str">
        <f t="shared" si="81"/>
        <v/>
      </c>
      <c r="AP336" s="53" t="str">
        <f t="shared" si="82"/>
        <v/>
      </c>
      <c r="AQ336" s="53" t="str">
        <f t="shared" si="83"/>
        <v/>
      </c>
      <c r="AR336" s="53" t="str">
        <f>IF(AND($D336&lt;&gt;"",$D336=FicheIlot),COUNTIF($D$8:$D336,FicheIlot),"")</f>
        <v/>
      </c>
    </row>
    <row r="337" spans="2:44" ht="18.95" customHeight="1" x14ac:dyDescent="0.25">
      <c r="B337" s="42" t="str">
        <f>IF(C337="","",COUNT($C$8:C337))</f>
        <v/>
      </c>
      <c r="C337" s="43"/>
      <c r="D337" s="44"/>
      <c r="E337" s="45" t="str">
        <f>IF($Z337="","",IF($F337=ApportCouvert,INDEX(Îlots!$I$8:$I$57,$Z337)&amp;"",INDEX(Îlots!$N$8:$N$57,$Z337)&amp;""))</f>
        <v/>
      </c>
      <c r="F337" s="44"/>
      <c r="G337" s="44"/>
      <c r="H337" s="46" t="str">
        <f>IF($AA337="","",INDEX(Fertilisants!$D$8:$D$47,$AA337)&amp;"")</f>
        <v/>
      </c>
      <c r="I337" s="47"/>
      <c r="J337" s="48"/>
      <c r="K337" s="46" t="str">
        <f>IF($AA337="","",INDEX(Fertilisants!$E$8:$E$47,$AA337)&amp;"")</f>
        <v/>
      </c>
      <c r="L337" s="49" t="str">
        <f t="shared" si="70"/>
        <v/>
      </c>
      <c r="M337" s="50" t="str">
        <f>IF(OR($J337="",$AA337=""),"",$J337*N(INDEX(Fertilisants!$G$8:$G$47,$AA337)))</f>
        <v/>
      </c>
      <c r="N337" s="50" t="str">
        <f>IF(OR($J337="",$AA337=""),"",$J337*N(INDEX(Fertilisants!$I$8:$I$47,$AA337)))</f>
        <v/>
      </c>
      <c r="O337" s="50" t="str">
        <f>IF(OR($J337="",$AA337=""),"",$J337*N(INDEX(Fertilisants!$J$8:$J$47,$AA337)))</f>
        <v/>
      </c>
      <c r="P337" s="50" t="str">
        <f>IF(OR($J337="",$AA337=""),"",$J337*N(INDEX(Fertilisants!$K$8:$K$47,$AA337)))</f>
        <v/>
      </c>
      <c r="Q337" s="50" t="str">
        <f t="shared" si="71"/>
        <v/>
      </c>
      <c r="R337" s="44"/>
      <c r="S337" s="44"/>
      <c r="T337" s="51"/>
      <c r="U337" s="44"/>
      <c r="V337" s="43"/>
      <c r="W337" s="52" t="str">
        <f t="shared" si="72"/>
        <v/>
      </c>
      <c r="X337" s="44"/>
      <c r="Z337" s="53" t="str">
        <f>IF($D337="","",IFERROR(MATCH($D337,Îlots!$D$8:$D$57,0),""))</f>
        <v/>
      </c>
      <c r="AA337" s="53" t="str">
        <f>IF($G337="","",IFERROR(MATCH($G337,Fertilisants!$B$8:$B$47,0),""))</f>
        <v/>
      </c>
      <c r="AB337" s="53" t="str">
        <f>IF($Z337="","",INDEX(Îlots!$E$8:$E$57,$Z337))</f>
        <v/>
      </c>
      <c r="AC337" s="53" t="str">
        <f>IF($Z337="","",INDEX(Îlots!$G$8:$G$57,$Z337)&amp;"")</f>
        <v/>
      </c>
      <c r="AD337" s="53" t="str">
        <f>IF($Z337="","",IF($F337=ApportCouvert,OccCouvert,INDEX(Îlots!$O$8:$O$57,$Z337)&amp;""))</f>
        <v/>
      </c>
      <c r="AE337" s="53" t="str">
        <f t="shared" si="73"/>
        <v/>
      </c>
      <c r="AF337" s="53" t="str">
        <f t="shared" si="74"/>
        <v/>
      </c>
      <c r="AG337" s="53" t="str">
        <f t="shared" si="75"/>
        <v/>
      </c>
      <c r="AH337" s="53">
        <f t="shared" si="76"/>
        <v>0</v>
      </c>
      <c r="AI337" s="53">
        <f t="shared" si="77"/>
        <v>0</v>
      </c>
      <c r="AJ337" s="53">
        <f t="shared" si="78"/>
        <v>0</v>
      </c>
      <c r="AK337" s="53">
        <f t="shared" si="79"/>
        <v>0</v>
      </c>
      <c r="AL337" s="53">
        <f t="shared" si="80"/>
        <v>0</v>
      </c>
      <c r="AM337" s="53">
        <f>IF($AA337="",0,IF(INDEX(Fertilisants!$C$8:$C$47,$AA337)="Effluent d'élevage",1,0))</f>
        <v>0</v>
      </c>
      <c r="AN337" s="53" t="str">
        <f>IF($AA337="","",IF(INDEX(Fertilisants!$C$8:$C$47,$AA337)="Engrais minéral","Minéral","Organique"))</f>
        <v/>
      </c>
      <c r="AO337" s="53" t="str">
        <f t="shared" si="81"/>
        <v/>
      </c>
      <c r="AP337" s="53" t="str">
        <f t="shared" si="82"/>
        <v/>
      </c>
      <c r="AQ337" s="53" t="str">
        <f t="shared" si="83"/>
        <v/>
      </c>
      <c r="AR337" s="53" t="str">
        <f>IF(AND($D337&lt;&gt;"",$D337=FicheIlot),COUNTIF($D$8:$D337,FicheIlot),"")</f>
        <v/>
      </c>
    </row>
    <row r="338" spans="2:44" ht="18.95" customHeight="1" x14ac:dyDescent="0.25">
      <c r="B338" s="42" t="str">
        <f>IF(C338="","",COUNT($C$8:C338))</f>
        <v/>
      </c>
      <c r="C338" s="43"/>
      <c r="D338" s="44"/>
      <c r="E338" s="45" t="str">
        <f>IF($Z338="","",IF($F338=ApportCouvert,INDEX(Îlots!$I$8:$I$57,$Z338)&amp;"",INDEX(Îlots!$N$8:$N$57,$Z338)&amp;""))</f>
        <v/>
      </c>
      <c r="F338" s="44"/>
      <c r="G338" s="44"/>
      <c r="H338" s="46" t="str">
        <f>IF($AA338="","",INDEX(Fertilisants!$D$8:$D$47,$AA338)&amp;"")</f>
        <v/>
      </c>
      <c r="I338" s="47"/>
      <c r="J338" s="48"/>
      <c r="K338" s="46" t="str">
        <f>IF($AA338="","",INDEX(Fertilisants!$E$8:$E$47,$AA338)&amp;"")</f>
        <v/>
      </c>
      <c r="L338" s="49" t="str">
        <f t="shared" si="70"/>
        <v/>
      </c>
      <c r="M338" s="50" t="str">
        <f>IF(OR($J338="",$AA338=""),"",$J338*N(INDEX(Fertilisants!$G$8:$G$47,$AA338)))</f>
        <v/>
      </c>
      <c r="N338" s="50" t="str">
        <f>IF(OR($J338="",$AA338=""),"",$J338*N(INDEX(Fertilisants!$I$8:$I$47,$AA338)))</f>
        <v/>
      </c>
      <c r="O338" s="50" t="str">
        <f>IF(OR($J338="",$AA338=""),"",$J338*N(INDEX(Fertilisants!$J$8:$J$47,$AA338)))</f>
        <v/>
      </c>
      <c r="P338" s="50" t="str">
        <f>IF(OR($J338="",$AA338=""),"",$J338*N(INDEX(Fertilisants!$K$8:$K$47,$AA338)))</f>
        <v/>
      </c>
      <c r="Q338" s="50" t="str">
        <f t="shared" si="71"/>
        <v/>
      </c>
      <c r="R338" s="44"/>
      <c r="S338" s="44"/>
      <c r="T338" s="51"/>
      <c r="U338" s="44"/>
      <c r="V338" s="43"/>
      <c r="W338" s="52" t="str">
        <f t="shared" si="72"/>
        <v/>
      </c>
      <c r="X338" s="44"/>
      <c r="Z338" s="53" t="str">
        <f>IF($D338="","",IFERROR(MATCH($D338,Îlots!$D$8:$D$57,0),""))</f>
        <v/>
      </c>
      <c r="AA338" s="53" t="str">
        <f>IF($G338="","",IFERROR(MATCH($G338,Fertilisants!$B$8:$B$47,0),""))</f>
        <v/>
      </c>
      <c r="AB338" s="53" t="str">
        <f>IF($Z338="","",INDEX(Îlots!$E$8:$E$57,$Z338))</f>
        <v/>
      </c>
      <c r="AC338" s="53" t="str">
        <f>IF($Z338="","",INDEX(Îlots!$G$8:$G$57,$Z338)&amp;"")</f>
        <v/>
      </c>
      <c r="AD338" s="53" t="str">
        <f>IF($Z338="","",IF($F338=ApportCouvert,OccCouvert,INDEX(Îlots!$O$8:$O$57,$Z338)&amp;""))</f>
        <v/>
      </c>
      <c r="AE338" s="53" t="str">
        <f t="shared" si="73"/>
        <v/>
      </c>
      <c r="AF338" s="53" t="str">
        <f t="shared" si="74"/>
        <v/>
      </c>
      <c r="AG338" s="53" t="str">
        <f t="shared" si="75"/>
        <v/>
      </c>
      <c r="AH338" s="53">
        <f t="shared" si="76"/>
        <v>0</v>
      </c>
      <c r="AI338" s="53">
        <f t="shared" si="77"/>
        <v>0</v>
      </c>
      <c r="AJ338" s="53">
        <f t="shared" si="78"/>
        <v>0</v>
      </c>
      <c r="AK338" s="53">
        <f t="shared" si="79"/>
        <v>0</v>
      </c>
      <c r="AL338" s="53">
        <f t="shared" si="80"/>
        <v>0</v>
      </c>
      <c r="AM338" s="53">
        <f>IF($AA338="",0,IF(INDEX(Fertilisants!$C$8:$C$47,$AA338)="Effluent d'élevage",1,0))</f>
        <v>0</v>
      </c>
      <c r="AN338" s="53" t="str">
        <f>IF($AA338="","",IF(INDEX(Fertilisants!$C$8:$C$47,$AA338)="Engrais minéral","Minéral","Organique"))</f>
        <v/>
      </c>
      <c r="AO338" s="53" t="str">
        <f t="shared" si="81"/>
        <v/>
      </c>
      <c r="AP338" s="53" t="str">
        <f t="shared" si="82"/>
        <v/>
      </c>
      <c r="AQ338" s="53" t="str">
        <f t="shared" si="83"/>
        <v/>
      </c>
      <c r="AR338" s="53" t="str">
        <f>IF(AND($D338&lt;&gt;"",$D338=FicheIlot),COUNTIF($D$8:$D338,FicheIlot),"")</f>
        <v/>
      </c>
    </row>
    <row r="339" spans="2:44" ht="18.95" customHeight="1" x14ac:dyDescent="0.25">
      <c r="B339" s="42" t="str">
        <f>IF(C339="","",COUNT($C$8:C339))</f>
        <v/>
      </c>
      <c r="C339" s="43"/>
      <c r="D339" s="44"/>
      <c r="E339" s="45" t="str">
        <f>IF($Z339="","",IF($F339=ApportCouvert,INDEX(Îlots!$I$8:$I$57,$Z339)&amp;"",INDEX(Îlots!$N$8:$N$57,$Z339)&amp;""))</f>
        <v/>
      </c>
      <c r="F339" s="44"/>
      <c r="G339" s="44"/>
      <c r="H339" s="46" t="str">
        <f>IF($AA339="","",INDEX(Fertilisants!$D$8:$D$47,$AA339)&amp;"")</f>
        <v/>
      </c>
      <c r="I339" s="47"/>
      <c r="J339" s="48"/>
      <c r="K339" s="46" t="str">
        <f>IF($AA339="","",INDEX(Fertilisants!$E$8:$E$47,$AA339)&amp;"")</f>
        <v/>
      </c>
      <c r="L339" s="49" t="str">
        <f t="shared" si="70"/>
        <v/>
      </c>
      <c r="M339" s="50" t="str">
        <f>IF(OR($J339="",$AA339=""),"",$J339*N(INDEX(Fertilisants!$G$8:$G$47,$AA339)))</f>
        <v/>
      </c>
      <c r="N339" s="50" t="str">
        <f>IF(OR($J339="",$AA339=""),"",$J339*N(INDEX(Fertilisants!$I$8:$I$47,$AA339)))</f>
        <v/>
      </c>
      <c r="O339" s="50" t="str">
        <f>IF(OR($J339="",$AA339=""),"",$J339*N(INDEX(Fertilisants!$J$8:$J$47,$AA339)))</f>
        <v/>
      </c>
      <c r="P339" s="50" t="str">
        <f>IF(OR($J339="",$AA339=""),"",$J339*N(INDEX(Fertilisants!$K$8:$K$47,$AA339)))</f>
        <v/>
      </c>
      <c r="Q339" s="50" t="str">
        <f t="shared" si="71"/>
        <v/>
      </c>
      <c r="R339" s="44"/>
      <c r="S339" s="44"/>
      <c r="T339" s="51"/>
      <c r="U339" s="44"/>
      <c r="V339" s="43"/>
      <c r="W339" s="52" t="str">
        <f t="shared" si="72"/>
        <v/>
      </c>
      <c r="X339" s="44"/>
      <c r="Z339" s="53" t="str">
        <f>IF($D339="","",IFERROR(MATCH($D339,Îlots!$D$8:$D$57,0),""))</f>
        <v/>
      </c>
      <c r="AA339" s="53" t="str">
        <f>IF($G339="","",IFERROR(MATCH($G339,Fertilisants!$B$8:$B$47,0),""))</f>
        <v/>
      </c>
      <c r="AB339" s="53" t="str">
        <f>IF($Z339="","",INDEX(Îlots!$E$8:$E$57,$Z339))</f>
        <v/>
      </c>
      <c r="AC339" s="53" t="str">
        <f>IF($Z339="","",INDEX(Îlots!$G$8:$G$57,$Z339)&amp;"")</f>
        <v/>
      </c>
      <c r="AD339" s="53" t="str">
        <f>IF($Z339="","",IF($F339=ApportCouvert,OccCouvert,INDEX(Îlots!$O$8:$O$57,$Z339)&amp;""))</f>
        <v/>
      </c>
      <c r="AE339" s="53" t="str">
        <f t="shared" si="73"/>
        <v/>
      </c>
      <c r="AF339" s="53" t="str">
        <f t="shared" si="74"/>
        <v/>
      </c>
      <c r="AG339" s="53" t="str">
        <f t="shared" si="75"/>
        <v/>
      </c>
      <c r="AH339" s="53">
        <f t="shared" si="76"/>
        <v>0</v>
      </c>
      <c r="AI339" s="53">
        <f t="shared" si="77"/>
        <v>0</v>
      </c>
      <c r="AJ339" s="53">
        <f t="shared" si="78"/>
        <v>0</v>
      </c>
      <c r="AK339" s="53">
        <f t="shared" si="79"/>
        <v>0</v>
      </c>
      <c r="AL339" s="53">
        <f t="shared" si="80"/>
        <v>0</v>
      </c>
      <c r="AM339" s="53">
        <f>IF($AA339="",0,IF(INDEX(Fertilisants!$C$8:$C$47,$AA339)="Effluent d'élevage",1,0))</f>
        <v>0</v>
      </c>
      <c r="AN339" s="53" t="str">
        <f>IF($AA339="","",IF(INDEX(Fertilisants!$C$8:$C$47,$AA339)="Engrais minéral","Minéral","Organique"))</f>
        <v/>
      </c>
      <c r="AO339" s="53" t="str">
        <f t="shared" si="81"/>
        <v/>
      </c>
      <c r="AP339" s="53" t="str">
        <f t="shared" si="82"/>
        <v/>
      </c>
      <c r="AQ339" s="53" t="str">
        <f t="shared" si="83"/>
        <v/>
      </c>
      <c r="AR339" s="53" t="str">
        <f>IF(AND($D339&lt;&gt;"",$D339=FicheIlot),COUNTIF($D$8:$D339,FicheIlot),"")</f>
        <v/>
      </c>
    </row>
    <row r="340" spans="2:44" ht="18.95" customHeight="1" x14ac:dyDescent="0.25">
      <c r="B340" s="42" t="str">
        <f>IF(C340="","",COUNT($C$8:C340))</f>
        <v/>
      </c>
      <c r="C340" s="43"/>
      <c r="D340" s="44"/>
      <c r="E340" s="45" t="str">
        <f>IF($Z340="","",IF($F340=ApportCouvert,INDEX(Îlots!$I$8:$I$57,$Z340)&amp;"",INDEX(Îlots!$N$8:$N$57,$Z340)&amp;""))</f>
        <v/>
      </c>
      <c r="F340" s="44"/>
      <c r="G340" s="44"/>
      <c r="H340" s="46" t="str">
        <f>IF($AA340="","",INDEX(Fertilisants!$D$8:$D$47,$AA340)&amp;"")</f>
        <v/>
      </c>
      <c r="I340" s="47"/>
      <c r="J340" s="48"/>
      <c r="K340" s="46" t="str">
        <f>IF($AA340="","",INDEX(Fertilisants!$E$8:$E$47,$AA340)&amp;"")</f>
        <v/>
      </c>
      <c r="L340" s="49" t="str">
        <f t="shared" si="70"/>
        <v/>
      </c>
      <c r="M340" s="50" t="str">
        <f>IF(OR($J340="",$AA340=""),"",$J340*N(INDEX(Fertilisants!$G$8:$G$47,$AA340)))</f>
        <v/>
      </c>
      <c r="N340" s="50" t="str">
        <f>IF(OR($J340="",$AA340=""),"",$J340*N(INDEX(Fertilisants!$I$8:$I$47,$AA340)))</f>
        <v/>
      </c>
      <c r="O340" s="50" t="str">
        <f>IF(OR($J340="",$AA340=""),"",$J340*N(INDEX(Fertilisants!$J$8:$J$47,$AA340)))</f>
        <v/>
      </c>
      <c r="P340" s="50" t="str">
        <f>IF(OR($J340="",$AA340=""),"",$J340*N(INDEX(Fertilisants!$K$8:$K$47,$AA340)))</f>
        <v/>
      </c>
      <c r="Q340" s="50" t="str">
        <f t="shared" si="71"/>
        <v/>
      </c>
      <c r="R340" s="44"/>
      <c r="S340" s="44"/>
      <c r="T340" s="51"/>
      <c r="U340" s="44"/>
      <c r="V340" s="43"/>
      <c r="W340" s="52" t="str">
        <f t="shared" si="72"/>
        <v/>
      </c>
      <c r="X340" s="44"/>
      <c r="Z340" s="53" t="str">
        <f>IF($D340="","",IFERROR(MATCH($D340,Îlots!$D$8:$D$57,0),""))</f>
        <v/>
      </c>
      <c r="AA340" s="53" t="str">
        <f>IF($G340="","",IFERROR(MATCH($G340,Fertilisants!$B$8:$B$47,0),""))</f>
        <v/>
      </c>
      <c r="AB340" s="53" t="str">
        <f>IF($Z340="","",INDEX(Îlots!$E$8:$E$57,$Z340))</f>
        <v/>
      </c>
      <c r="AC340" s="53" t="str">
        <f>IF($Z340="","",INDEX(Îlots!$G$8:$G$57,$Z340)&amp;"")</f>
        <v/>
      </c>
      <c r="AD340" s="53" t="str">
        <f>IF($Z340="","",IF($F340=ApportCouvert,OccCouvert,INDEX(Îlots!$O$8:$O$57,$Z340)&amp;""))</f>
        <v/>
      </c>
      <c r="AE340" s="53" t="str">
        <f t="shared" si="73"/>
        <v/>
      </c>
      <c r="AF340" s="53" t="str">
        <f t="shared" si="74"/>
        <v/>
      </c>
      <c r="AG340" s="53" t="str">
        <f t="shared" si="75"/>
        <v/>
      </c>
      <c r="AH340" s="53">
        <f t="shared" si="76"/>
        <v>0</v>
      </c>
      <c r="AI340" s="53">
        <f t="shared" si="77"/>
        <v>0</v>
      </c>
      <c r="AJ340" s="53">
        <f t="shared" si="78"/>
        <v>0</v>
      </c>
      <c r="AK340" s="53">
        <f t="shared" si="79"/>
        <v>0</v>
      </c>
      <c r="AL340" s="53">
        <f t="shared" si="80"/>
        <v>0</v>
      </c>
      <c r="AM340" s="53">
        <f>IF($AA340="",0,IF(INDEX(Fertilisants!$C$8:$C$47,$AA340)="Effluent d'élevage",1,0))</f>
        <v>0</v>
      </c>
      <c r="AN340" s="53" t="str">
        <f>IF($AA340="","",IF(INDEX(Fertilisants!$C$8:$C$47,$AA340)="Engrais minéral","Minéral","Organique"))</f>
        <v/>
      </c>
      <c r="AO340" s="53" t="str">
        <f t="shared" si="81"/>
        <v/>
      </c>
      <c r="AP340" s="53" t="str">
        <f t="shared" si="82"/>
        <v/>
      </c>
      <c r="AQ340" s="53" t="str">
        <f t="shared" si="83"/>
        <v/>
      </c>
      <c r="AR340" s="53" t="str">
        <f>IF(AND($D340&lt;&gt;"",$D340=FicheIlot),COUNTIF($D$8:$D340,FicheIlot),"")</f>
        <v/>
      </c>
    </row>
    <row r="341" spans="2:44" ht="18.95" customHeight="1" x14ac:dyDescent="0.25">
      <c r="B341" s="42" t="str">
        <f>IF(C341="","",COUNT($C$8:C341))</f>
        <v/>
      </c>
      <c r="C341" s="43"/>
      <c r="D341" s="44"/>
      <c r="E341" s="45" t="str">
        <f>IF($Z341="","",IF($F341=ApportCouvert,INDEX(Îlots!$I$8:$I$57,$Z341)&amp;"",INDEX(Îlots!$N$8:$N$57,$Z341)&amp;""))</f>
        <v/>
      </c>
      <c r="F341" s="44"/>
      <c r="G341" s="44"/>
      <c r="H341" s="46" t="str">
        <f>IF($AA341="","",INDEX(Fertilisants!$D$8:$D$47,$AA341)&amp;"")</f>
        <v/>
      </c>
      <c r="I341" s="47"/>
      <c r="J341" s="48"/>
      <c r="K341" s="46" t="str">
        <f>IF($AA341="","",INDEX(Fertilisants!$E$8:$E$47,$AA341)&amp;"")</f>
        <v/>
      </c>
      <c r="L341" s="49" t="str">
        <f t="shared" si="70"/>
        <v/>
      </c>
      <c r="M341" s="50" t="str">
        <f>IF(OR($J341="",$AA341=""),"",$J341*N(INDEX(Fertilisants!$G$8:$G$47,$AA341)))</f>
        <v/>
      </c>
      <c r="N341" s="50" t="str">
        <f>IF(OR($J341="",$AA341=""),"",$J341*N(INDEX(Fertilisants!$I$8:$I$47,$AA341)))</f>
        <v/>
      </c>
      <c r="O341" s="50" t="str">
        <f>IF(OR($J341="",$AA341=""),"",$J341*N(INDEX(Fertilisants!$J$8:$J$47,$AA341)))</f>
        <v/>
      </c>
      <c r="P341" s="50" t="str">
        <f>IF(OR($J341="",$AA341=""),"",$J341*N(INDEX(Fertilisants!$K$8:$K$47,$AA341)))</f>
        <v/>
      </c>
      <c r="Q341" s="50" t="str">
        <f t="shared" si="71"/>
        <v/>
      </c>
      <c r="R341" s="44"/>
      <c r="S341" s="44"/>
      <c r="T341" s="51"/>
      <c r="U341" s="44"/>
      <c r="V341" s="43"/>
      <c r="W341" s="52" t="str">
        <f t="shared" si="72"/>
        <v/>
      </c>
      <c r="X341" s="44"/>
      <c r="Z341" s="53" t="str">
        <f>IF($D341="","",IFERROR(MATCH($D341,Îlots!$D$8:$D$57,0),""))</f>
        <v/>
      </c>
      <c r="AA341" s="53" t="str">
        <f>IF($G341="","",IFERROR(MATCH($G341,Fertilisants!$B$8:$B$47,0),""))</f>
        <v/>
      </c>
      <c r="AB341" s="53" t="str">
        <f>IF($Z341="","",INDEX(Îlots!$E$8:$E$57,$Z341))</f>
        <v/>
      </c>
      <c r="AC341" s="53" t="str">
        <f>IF($Z341="","",INDEX(Îlots!$G$8:$G$57,$Z341)&amp;"")</f>
        <v/>
      </c>
      <c r="AD341" s="53" t="str">
        <f>IF($Z341="","",IF($F341=ApportCouvert,OccCouvert,INDEX(Îlots!$O$8:$O$57,$Z341)&amp;""))</f>
        <v/>
      </c>
      <c r="AE341" s="53" t="str">
        <f t="shared" si="73"/>
        <v/>
      </c>
      <c r="AF341" s="53" t="str">
        <f t="shared" si="74"/>
        <v/>
      </c>
      <c r="AG341" s="53" t="str">
        <f t="shared" si="75"/>
        <v/>
      </c>
      <c r="AH341" s="53">
        <f t="shared" si="76"/>
        <v>0</v>
      </c>
      <c r="AI341" s="53">
        <f t="shared" si="77"/>
        <v>0</v>
      </c>
      <c r="AJ341" s="53">
        <f t="shared" si="78"/>
        <v>0</v>
      </c>
      <c r="AK341" s="53">
        <f t="shared" si="79"/>
        <v>0</v>
      </c>
      <c r="AL341" s="53">
        <f t="shared" si="80"/>
        <v>0</v>
      </c>
      <c r="AM341" s="53">
        <f>IF($AA341="",0,IF(INDEX(Fertilisants!$C$8:$C$47,$AA341)="Effluent d'élevage",1,0))</f>
        <v>0</v>
      </c>
      <c r="AN341" s="53" t="str">
        <f>IF($AA341="","",IF(INDEX(Fertilisants!$C$8:$C$47,$AA341)="Engrais minéral","Minéral","Organique"))</f>
        <v/>
      </c>
      <c r="AO341" s="53" t="str">
        <f t="shared" si="81"/>
        <v/>
      </c>
      <c r="AP341" s="53" t="str">
        <f t="shared" si="82"/>
        <v/>
      </c>
      <c r="AQ341" s="53" t="str">
        <f t="shared" si="83"/>
        <v/>
      </c>
      <c r="AR341" s="53" t="str">
        <f>IF(AND($D341&lt;&gt;"",$D341=FicheIlot),COUNTIF($D$8:$D341,FicheIlot),"")</f>
        <v/>
      </c>
    </row>
    <row r="342" spans="2:44" ht="18.95" customHeight="1" x14ac:dyDescent="0.25">
      <c r="B342" s="42" t="str">
        <f>IF(C342="","",COUNT($C$8:C342))</f>
        <v/>
      </c>
      <c r="C342" s="43"/>
      <c r="D342" s="44"/>
      <c r="E342" s="45" t="str">
        <f>IF($Z342="","",IF($F342=ApportCouvert,INDEX(Îlots!$I$8:$I$57,$Z342)&amp;"",INDEX(Îlots!$N$8:$N$57,$Z342)&amp;""))</f>
        <v/>
      </c>
      <c r="F342" s="44"/>
      <c r="G342" s="44"/>
      <c r="H342" s="46" t="str">
        <f>IF($AA342="","",INDEX(Fertilisants!$D$8:$D$47,$AA342)&amp;"")</f>
        <v/>
      </c>
      <c r="I342" s="47"/>
      <c r="J342" s="48"/>
      <c r="K342" s="46" t="str">
        <f>IF($AA342="","",INDEX(Fertilisants!$E$8:$E$47,$AA342)&amp;"")</f>
        <v/>
      </c>
      <c r="L342" s="49" t="str">
        <f t="shared" si="70"/>
        <v/>
      </c>
      <c r="M342" s="50" t="str">
        <f>IF(OR($J342="",$AA342=""),"",$J342*N(INDEX(Fertilisants!$G$8:$G$47,$AA342)))</f>
        <v/>
      </c>
      <c r="N342" s="50" t="str">
        <f>IF(OR($J342="",$AA342=""),"",$J342*N(INDEX(Fertilisants!$I$8:$I$47,$AA342)))</f>
        <v/>
      </c>
      <c r="O342" s="50" t="str">
        <f>IF(OR($J342="",$AA342=""),"",$J342*N(INDEX(Fertilisants!$J$8:$J$47,$AA342)))</f>
        <v/>
      </c>
      <c r="P342" s="50" t="str">
        <f>IF(OR($J342="",$AA342=""),"",$J342*N(INDEX(Fertilisants!$K$8:$K$47,$AA342)))</f>
        <v/>
      </c>
      <c r="Q342" s="50" t="str">
        <f t="shared" si="71"/>
        <v/>
      </c>
      <c r="R342" s="44"/>
      <c r="S342" s="44"/>
      <c r="T342" s="51"/>
      <c r="U342" s="44"/>
      <c r="V342" s="43"/>
      <c r="W342" s="52" t="str">
        <f t="shared" si="72"/>
        <v/>
      </c>
      <c r="X342" s="44"/>
      <c r="Z342" s="53" t="str">
        <f>IF($D342="","",IFERROR(MATCH($D342,Îlots!$D$8:$D$57,0),""))</f>
        <v/>
      </c>
      <c r="AA342" s="53" t="str">
        <f>IF($G342="","",IFERROR(MATCH($G342,Fertilisants!$B$8:$B$47,0),""))</f>
        <v/>
      </c>
      <c r="AB342" s="53" t="str">
        <f>IF($Z342="","",INDEX(Îlots!$E$8:$E$57,$Z342))</f>
        <v/>
      </c>
      <c r="AC342" s="53" t="str">
        <f>IF($Z342="","",INDEX(Îlots!$G$8:$G$57,$Z342)&amp;"")</f>
        <v/>
      </c>
      <c r="AD342" s="53" t="str">
        <f>IF($Z342="","",IF($F342=ApportCouvert,OccCouvert,INDEX(Îlots!$O$8:$O$57,$Z342)&amp;""))</f>
        <v/>
      </c>
      <c r="AE342" s="53" t="str">
        <f t="shared" si="73"/>
        <v/>
      </c>
      <c r="AF342" s="53" t="str">
        <f t="shared" si="74"/>
        <v/>
      </c>
      <c r="AG342" s="53" t="str">
        <f t="shared" si="75"/>
        <v/>
      </c>
      <c r="AH342" s="53">
        <f t="shared" si="76"/>
        <v>0</v>
      </c>
      <c r="AI342" s="53">
        <f t="shared" si="77"/>
        <v>0</v>
      </c>
      <c r="AJ342" s="53">
        <f t="shared" si="78"/>
        <v>0</v>
      </c>
      <c r="AK342" s="53">
        <f t="shared" si="79"/>
        <v>0</v>
      </c>
      <c r="AL342" s="53">
        <f t="shared" si="80"/>
        <v>0</v>
      </c>
      <c r="AM342" s="53">
        <f>IF($AA342="",0,IF(INDEX(Fertilisants!$C$8:$C$47,$AA342)="Effluent d'élevage",1,0))</f>
        <v>0</v>
      </c>
      <c r="AN342" s="53" t="str">
        <f>IF($AA342="","",IF(INDEX(Fertilisants!$C$8:$C$47,$AA342)="Engrais minéral","Minéral","Organique"))</f>
        <v/>
      </c>
      <c r="AO342" s="53" t="str">
        <f t="shared" si="81"/>
        <v/>
      </c>
      <c r="AP342" s="53" t="str">
        <f t="shared" si="82"/>
        <v/>
      </c>
      <c r="AQ342" s="53" t="str">
        <f t="shared" si="83"/>
        <v/>
      </c>
      <c r="AR342" s="53" t="str">
        <f>IF(AND($D342&lt;&gt;"",$D342=FicheIlot),COUNTIF($D$8:$D342,FicheIlot),"")</f>
        <v/>
      </c>
    </row>
    <row r="343" spans="2:44" ht="18.95" customHeight="1" x14ac:dyDescent="0.25">
      <c r="B343" s="42" t="str">
        <f>IF(C343="","",COUNT($C$8:C343))</f>
        <v/>
      </c>
      <c r="C343" s="43"/>
      <c r="D343" s="44"/>
      <c r="E343" s="45" t="str">
        <f>IF($Z343="","",IF($F343=ApportCouvert,INDEX(Îlots!$I$8:$I$57,$Z343)&amp;"",INDEX(Îlots!$N$8:$N$57,$Z343)&amp;""))</f>
        <v/>
      </c>
      <c r="F343" s="44"/>
      <c r="G343" s="44"/>
      <c r="H343" s="46" t="str">
        <f>IF($AA343="","",INDEX(Fertilisants!$D$8:$D$47,$AA343)&amp;"")</f>
        <v/>
      </c>
      <c r="I343" s="47"/>
      <c r="J343" s="48"/>
      <c r="K343" s="46" t="str">
        <f>IF($AA343="","",INDEX(Fertilisants!$E$8:$E$47,$AA343)&amp;"")</f>
        <v/>
      </c>
      <c r="L343" s="49" t="str">
        <f t="shared" si="70"/>
        <v/>
      </c>
      <c r="M343" s="50" t="str">
        <f>IF(OR($J343="",$AA343=""),"",$J343*N(INDEX(Fertilisants!$G$8:$G$47,$AA343)))</f>
        <v/>
      </c>
      <c r="N343" s="50" t="str">
        <f>IF(OR($J343="",$AA343=""),"",$J343*N(INDEX(Fertilisants!$I$8:$I$47,$AA343)))</f>
        <v/>
      </c>
      <c r="O343" s="50" t="str">
        <f>IF(OR($J343="",$AA343=""),"",$J343*N(INDEX(Fertilisants!$J$8:$J$47,$AA343)))</f>
        <v/>
      </c>
      <c r="P343" s="50" t="str">
        <f>IF(OR($J343="",$AA343=""),"",$J343*N(INDEX(Fertilisants!$K$8:$K$47,$AA343)))</f>
        <v/>
      </c>
      <c r="Q343" s="50" t="str">
        <f t="shared" si="71"/>
        <v/>
      </c>
      <c r="R343" s="44"/>
      <c r="S343" s="44"/>
      <c r="T343" s="51"/>
      <c r="U343" s="44"/>
      <c r="V343" s="43"/>
      <c r="W343" s="52" t="str">
        <f t="shared" si="72"/>
        <v/>
      </c>
      <c r="X343" s="44"/>
      <c r="Z343" s="53" t="str">
        <f>IF($D343="","",IFERROR(MATCH($D343,Îlots!$D$8:$D$57,0),""))</f>
        <v/>
      </c>
      <c r="AA343" s="53" t="str">
        <f>IF($G343="","",IFERROR(MATCH($G343,Fertilisants!$B$8:$B$47,0),""))</f>
        <v/>
      </c>
      <c r="AB343" s="53" t="str">
        <f>IF($Z343="","",INDEX(Îlots!$E$8:$E$57,$Z343))</f>
        <v/>
      </c>
      <c r="AC343" s="53" t="str">
        <f>IF($Z343="","",INDEX(Îlots!$G$8:$G$57,$Z343)&amp;"")</f>
        <v/>
      </c>
      <c r="AD343" s="53" t="str">
        <f>IF($Z343="","",IF($F343=ApportCouvert,OccCouvert,INDEX(Îlots!$O$8:$O$57,$Z343)&amp;""))</f>
        <v/>
      </c>
      <c r="AE343" s="53" t="str">
        <f t="shared" si="73"/>
        <v/>
      </c>
      <c r="AF343" s="53" t="str">
        <f t="shared" si="74"/>
        <v/>
      </c>
      <c r="AG343" s="53" t="str">
        <f t="shared" si="75"/>
        <v/>
      </c>
      <c r="AH343" s="53">
        <f t="shared" si="76"/>
        <v>0</v>
      </c>
      <c r="AI343" s="53">
        <f t="shared" si="77"/>
        <v>0</v>
      </c>
      <c r="AJ343" s="53">
        <f t="shared" si="78"/>
        <v>0</v>
      </c>
      <c r="AK343" s="53">
        <f t="shared" si="79"/>
        <v>0</v>
      </c>
      <c r="AL343" s="53">
        <f t="shared" si="80"/>
        <v>0</v>
      </c>
      <c r="AM343" s="53">
        <f>IF($AA343="",0,IF(INDEX(Fertilisants!$C$8:$C$47,$AA343)="Effluent d'élevage",1,0))</f>
        <v>0</v>
      </c>
      <c r="AN343" s="53" t="str">
        <f>IF($AA343="","",IF(INDEX(Fertilisants!$C$8:$C$47,$AA343)="Engrais minéral","Minéral","Organique"))</f>
        <v/>
      </c>
      <c r="AO343" s="53" t="str">
        <f t="shared" si="81"/>
        <v/>
      </c>
      <c r="AP343" s="53" t="str">
        <f t="shared" si="82"/>
        <v/>
      </c>
      <c r="AQ343" s="53" t="str">
        <f t="shared" si="83"/>
        <v/>
      </c>
      <c r="AR343" s="53" t="str">
        <f>IF(AND($D343&lt;&gt;"",$D343=FicheIlot),COUNTIF($D$8:$D343,FicheIlot),"")</f>
        <v/>
      </c>
    </row>
    <row r="344" spans="2:44" ht="18.95" customHeight="1" x14ac:dyDescent="0.25">
      <c r="B344" s="42" t="str">
        <f>IF(C344="","",COUNT($C$8:C344))</f>
        <v/>
      </c>
      <c r="C344" s="43"/>
      <c r="D344" s="44"/>
      <c r="E344" s="45" t="str">
        <f>IF($Z344="","",IF($F344=ApportCouvert,INDEX(Îlots!$I$8:$I$57,$Z344)&amp;"",INDEX(Îlots!$N$8:$N$57,$Z344)&amp;""))</f>
        <v/>
      </c>
      <c r="F344" s="44"/>
      <c r="G344" s="44"/>
      <c r="H344" s="46" t="str">
        <f>IF($AA344="","",INDEX(Fertilisants!$D$8:$D$47,$AA344)&amp;"")</f>
        <v/>
      </c>
      <c r="I344" s="47"/>
      <c r="J344" s="48"/>
      <c r="K344" s="46" t="str">
        <f>IF($AA344="","",INDEX(Fertilisants!$E$8:$E$47,$AA344)&amp;"")</f>
        <v/>
      </c>
      <c r="L344" s="49" t="str">
        <f t="shared" si="70"/>
        <v/>
      </c>
      <c r="M344" s="50" t="str">
        <f>IF(OR($J344="",$AA344=""),"",$J344*N(INDEX(Fertilisants!$G$8:$G$47,$AA344)))</f>
        <v/>
      </c>
      <c r="N344" s="50" t="str">
        <f>IF(OR($J344="",$AA344=""),"",$J344*N(INDEX(Fertilisants!$I$8:$I$47,$AA344)))</f>
        <v/>
      </c>
      <c r="O344" s="50" t="str">
        <f>IF(OR($J344="",$AA344=""),"",$J344*N(INDEX(Fertilisants!$J$8:$J$47,$AA344)))</f>
        <v/>
      </c>
      <c r="P344" s="50" t="str">
        <f>IF(OR($J344="",$AA344=""),"",$J344*N(INDEX(Fertilisants!$K$8:$K$47,$AA344)))</f>
        <v/>
      </c>
      <c r="Q344" s="50" t="str">
        <f t="shared" si="71"/>
        <v/>
      </c>
      <c r="R344" s="44"/>
      <c r="S344" s="44"/>
      <c r="T344" s="51"/>
      <c r="U344" s="44"/>
      <c r="V344" s="43"/>
      <c r="W344" s="52" t="str">
        <f t="shared" si="72"/>
        <v/>
      </c>
      <c r="X344" s="44"/>
      <c r="Z344" s="53" t="str">
        <f>IF($D344="","",IFERROR(MATCH($D344,Îlots!$D$8:$D$57,0),""))</f>
        <v/>
      </c>
      <c r="AA344" s="53" t="str">
        <f>IF($G344="","",IFERROR(MATCH($G344,Fertilisants!$B$8:$B$47,0),""))</f>
        <v/>
      </c>
      <c r="AB344" s="53" t="str">
        <f>IF($Z344="","",INDEX(Îlots!$E$8:$E$57,$Z344))</f>
        <v/>
      </c>
      <c r="AC344" s="53" t="str">
        <f>IF($Z344="","",INDEX(Îlots!$G$8:$G$57,$Z344)&amp;"")</f>
        <v/>
      </c>
      <c r="AD344" s="53" t="str">
        <f>IF($Z344="","",IF($F344=ApportCouvert,OccCouvert,INDEX(Îlots!$O$8:$O$57,$Z344)&amp;""))</f>
        <v/>
      </c>
      <c r="AE344" s="53" t="str">
        <f t="shared" si="73"/>
        <v/>
      </c>
      <c r="AF344" s="53" t="str">
        <f t="shared" si="74"/>
        <v/>
      </c>
      <c r="AG344" s="53" t="str">
        <f t="shared" si="75"/>
        <v/>
      </c>
      <c r="AH344" s="53">
        <f t="shared" si="76"/>
        <v>0</v>
      </c>
      <c r="AI344" s="53">
        <f t="shared" si="77"/>
        <v>0</v>
      </c>
      <c r="AJ344" s="53">
        <f t="shared" si="78"/>
        <v>0</v>
      </c>
      <c r="AK344" s="53">
        <f t="shared" si="79"/>
        <v>0</v>
      </c>
      <c r="AL344" s="53">
        <f t="shared" si="80"/>
        <v>0</v>
      </c>
      <c r="AM344" s="53">
        <f>IF($AA344="",0,IF(INDEX(Fertilisants!$C$8:$C$47,$AA344)="Effluent d'élevage",1,0))</f>
        <v>0</v>
      </c>
      <c r="AN344" s="53" t="str">
        <f>IF($AA344="","",IF(INDEX(Fertilisants!$C$8:$C$47,$AA344)="Engrais minéral","Minéral","Organique"))</f>
        <v/>
      </c>
      <c r="AO344" s="53" t="str">
        <f t="shared" si="81"/>
        <v/>
      </c>
      <c r="AP344" s="53" t="str">
        <f t="shared" si="82"/>
        <v/>
      </c>
      <c r="AQ344" s="53" t="str">
        <f t="shared" si="83"/>
        <v/>
      </c>
      <c r="AR344" s="53" t="str">
        <f>IF(AND($D344&lt;&gt;"",$D344=FicheIlot),COUNTIF($D$8:$D344,FicheIlot),"")</f>
        <v/>
      </c>
    </row>
    <row r="345" spans="2:44" ht="18.95" customHeight="1" x14ac:dyDescent="0.25">
      <c r="B345" s="42" t="str">
        <f>IF(C345="","",COUNT($C$8:C345))</f>
        <v/>
      </c>
      <c r="C345" s="43"/>
      <c r="D345" s="44"/>
      <c r="E345" s="45" t="str">
        <f>IF($Z345="","",IF($F345=ApportCouvert,INDEX(Îlots!$I$8:$I$57,$Z345)&amp;"",INDEX(Îlots!$N$8:$N$57,$Z345)&amp;""))</f>
        <v/>
      </c>
      <c r="F345" s="44"/>
      <c r="G345" s="44"/>
      <c r="H345" s="46" t="str">
        <f>IF($AA345="","",INDEX(Fertilisants!$D$8:$D$47,$AA345)&amp;"")</f>
        <v/>
      </c>
      <c r="I345" s="47"/>
      <c r="J345" s="48"/>
      <c r="K345" s="46" t="str">
        <f>IF($AA345="","",INDEX(Fertilisants!$E$8:$E$47,$AA345)&amp;"")</f>
        <v/>
      </c>
      <c r="L345" s="49" t="str">
        <f t="shared" si="70"/>
        <v/>
      </c>
      <c r="M345" s="50" t="str">
        <f>IF(OR($J345="",$AA345=""),"",$J345*N(INDEX(Fertilisants!$G$8:$G$47,$AA345)))</f>
        <v/>
      </c>
      <c r="N345" s="50" t="str">
        <f>IF(OR($J345="",$AA345=""),"",$J345*N(INDEX(Fertilisants!$I$8:$I$47,$AA345)))</f>
        <v/>
      </c>
      <c r="O345" s="50" t="str">
        <f>IF(OR($J345="",$AA345=""),"",$J345*N(INDEX(Fertilisants!$J$8:$J$47,$AA345)))</f>
        <v/>
      </c>
      <c r="P345" s="50" t="str">
        <f>IF(OR($J345="",$AA345=""),"",$J345*N(INDEX(Fertilisants!$K$8:$K$47,$AA345)))</f>
        <v/>
      </c>
      <c r="Q345" s="50" t="str">
        <f t="shared" si="71"/>
        <v/>
      </c>
      <c r="R345" s="44"/>
      <c r="S345" s="44"/>
      <c r="T345" s="51"/>
      <c r="U345" s="44"/>
      <c r="V345" s="43"/>
      <c r="W345" s="52" t="str">
        <f t="shared" si="72"/>
        <v/>
      </c>
      <c r="X345" s="44"/>
      <c r="Z345" s="53" t="str">
        <f>IF($D345="","",IFERROR(MATCH($D345,Îlots!$D$8:$D$57,0),""))</f>
        <v/>
      </c>
      <c r="AA345" s="53" t="str">
        <f>IF($G345="","",IFERROR(MATCH($G345,Fertilisants!$B$8:$B$47,0),""))</f>
        <v/>
      </c>
      <c r="AB345" s="53" t="str">
        <f>IF($Z345="","",INDEX(Îlots!$E$8:$E$57,$Z345))</f>
        <v/>
      </c>
      <c r="AC345" s="53" t="str">
        <f>IF($Z345="","",INDEX(Îlots!$G$8:$G$57,$Z345)&amp;"")</f>
        <v/>
      </c>
      <c r="AD345" s="53" t="str">
        <f>IF($Z345="","",IF($F345=ApportCouvert,OccCouvert,INDEX(Îlots!$O$8:$O$57,$Z345)&amp;""))</f>
        <v/>
      </c>
      <c r="AE345" s="53" t="str">
        <f t="shared" si="73"/>
        <v/>
      </c>
      <c r="AF345" s="53" t="str">
        <f t="shared" si="74"/>
        <v/>
      </c>
      <c r="AG345" s="53" t="str">
        <f t="shared" si="75"/>
        <v/>
      </c>
      <c r="AH345" s="53">
        <f t="shared" si="76"/>
        <v>0</v>
      </c>
      <c r="AI345" s="53">
        <f t="shared" si="77"/>
        <v>0</v>
      </c>
      <c r="AJ345" s="53">
        <f t="shared" si="78"/>
        <v>0</v>
      </c>
      <c r="AK345" s="53">
        <f t="shared" si="79"/>
        <v>0</v>
      </c>
      <c r="AL345" s="53">
        <f t="shared" si="80"/>
        <v>0</v>
      </c>
      <c r="AM345" s="53">
        <f>IF($AA345="",0,IF(INDEX(Fertilisants!$C$8:$C$47,$AA345)="Effluent d'élevage",1,0))</f>
        <v>0</v>
      </c>
      <c r="AN345" s="53" t="str">
        <f>IF($AA345="","",IF(INDEX(Fertilisants!$C$8:$C$47,$AA345)="Engrais minéral","Minéral","Organique"))</f>
        <v/>
      </c>
      <c r="AO345" s="53" t="str">
        <f t="shared" si="81"/>
        <v/>
      </c>
      <c r="AP345" s="53" t="str">
        <f t="shared" si="82"/>
        <v/>
      </c>
      <c r="AQ345" s="53" t="str">
        <f t="shared" si="83"/>
        <v/>
      </c>
      <c r="AR345" s="53" t="str">
        <f>IF(AND($D345&lt;&gt;"",$D345=FicheIlot),COUNTIF($D$8:$D345,FicheIlot),"")</f>
        <v/>
      </c>
    </row>
    <row r="346" spans="2:44" ht="18.95" customHeight="1" x14ac:dyDescent="0.25">
      <c r="B346" s="42" t="str">
        <f>IF(C346="","",COUNT($C$8:C346))</f>
        <v/>
      </c>
      <c r="C346" s="43"/>
      <c r="D346" s="44"/>
      <c r="E346" s="45" t="str">
        <f>IF($Z346="","",IF($F346=ApportCouvert,INDEX(Îlots!$I$8:$I$57,$Z346)&amp;"",INDEX(Îlots!$N$8:$N$57,$Z346)&amp;""))</f>
        <v/>
      </c>
      <c r="F346" s="44"/>
      <c r="G346" s="44"/>
      <c r="H346" s="46" t="str">
        <f>IF($AA346="","",INDEX(Fertilisants!$D$8:$D$47,$AA346)&amp;"")</f>
        <v/>
      </c>
      <c r="I346" s="47"/>
      <c r="J346" s="48"/>
      <c r="K346" s="46" t="str">
        <f>IF($AA346="","",INDEX(Fertilisants!$E$8:$E$47,$AA346)&amp;"")</f>
        <v/>
      </c>
      <c r="L346" s="49" t="str">
        <f t="shared" si="70"/>
        <v/>
      </c>
      <c r="M346" s="50" t="str">
        <f>IF(OR($J346="",$AA346=""),"",$J346*N(INDEX(Fertilisants!$G$8:$G$47,$AA346)))</f>
        <v/>
      </c>
      <c r="N346" s="50" t="str">
        <f>IF(OR($J346="",$AA346=""),"",$J346*N(INDEX(Fertilisants!$I$8:$I$47,$AA346)))</f>
        <v/>
      </c>
      <c r="O346" s="50" t="str">
        <f>IF(OR($J346="",$AA346=""),"",$J346*N(INDEX(Fertilisants!$J$8:$J$47,$AA346)))</f>
        <v/>
      </c>
      <c r="P346" s="50" t="str">
        <f>IF(OR($J346="",$AA346=""),"",$J346*N(INDEX(Fertilisants!$K$8:$K$47,$AA346)))</f>
        <v/>
      </c>
      <c r="Q346" s="50" t="str">
        <f t="shared" si="71"/>
        <v/>
      </c>
      <c r="R346" s="44"/>
      <c r="S346" s="44"/>
      <c r="T346" s="51"/>
      <c r="U346" s="44"/>
      <c r="V346" s="43"/>
      <c r="W346" s="52" t="str">
        <f t="shared" si="72"/>
        <v/>
      </c>
      <c r="X346" s="44"/>
      <c r="Z346" s="53" t="str">
        <f>IF($D346="","",IFERROR(MATCH($D346,Îlots!$D$8:$D$57,0),""))</f>
        <v/>
      </c>
      <c r="AA346" s="53" t="str">
        <f>IF($G346="","",IFERROR(MATCH($G346,Fertilisants!$B$8:$B$47,0),""))</f>
        <v/>
      </c>
      <c r="AB346" s="53" t="str">
        <f>IF($Z346="","",INDEX(Îlots!$E$8:$E$57,$Z346))</f>
        <v/>
      </c>
      <c r="AC346" s="53" t="str">
        <f>IF($Z346="","",INDEX(Îlots!$G$8:$G$57,$Z346)&amp;"")</f>
        <v/>
      </c>
      <c r="AD346" s="53" t="str">
        <f>IF($Z346="","",IF($F346=ApportCouvert,OccCouvert,INDEX(Îlots!$O$8:$O$57,$Z346)&amp;""))</f>
        <v/>
      </c>
      <c r="AE346" s="53" t="str">
        <f t="shared" si="73"/>
        <v/>
      </c>
      <c r="AF346" s="53" t="str">
        <f t="shared" si="74"/>
        <v/>
      </c>
      <c r="AG346" s="53" t="str">
        <f t="shared" si="75"/>
        <v/>
      </c>
      <c r="AH346" s="53">
        <f t="shared" si="76"/>
        <v>0</v>
      </c>
      <c r="AI346" s="53">
        <f t="shared" si="77"/>
        <v>0</v>
      </c>
      <c r="AJ346" s="53">
        <f t="shared" si="78"/>
        <v>0</v>
      </c>
      <c r="AK346" s="53">
        <f t="shared" si="79"/>
        <v>0</v>
      </c>
      <c r="AL346" s="53">
        <f t="shared" si="80"/>
        <v>0</v>
      </c>
      <c r="AM346" s="53">
        <f>IF($AA346="",0,IF(INDEX(Fertilisants!$C$8:$C$47,$AA346)="Effluent d'élevage",1,0))</f>
        <v>0</v>
      </c>
      <c r="AN346" s="53" t="str">
        <f>IF($AA346="","",IF(INDEX(Fertilisants!$C$8:$C$47,$AA346)="Engrais minéral","Minéral","Organique"))</f>
        <v/>
      </c>
      <c r="AO346" s="53" t="str">
        <f t="shared" si="81"/>
        <v/>
      </c>
      <c r="AP346" s="53" t="str">
        <f t="shared" si="82"/>
        <v/>
      </c>
      <c r="AQ346" s="53" t="str">
        <f t="shared" si="83"/>
        <v/>
      </c>
      <c r="AR346" s="53" t="str">
        <f>IF(AND($D346&lt;&gt;"",$D346=FicheIlot),COUNTIF($D$8:$D346,FicheIlot),"")</f>
        <v/>
      </c>
    </row>
    <row r="347" spans="2:44" ht="18.95" customHeight="1" x14ac:dyDescent="0.25">
      <c r="B347" s="42" t="str">
        <f>IF(C347="","",COUNT($C$8:C347))</f>
        <v/>
      </c>
      <c r="C347" s="43"/>
      <c r="D347" s="44"/>
      <c r="E347" s="45" t="str">
        <f>IF($Z347="","",IF($F347=ApportCouvert,INDEX(Îlots!$I$8:$I$57,$Z347)&amp;"",INDEX(Îlots!$N$8:$N$57,$Z347)&amp;""))</f>
        <v/>
      </c>
      <c r="F347" s="44"/>
      <c r="G347" s="44"/>
      <c r="H347" s="46" t="str">
        <f>IF($AA347="","",INDEX(Fertilisants!$D$8:$D$47,$AA347)&amp;"")</f>
        <v/>
      </c>
      <c r="I347" s="47"/>
      <c r="J347" s="48"/>
      <c r="K347" s="46" t="str">
        <f>IF($AA347="","",INDEX(Fertilisants!$E$8:$E$47,$AA347)&amp;"")</f>
        <v/>
      </c>
      <c r="L347" s="49" t="str">
        <f t="shared" si="70"/>
        <v/>
      </c>
      <c r="M347" s="50" t="str">
        <f>IF(OR($J347="",$AA347=""),"",$J347*N(INDEX(Fertilisants!$G$8:$G$47,$AA347)))</f>
        <v/>
      </c>
      <c r="N347" s="50" t="str">
        <f>IF(OR($J347="",$AA347=""),"",$J347*N(INDEX(Fertilisants!$I$8:$I$47,$AA347)))</f>
        <v/>
      </c>
      <c r="O347" s="50" t="str">
        <f>IF(OR($J347="",$AA347=""),"",$J347*N(INDEX(Fertilisants!$J$8:$J$47,$AA347)))</f>
        <v/>
      </c>
      <c r="P347" s="50" t="str">
        <f>IF(OR($J347="",$AA347=""),"",$J347*N(INDEX(Fertilisants!$K$8:$K$47,$AA347)))</f>
        <v/>
      </c>
      <c r="Q347" s="50" t="str">
        <f t="shared" si="71"/>
        <v/>
      </c>
      <c r="R347" s="44"/>
      <c r="S347" s="44"/>
      <c r="T347" s="51"/>
      <c r="U347" s="44"/>
      <c r="V347" s="43"/>
      <c r="W347" s="52" t="str">
        <f t="shared" si="72"/>
        <v/>
      </c>
      <c r="X347" s="44"/>
      <c r="Z347" s="53" t="str">
        <f>IF($D347="","",IFERROR(MATCH($D347,Îlots!$D$8:$D$57,0),""))</f>
        <v/>
      </c>
      <c r="AA347" s="53" t="str">
        <f>IF($G347="","",IFERROR(MATCH($G347,Fertilisants!$B$8:$B$47,0),""))</f>
        <v/>
      </c>
      <c r="AB347" s="53" t="str">
        <f>IF($Z347="","",INDEX(Îlots!$E$8:$E$57,$Z347))</f>
        <v/>
      </c>
      <c r="AC347" s="53" t="str">
        <f>IF($Z347="","",INDEX(Îlots!$G$8:$G$57,$Z347)&amp;"")</f>
        <v/>
      </c>
      <c r="AD347" s="53" t="str">
        <f>IF($Z347="","",IF($F347=ApportCouvert,OccCouvert,INDEX(Îlots!$O$8:$O$57,$Z347)&amp;""))</f>
        <v/>
      </c>
      <c r="AE347" s="53" t="str">
        <f t="shared" si="73"/>
        <v/>
      </c>
      <c r="AF347" s="53" t="str">
        <f t="shared" si="74"/>
        <v/>
      </c>
      <c r="AG347" s="53" t="str">
        <f t="shared" si="75"/>
        <v/>
      </c>
      <c r="AH347" s="53">
        <f t="shared" si="76"/>
        <v>0</v>
      </c>
      <c r="AI347" s="53">
        <f t="shared" si="77"/>
        <v>0</v>
      </c>
      <c r="AJ347" s="53">
        <f t="shared" si="78"/>
        <v>0</v>
      </c>
      <c r="AK347" s="53">
        <f t="shared" si="79"/>
        <v>0</v>
      </c>
      <c r="AL347" s="53">
        <f t="shared" si="80"/>
        <v>0</v>
      </c>
      <c r="AM347" s="53">
        <f>IF($AA347="",0,IF(INDEX(Fertilisants!$C$8:$C$47,$AA347)="Effluent d'élevage",1,0))</f>
        <v>0</v>
      </c>
      <c r="AN347" s="53" t="str">
        <f>IF($AA347="","",IF(INDEX(Fertilisants!$C$8:$C$47,$AA347)="Engrais minéral","Minéral","Organique"))</f>
        <v/>
      </c>
      <c r="AO347" s="53" t="str">
        <f t="shared" si="81"/>
        <v/>
      </c>
      <c r="AP347" s="53" t="str">
        <f t="shared" si="82"/>
        <v/>
      </c>
      <c r="AQ347" s="53" t="str">
        <f t="shared" si="83"/>
        <v/>
      </c>
      <c r="AR347" s="53" t="str">
        <f>IF(AND($D347&lt;&gt;"",$D347=FicheIlot),COUNTIF($D$8:$D347,FicheIlot),"")</f>
        <v/>
      </c>
    </row>
    <row r="348" spans="2:44" ht="18.95" customHeight="1" x14ac:dyDescent="0.25">
      <c r="B348" s="42" t="str">
        <f>IF(C348="","",COUNT($C$8:C348))</f>
        <v/>
      </c>
      <c r="C348" s="43"/>
      <c r="D348" s="44"/>
      <c r="E348" s="45" t="str">
        <f>IF($Z348="","",IF($F348=ApportCouvert,INDEX(Îlots!$I$8:$I$57,$Z348)&amp;"",INDEX(Îlots!$N$8:$N$57,$Z348)&amp;""))</f>
        <v/>
      </c>
      <c r="F348" s="44"/>
      <c r="G348" s="44"/>
      <c r="H348" s="46" t="str">
        <f>IF($AA348="","",INDEX(Fertilisants!$D$8:$D$47,$AA348)&amp;"")</f>
        <v/>
      </c>
      <c r="I348" s="47"/>
      <c r="J348" s="48"/>
      <c r="K348" s="46" t="str">
        <f>IF($AA348="","",INDEX(Fertilisants!$E$8:$E$47,$AA348)&amp;"")</f>
        <v/>
      </c>
      <c r="L348" s="49" t="str">
        <f t="shared" si="70"/>
        <v/>
      </c>
      <c r="M348" s="50" t="str">
        <f>IF(OR($J348="",$AA348=""),"",$J348*N(INDEX(Fertilisants!$G$8:$G$47,$AA348)))</f>
        <v/>
      </c>
      <c r="N348" s="50" t="str">
        <f>IF(OR($J348="",$AA348=""),"",$J348*N(INDEX(Fertilisants!$I$8:$I$47,$AA348)))</f>
        <v/>
      </c>
      <c r="O348" s="50" t="str">
        <f>IF(OR($J348="",$AA348=""),"",$J348*N(INDEX(Fertilisants!$J$8:$J$47,$AA348)))</f>
        <v/>
      </c>
      <c r="P348" s="50" t="str">
        <f>IF(OR($J348="",$AA348=""),"",$J348*N(INDEX(Fertilisants!$K$8:$K$47,$AA348)))</f>
        <v/>
      </c>
      <c r="Q348" s="50" t="str">
        <f t="shared" si="71"/>
        <v/>
      </c>
      <c r="R348" s="44"/>
      <c r="S348" s="44"/>
      <c r="T348" s="51"/>
      <c r="U348" s="44"/>
      <c r="V348" s="43"/>
      <c r="W348" s="52" t="str">
        <f t="shared" si="72"/>
        <v/>
      </c>
      <c r="X348" s="44"/>
      <c r="Z348" s="53" t="str">
        <f>IF($D348="","",IFERROR(MATCH($D348,Îlots!$D$8:$D$57,0),""))</f>
        <v/>
      </c>
      <c r="AA348" s="53" t="str">
        <f>IF($G348="","",IFERROR(MATCH($G348,Fertilisants!$B$8:$B$47,0),""))</f>
        <v/>
      </c>
      <c r="AB348" s="53" t="str">
        <f>IF($Z348="","",INDEX(Îlots!$E$8:$E$57,$Z348))</f>
        <v/>
      </c>
      <c r="AC348" s="53" t="str">
        <f>IF($Z348="","",INDEX(Îlots!$G$8:$G$57,$Z348)&amp;"")</f>
        <v/>
      </c>
      <c r="AD348" s="53" t="str">
        <f>IF($Z348="","",IF($F348=ApportCouvert,OccCouvert,INDEX(Îlots!$O$8:$O$57,$Z348)&amp;""))</f>
        <v/>
      </c>
      <c r="AE348" s="53" t="str">
        <f t="shared" si="73"/>
        <v/>
      </c>
      <c r="AF348" s="53" t="str">
        <f t="shared" si="74"/>
        <v/>
      </c>
      <c r="AG348" s="53" t="str">
        <f t="shared" si="75"/>
        <v/>
      </c>
      <c r="AH348" s="53">
        <f t="shared" si="76"/>
        <v>0</v>
      </c>
      <c r="AI348" s="53">
        <f t="shared" si="77"/>
        <v>0</v>
      </c>
      <c r="AJ348" s="53">
        <f t="shared" si="78"/>
        <v>0</v>
      </c>
      <c r="AK348" s="53">
        <f t="shared" si="79"/>
        <v>0</v>
      </c>
      <c r="AL348" s="53">
        <f t="shared" si="80"/>
        <v>0</v>
      </c>
      <c r="AM348" s="53">
        <f>IF($AA348="",0,IF(INDEX(Fertilisants!$C$8:$C$47,$AA348)="Effluent d'élevage",1,0))</f>
        <v>0</v>
      </c>
      <c r="AN348" s="53" t="str">
        <f>IF($AA348="","",IF(INDEX(Fertilisants!$C$8:$C$47,$AA348)="Engrais minéral","Minéral","Organique"))</f>
        <v/>
      </c>
      <c r="AO348" s="53" t="str">
        <f t="shared" si="81"/>
        <v/>
      </c>
      <c r="AP348" s="53" t="str">
        <f t="shared" si="82"/>
        <v/>
      </c>
      <c r="AQ348" s="53" t="str">
        <f t="shared" si="83"/>
        <v/>
      </c>
      <c r="AR348" s="53" t="str">
        <f>IF(AND($D348&lt;&gt;"",$D348=FicheIlot),COUNTIF($D$8:$D348,FicheIlot),"")</f>
        <v/>
      </c>
    </row>
    <row r="349" spans="2:44" ht="18.95" customHeight="1" x14ac:dyDescent="0.25">
      <c r="B349" s="42" t="str">
        <f>IF(C349="","",COUNT($C$8:C349))</f>
        <v/>
      </c>
      <c r="C349" s="43"/>
      <c r="D349" s="44"/>
      <c r="E349" s="45" t="str">
        <f>IF($Z349="","",IF($F349=ApportCouvert,INDEX(Îlots!$I$8:$I$57,$Z349)&amp;"",INDEX(Îlots!$N$8:$N$57,$Z349)&amp;""))</f>
        <v/>
      </c>
      <c r="F349" s="44"/>
      <c r="G349" s="44"/>
      <c r="H349" s="46" t="str">
        <f>IF($AA349="","",INDEX(Fertilisants!$D$8:$D$47,$AA349)&amp;"")</f>
        <v/>
      </c>
      <c r="I349" s="47"/>
      <c r="J349" s="48"/>
      <c r="K349" s="46" t="str">
        <f>IF($AA349="","",INDEX(Fertilisants!$E$8:$E$47,$AA349)&amp;"")</f>
        <v/>
      </c>
      <c r="L349" s="49" t="str">
        <f t="shared" si="70"/>
        <v/>
      </c>
      <c r="M349" s="50" t="str">
        <f>IF(OR($J349="",$AA349=""),"",$J349*N(INDEX(Fertilisants!$G$8:$G$47,$AA349)))</f>
        <v/>
      </c>
      <c r="N349" s="50" t="str">
        <f>IF(OR($J349="",$AA349=""),"",$J349*N(INDEX(Fertilisants!$I$8:$I$47,$AA349)))</f>
        <v/>
      </c>
      <c r="O349" s="50" t="str">
        <f>IF(OR($J349="",$AA349=""),"",$J349*N(INDEX(Fertilisants!$J$8:$J$47,$AA349)))</f>
        <v/>
      </c>
      <c r="P349" s="50" t="str">
        <f>IF(OR($J349="",$AA349=""),"",$J349*N(INDEX(Fertilisants!$K$8:$K$47,$AA349)))</f>
        <v/>
      </c>
      <c r="Q349" s="50" t="str">
        <f t="shared" si="71"/>
        <v/>
      </c>
      <c r="R349" s="44"/>
      <c r="S349" s="44"/>
      <c r="T349" s="51"/>
      <c r="U349" s="44"/>
      <c r="V349" s="43"/>
      <c r="W349" s="52" t="str">
        <f t="shared" si="72"/>
        <v/>
      </c>
      <c r="X349" s="44"/>
      <c r="Z349" s="53" t="str">
        <f>IF($D349="","",IFERROR(MATCH($D349,Îlots!$D$8:$D$57,0),""))</f>
        <v/>
      </c>
      <c r="AA349" s="53" t="str">
        <f>IF($G349="","",IFERROR(MATCH($G349,Fertilisants!$B$8:$B$47,0),""))</f>
        <v/>
      </c>
      <c r="AB349" s="53" t="str">
        <f>IF($Z349="","",INDEX(Îlots!$E$8:$E$57,$Z349))</f>
        <v/>
      </c>
      <c r="AC349" s="53" t="str">
        <f>IF($Z349="","",INDEX(Îlots!$G$8:$G$57,$Z349)&amp;"")</f>
        <v/>
      </c>
      <c r="AD349" s="53" t="str">
        <f>IF($Z349="","",IF($F349=ApportCouvert,OccCouvert,INDEX(Îlots!$O$8:$O$57,$Z349)&amp;""))</f>
        <v/>
      </c>
      <c r="AE349" s="53" t="str">
        <f t="shared" si="73"/>
        <v/>
      </c>
      <c r="AF349" s="53" t="str">
        <f t="shared" si="74"/>
        <v/>
      </c>
      <c r="AG349" s="53" t="str">
        <f t="shared" si="75"/>
        <v/>
      </c>
      <c r="AH349" s="53">
        <f t="shared" si="76"/>
        <v>0</v>
      </c>
      <c r="AI349" s="53">
        <f t="shared" si="77"/>
        <v>0</v>
      </c>
      <c r="AJ349" s="53">
        <f t="shared" si="78"/>
        <v>0</v>
      </c>
      <c r="AK349" s="53">
        <f t="shared" si="79"/>
        <v>0</v>
      </c>
      <c r="AL349" s="53">
        <f t="shared" si="80"/>
        <v>0</v>
      </c>
      <c r="AM349" s="53">
        <f>IF($AA349="",0,IF(INDEX(Fertilisants!$C$8:$C$47,$AA349)="Effluent d'élevage",1,0))</f>
        <v>0</v>
      </c>
      <c r="AN349" s="53" t="str">
        <f>IF($AA349="","",IF(INDEX(Fertilisants!$C$8:$C$47,$AA349)="Engrais minéral","Minéral","Organique"))</f>
        <v/>
      </c>
      <c r="AO349" s="53" t="str">
        <f t="shared" si="81"/>
        <v/>
      </c>
      <c r="AP349" s="53" t="str">
        <f t="shared" si="82"/>
        <v/>
      </c>
      <c r="AQ349" s="53" t="str">
        <f t="shared" si="83"/>
        <v/>
      </c>
      <c r="AR349" s="53" t="str">
        <f>IF(AND($D349&lt;&gt;"",$D349=FicheIlot),COUNTIF($D$8:$D349,FicheIlot),"")</f>
        <v/>
      </c>
    </row>
    <row r="350" spans="2:44" ht="18.95" customHeight="1" x14ac:dyDescent="0.25">
      <c r="B350" s="42" t="str">
        <f>IF(C350="","",COUNT($C$8:C350))</f>
        <v/>
      </c>
      <c r="C350" s="43"/>
      <c r="D350" s="44"/>
      <c r="E350" s="45" t="str">
        <f>IF($Z350="","",IF($F350=ApportCouvert,INDEX(Îlots!$I$8:$I$57,$Z350)&amp;"",INDEX(Îlots!$N$8:$N$57,$Z350)&amp;""))</f>
        <v/>
      </c>
      <c r="F350" s="44"/>
      <c r="G350" s="44"/>
      <c r="H350" s="46" t="str">
        <f>IF($AA350="","",INDEX(Fertilisants!$D$8:$D$47,$AA350)&amp;"")</f>
        <v/>
      </c>
      <c r="I350" s="47"/>
      <c r="J350" s="48"/>
      <c r="K350" s="46" t="str">
        <f>IF($AA350="","",INDEX(Fertilisants!$E$8:$E$47,$AA350)&amp;"")</f>
        <v/>
      </c>
      <c r="L350" s="49" t="str">
        <f t="shared" si="70"/>
        <v/>
      </c>
      <c r="M350" s="50" t="str">
        <f>IF(OR($J350="",$AA350=""),"",$J350*N(INDEX(Fertilisants!$G$8:$G$47,$AA350)))</f>
        <v/>
      </c>
      <c r="N350" s="50" t="str">
        <f>IF(OR($J350="",$AA350=""),"",$J350*N(INDEX(Fertilisants!$I$8:$I$47,$AA350)))</f>
        <v/>
      </c>
      <c r="O350" s="50" t="str">
        <f>IF(OR($J350="",$AA350=""),"",$J350*N(INDEX(Fertilisants!$J$8:$J$47,$AA350)))</f>
        <v/>
      </c>
      <c r="P350" s="50" t="str">
        <f>IF(OR($J350="",$AA350=""),"",$J350*N(INDEX(Fertilisants!$K$8:$K$47,$AA350)))</f>
        <v/>
      </c>
      <c r="Q350" s="50" t="str">
        <f t="shared" si="71"/>
        <v/>
      </c>
      <c r="R350" s="44"/>
      <c r="S350" s="44"/>
      <c r="T350" s="51"/>
      <c r="U350" s="44"/>
      <c r="V350" s="43"/>
      <c r="W350" s="52" t="str">
        <f t="shared" si="72"/>
        <v/>
      </c>
      <c r="X350" s="44"/>
      <c r="Z350" s="53" t="str">
        <f>IF($D350="","",IFERROR(MATCH($D350,Îlots!$D$8:$D$57,0),""))</f>
        <v/>
      </c>
      <c r="AA350" s="53" t="str">
        <f>IF($G350="","",IFERROR(MATCH($G350,Fertilisants!$B$8:$B$47,0),""))</f>
        <v/>
      </c>
      <c r="AB350" s="53" t="str">
        <f>IF($Z350="","",INDEX(Îlots!$E$8:$E$57,$Z350))</f>
        <v/>
      </c>
      <c r="AC350" s="53" t="str">
        <f>IF($Z350="","",INDEX(Îlots!$G$8:$G$57,$Z350)&amp;"")</f>
        <v/>
      </c>
      <c r="AD350" s="53" t="str">
        <f>IF($Z350="","",IF($F350=ApportCouvert,OccCouvert,INDEX(Îlots!$O$8:$O$57,$Z350)&amp;""))</f>
        <v/>
      </c>
      <c r="AE350" s="53" t="str">
        <f t="shared" si="73"/>
        <v/>
      </c>
      <c r="AF350" s="53" t="str">
        <f t="shared" si="74"/>
        <v/>
      </c>
      <c r="AG350" s="53" t="str">
        <f t="shared" si="75"/>
        <v/>
      </c>
      <c r="AH350" s="53">
        <f t="shared" si="76"/>
        <v>0</v>
      </c>
      <c r="AI350" s="53">
        <f t="shared" si="77"/>
        <v>0</v>
      </c>
      <c r="AJ350" s="53">
        <f t="shared" si="78"/>
        <v>0</v>
      </c>
      <c r="AK350" s="53">
        <f t="shared" si="79"/>
        <v>0</v>
      </c>
      <c r="AL350" s="53">
        <f t="shared" si="80"/>
        <v>0</v>
      </c>
      <c r="AM350" s="53">
        <f>IF($AA350="",0,IF(INDEX(Fertilisants!$C$8:$C$47,$AA350)="Effluent d'élevage",1,0))</f>
        <v>0</v>
      </c>
      <c r="AN350" s="53" t="str">
        <f>IF($AA350="","",IF(INDEX(Fertilisants!$C$8:$C$47,$AA350)="Engrais minéral","Minéral","Organique"))</f>
        <v/>
      </c>
      <c r="AO350" s="53" t="str">
        <f t="shared" si="81"/>
        <v/>
      </c>
      <c r="AP350" s="53" t="str">
        <f t="shared" si="82"/>
        <v/>
      </c>
      <c r="AQ350" s="53" t="str">
        <f t="shared" si="83"/>
        <v/>
      </c>
      <c r="AR350" s="53" t="str">
        <f>IF(AND($D350&lt;&gt;"",$D350=FicheIlot),COUNTIF($D$8:$D350,FicheIlot),"")</f>
        <v/>
      </c>
    </row>
    <row r="351" spans="2:44" ht="18.95" customHeight="1" x14ac:dyDescent="0.25">
      <c r="B351" s="42" t="str">
        <f>IF(C351="","",COUNT($C$8:C351))</f>
        <v/>
      </c>
      <c r="C351" s="43"/>
      <c r="D351" s="44"/>
      <c r="E351" s="45" t="str">
        <f>IF($Z351="","",IF($F351=ApportCouvert,INDEX(Îlots!$I$8:$I$57,$Z351)&amp;"",INDEX(Îlots!$N$8:$N$57,$Z351)&amp;""))</f>
        <v/>
      </c>
      <c r="F351" s="44"/>
      <c r="G351" s="44"/>
      <c r="H351" s="46" t="str">
        <f>IF($AA351="","",INDEX(Fertilisants!$D$8:$D$47,$AA351)&amp;"")</f>
        <v/>
      </c>
      <c r="I351" s="47"/>
      <c r="J351" s="48"/>
      <c r="K351" s="46" t="str">
        <f>IF($AA351="","",INDEX(Fertilisants!$E$8:$E$47,$AA351)&amp;"")</f>
        <v/>
      </c>
      <c r="L351" s="49" t="str">
        <f t="shared" si="70"/>
        <v/>
      </c>
      <c r="M351" s="50" t="str">
        <f>IF(OR($J351="",$AA351=""),"",$J351*N(INDEX(Fertilisants!$G$8:$G$47,$AA351)))</f>
        <v/>
      </c>
      <c r="N351" s="50" t="str">
        <f>IF(OR($J351="",$AA351=""),"",$J351*N(INDEX(Fertilisants!$I$8:$I$47,$AA351)))</f>
        <v/>
      </c>
      <c r="O351" s="50" t="str">
        <f>IF(OR($J351="",$AA351=""),"",$J351*N(INDEX(Fertilisants!$J$8:$J$47,$AA351)))</f>
        <v/>
      </c>
      <c r="P351" s="50" t="str">
        <f>IF(OR($J351="",$AA351=""),"",$J351*N(INDEX(Fertilisants!$K$8:$K$47,$AA351)))</f>
        <v/>
      </c>
      <c r="Q351" s="50" t="str">
        <f t="shared" si="71"/>
        <v/>
      </c>
      <c r="R351" s="44"/>
      <c r="S351" s="44"/>
      <c r="T351" s="51"/>
      <c r="U351" s="44"/>
      <c r="V351" s="43"/>
      <c r="W351" s="52" t="str">
        <f t="shared" si="72"/>
        <v/>
      </c>
      <c r="X351" s="44"/>
      <c r="Z351" s="53" t="str">
        <f>IF($D351="","",IFERROR(MATCH($D351,Îlots!$D$8:$D$57,0),""))</f>
        <v/>
      </c>
      <c r="AA351" s="53" t="str">
        <f>IF($G351="","",IFERROR(MATCH($G351,Fertilisants!$B$8:$B$47,0),""))</f>
        <v/>
      </c>
      <c r="AB351" s="53" t="str">
        <f>IF($Z351="","",INDEX(Îlots!$E$8:$E$57,$Z351))</f>
        <v/>
      </c>
      <c r="AC351" s="53" t="str">
        <f>IF($Z351="","",INDEX(Îlots!$G$8:$G$57,$Z351)&amp;"")</f>
        <v/>
      </c>
      <c r="AD351" s="53" t="str">
        <f>IF($Z351="","",IF($F351=ApportCouvert,OccCouvert,INDEX(Îlots!$O$8:$O$57,$Z351)&amp;""))</f>
        <v/>
      </c>
      <c r="AE351" s="53" t="str">
        <f t="shared" si="73"/>
        <v/>
      </c>
      <c r="AF351" s="53" t="str">
        <f t="shared" si="74"/>
        <v/>
      </c>
      <c r="AG351" s="53" t="str">
        <f t="shared" si="75"/>
        <v/>
      </c>
      <c r="AH351" s="53">
        <f t="shared" si="76"/>
        <v>0</v>
      </c>
      <c r="AI351" s="53">
        <f t="shared" si="77"/>
        <v>0</v>
      </c>
      <c r="AJ351" s="53">
        <f t="shared" si="78"/>
        <v>0</v>
      </c>
      <c r="AK351" s="53">
        <f t="shared" si="79"/>
        <v>0</v>
      </c>
      <c r="AL351" s="53">
        <f t="shared" si="80"/>
        <v>0</v>
      </c>
      <c r="AM351" s="53">
        <f>IF($AA351="",0,IF(INDEX(Fertilisants!$C$8:$C$47,$AA351)="Effluent d'élevage",1,0))</f>
        <v>0</v>
      </c>
      <c r="AN351" s="53" t="str">
        <f>IF($AA351="","",IF(INDEX(Fertilisants!$C$8:$C$47,$AA351)="Engrais minéral","Minéral","Organique"))</f>
        <v/>
      </c>
      <c r="AO351" s="53" t="str">
        <f t="shared" si="81"/>
        <v/>
      </c>
      <c r="AP351" s="53" t="str">
        <f t="shared" si="82"/>
        <v/>
      </c>
      <c r="AQ351" s="53" t="str">
        <f t="shared" si="83"/>
        <v/>
      </c>
      <c r="AR351" s="53" t="str">
        <f>IF(AND($D351&lt;&gt;"",$D351=FicheIlot),COUNTIF($D$8:$D351,FicheIlot),"")</f>
        <v/>
      </c>
    </row>
    <row r="352" spans="2:44" ht="18.95" customHeight="1" x14ac:dyDescent="0.25">
      <c r="B352" s="42" t="str">
        <f>IF(C352="","",COUNT($C$8:C352))</f>
        <v/>
      </c>
      <c r="C352" s="43"/>
      <c r="D352" s="44"/>
      <c r="E352" s="45" t="str">
        <f>IF($Z352="","",IF($F352=ApportCouvert,INDEX(Îlots!$I$8:$I$57,$Z352)&amp;"",INDEX(Îlots!$N$8:$N$57,$Z352)&amp;""))</f>
        <v/>
      </c>
      <c r="F352" s="44"/>
      <c r="G352" s="44"/>
      <c r="H352" s="46" t="str">
        <f>IF($AA352="","",INDEX(Fertilisants!$D$8:$D$47,$AA352)&amp;"")</f>
        <v/>
      </c>
      <c r="I352" s="47"/>
      <c r="J352" s="48"/>
      <c r="K352" s="46" t="str">
        <f>IF($AA352="","",INDEX(Fertilisants!$E$8:$E$47,$AA352)&amp;"")</f>
        <v/>
      </c>
      <c r="L352" s="49" t="str">
        <f t="shared" si="70"/>
        <v/>
      </c>
      <c r="M352" s="50" t="str">
        <f>IF(OR($J352="",$AA352=""),"",$J352*N(INDEX(Fertilisants!$G$8:$G$47,$AA352)))</f>
        <v/>
      </c>
      <c r="N352" s="50" t="str">
        <f>IF(OR($J352="",$AA352=""),"",$J352*N(INDEX(Fertilisants!$I$8:$I$47,$AA352)))</f>
        <v/>
      </c>
      <c r="O352" s="50" t="str">
        <f>IF(OR($J352="",$AA352=""),"",$J352*N(INDEX(Fertilisants!$J$8:$J$47,$AA352)))</f>
        <v/>
      </c>
      <c r="P352" s="50" t="str">
        <f>IF(OR($J352="",$AA352=""),"",$J352*N(INDEX(Fertilisants!$K$8:$K$47,$AA352)))</f>
        <v/>
      </c>
      <c r="Q352" s="50" t="str">
        <f t="shared" si="71"/>
        <v/>
      </c>
      <c r="R352" s="44"/>
      <c r="S352" s="44"/>
      <c r="T352" s="51"/>
      <c r="U352" s="44"/>
      <c r="V352" s="43"/>
      <c r="W352" s="52" t="str">
        <f t="shared" si="72"/>
        <v/>
      </c>
      <c r="X352" s="44"/>
      <c r="Z352" s="53" t="str">
        <f>IF($D352="","",IFERROR(MATCH($D352,Îlots!$D$8:$D$57,0),""))</f>
        <v/>
      </c>
      <c r="AA352" s="53" t="str">
        <f>IF($G352="","",IFERROR(MATCH($G352,Fertilisants!$B$8:$B$47,0),""))</f>
        <v/>
      </c>
      <c r="AB352" s="53" t="str">
        <f>IF($Z352="","",INDEX(Îlots!$E$8:$E$57,$Z352))</f>
        <v/>
      </c>
      <c r="AC352" s="53" t="str">
        <f>IF($Z352="","",INDEX(Îlots!$G$8:$G$57,$Z352)&amp;"")</f>
        <v/>
      </c>
      <c r="AD352" s="53" t="str">
        <f>IF($Z352="","",IF($F352=ApportCouvert,OccCouvert,INDEX(Îlots!$O$8:$O$57,$Z352)&amp;""))</f>
        <v/>
      </c>
      <c r="AE352" s="53" t="str">
        <f t="shared" si="73"/>
        <v/>
      </c>
      <c r="AF352" s="53" t="str">
        <f t="shared" si="74"/>
        <v/>
      </c>
      <c r="AG352" s="53" t="str">
        <f t="shared" si="75"/>
        <v/>
      </c>
      <c r="AH352" s="53">
        <f t="shared" si="76"/>
        <v>0</v>
      </c>
      <c r="AI352" s="53">
        <f t="shared" si="77"/>
        <v>0</v>
      </c>
      <c r="AJ352" s="53">
        <f t="shared" si="78"/>
        <v>0</v>
      </c>
      <c r="AK352" s="53">
        <f t="shared" si="79"/>
        <v>0</v>
      </c>
      <c r="AL352" s="53">
        <f t="shared" si="80"/>
        <v>0</v>
      </c>
      <c r="AM352" s="53">
        <f>IF($AA352="",0,IF(INDEX(Fertilisants!$C$8:$C$47,$AA352)="Effluent d'élevage",1,0))</f>
        <v>0</v>
      </c>
      <c r="AN352" s="53" t="str">
        <f>IF($AA352="","",IF(INDEX(Fertilisants!$C$8:$C$47,$AA352)="Engrais minéral","Minéral","Organique"))</f>
        <v/>
      </c>
      <c r="AO352" s="53" t="str">
        <f t="shared" si="81"/>
        <v/>
      </c>
      <c r="AP352" s="53" t="str">
        <f t="shared" si="82"/>
        <v/>
      </c>
      <c r="AQ352" s="53" t="str">
        <f t="shared" si="83"/>
        <v/>
      </c>
      <c r="AR352" s="53" t="str">
        <f>IF(AND($D352&lt;&gt;"",$D352=FicheIlot),COUNTIF($D$8:$D352,FicheIlot),"")</f>
        <v/>
      </c>
    </row>
    <row r="353" spans="2:44" ht="18.95" customHeight="1" x14ac:dyDescent="0.25">
      <c r="B353" s="42" t="str">
        <f>IF(C353="","",COUNT($C$8:C353))</f>
        <v/>
      </c>
      <c r="C353" s="43"/>
      <c r="D353" s="44"/>
      <c r="E353" s="45" t="str">
        <f>IF($Z353="","",IF($F353=ApportCouvert,INDEX(Îlots!$I$8:$I$57,$Z353)&amp;"",INDEX(Îlots!$N$8:$N$57,$Z353)&amp;""))</f>
        <v/>
      </c>
      <c r="F353" s="44"/>
      <c r="G353" s="44"/>
      <c r="H353" s="46" t="str">
        <f>IF($AA353="","",INDEX(Fertilisants!$D$8:$D$47,$AA353)&amp;"")</f>
        <v/>
      </c>
      <c r="I353" s="47"/>
      <c r="J353" s="48"/>
      <c r="K353" s="46" t="str">
        <f>IF($AA353="","",INDEX(Fertilisants!$E$8:$E$47,$AA353)&amp;"")</f>
        <v/>
      </c>
      <c r="L353" s="49" t="str">
        <f t="shared" si="70"/>
        <v/>
      </c>
      <c r="M353" s="50" t="str">
        <f>IF(OR($J353="",$AA353=""),"",$J353*N(INDEX(Fertilisants!$G$8:$G$47,$AA353)))</f>
        <v/>
      </c>
      <c r="N353" s="50" t="str">
        <f>IF(OR($J353="",$AA353=""),"",$J353*N(INDEX(Fertilisants!$I$8:$I$47,$AA353)))</f>
        <v/>
      </c>
      <c r="O353" s="50" t="str">
        <f>IF(OR($J353="",$AA353=""),"",$J353*N(INDEX(Fertilisants!$J$8:$J$47,$AA353)))</f>
        <v/>
      </c>
      <c r="P353" s="50" t="str">
        <f>IF(OR($J353="",$AA353=""),"",$J353*N(INDEX(Fertilisants!$K$8:$K$47,$AA353)))</f>
        <v/>
      </c>
      <c r="Q353" s="50" t="str">
        <f t="shared" si="71"/>
        <v/>
      </c>
      <c r="R353" s="44"/>
      <c r="S353" s="44"/>
      <c r="T353" s="51"/>
      <c r="U353" s="44"/>
      <c r="V353" s="43"/>
      <c r="W353" s="52" t="str">
        <f t="shared" si="72"/>
        <v/>
      </c>
      <c r="X353" s="44"/>
      <c r="Z353" s="53" t="str">
        <f>IF($D353="","",IFERROR(MATCH($D353,Îlots!$D$8:$D$57,0),""))</f>
        <v/>
      </c>
      <c r="AA353" s="53" t="str">
        <f>IF($G353="","",IFERROR(MATCH($G353,Fertilisants!$B$8:$B$47,0),""))</f>
        <v/>
      </c>
      <c r="AB353" s="53" t="str">
        <f>IF($Z353="","",INDEX(Îlots!$E$8:$E$57,$Z353))</f>
        <v/>
      </c>
      <c r="AC353" s="53" t="str">
        <f>IF($Z353="","",INDEX(Îlots!$G$8:$G$57,$Z353)&amp;"")</f>
        <v/>
      </c>
      <c r="AD353" s="53" t="str">
        <f>IF($Z353="","",IF($F353=ApportCouvert,OccCouvert,INDEX(Îlots!$O$8:$O$57,$Z353)&amp;""))</f>
        <v/>
      </c>
      <c r="AE353" s="53" t="str">
        <f t="shared" si="73"/>
        <v/>
      </c>
      <c r="AF353" s="53" t="str">
        <f t="shared" si="74"/>
        <v/>
      </c>
      <c r="AG353" s="53" t="str">
        <f t="shared" si="75"/>
        <v/>
      </c>
      <c r="AH353" s="53">
        <f t="shared" si="76"/>
        <v>0</v>
      </c>
      <c r="AI353" s="53">
        <f t="shared" si="77"/>
        <v>0</v>
      </c>
      <c r="AJ353" s="53">
        <f t="shared" si="78"/>
        <v>0</v>
      </c>
      <c r="AK353" s="53">
        <f t="shared" si="79"/>
        <v>0</v>
      </c>
      <c r="AL353" s="53">
        <f t="shared" si="80"/>
        <v>0</v>
      </c>
      <c r="AM353" s="53">
        <f>IF($AA353="",0,IF(INDEX(Fertilisants!$C$8:$C$47,$AA353)="Effluent d'élevage",1,0))</f>
        <v>0</v>
      </c>
      <c r="AN353" s="53" t="str">
        <f>IF($AA353="","",IF(INDEX(Fertilisants!$C$8:$C$47,$AA353)="Engrais minéral","Minéral","Organique"))</f>
        <v/>
      </c>
      <c r="AO353" s="53" t="str">
        <f t="shared" si="81"/>
        <v/>
      </c>
      <c r="AP353" s="53" t="str">
        <f t="shared" si="82"/>
        <v/>
      </c>
      <c r="AQ353" s="53" t="str">
        <f t="shared" si="83"/>
        <v/>
      </c>
      <c r="AR353" s="53" t="str">
        <f>IF(AND($D353&lt;&gt;"",$D353=FicheIlot),COUNTIF($D$8:$D353,FicheIlot),"")</f>
        <v/>
      </c>
    </row>
    <row r="354" spans="2:44" ht="18.95" customHeight="1" x14ac:dyDescent="0.25">
      <c r="B354" s="42" t="str">
        <f>IF(C354="","",COUNT($C$8:C354))</f>
        <v/>
      </c>
      <c r="C354" s="43"/>
      <c r="D354" s="44"/>
      <c r="E354" s="45" t="str">
        <f>IF($Z354="","",IF($F354=ApportCouvert,INDEX(Îlots!$I$8:$I$57,$Z354)&amp;"",INDEX(Îlots!$N$8:$N$57,$Z354)&amp;""))</f>
        <v/>
      </c>
      <c r="F354" s="44"/>
      <c r="G354" s="44"/>
      <c r="H354" s="46" t="str">
        <f>IF($AA354="","",INDEX(Fertilisants!$D$8:$D$47,$AA354)&amp;"")</f>
        <v/>
      </c>
      <c r="I354" s="47"/>
      <c r="J354" s="48"/>
      <c r="K354" s="46" t="str">
        <f>IF($AA354="","",INDEX(Fertilisants!$E$8:$E$47,$AA354)&amp;"")</f>
        <v/>
      </c>
      <c r="L354" s="49" t="str">
        <f t="shared" si="70"/>
        <v/>
      </c>
      <c r="M354" s="50" t="str">
        <f>IF(OR($J354="",$AA354=""),"",$J354*N(INDEX(Fertilisants!$G$8:$G$47,$AA354)))</f>
        <v/>
      </c>
      <c r="N354" s="50" t="str">
        <f>IF(OR($J354="",$AA354=""),"",$J354*N(INDEX(Fertilisants!$I$8:$I$47,$AA354)))</f>
        <v/>
      </c>
      <c r="O354" s="50" t="str">
        <f>IF(OR($J354="",$AA354=""),"",$J354*N(INDEX(Fertilisants!$J$8:$J$47,$AA354)))</f>
        <v/>
      </c>
      <c r="P354" s="50" t="str">
        <f>IF(OR($J354="",$AA354=""),"",$J354*N(INDEX(Fertilisants!$K$8:$K$47,$AA354)))</f>
        <v/>
      </c>
      <c r="Q354" s="50" t="str">
        <f t="shared" si="71"/>
        <v/>
      </c>
      <c r="R354" s="44"/>
      <c r="S354" s="44"/>
      <c r="T354" s="51"/>
      <c r="U354" s="44"/>
      <c r="V354" s="43"/>
      <c r="W354" s="52" t="str">
        <f t="shared" si="72"/>
        <v/>
      </c>
      <c r="X354" s="44"/>
      <c r="Z354" s="53" t="str">
        <f>IF($D354="","",IFERROR(MATCH($D354,Îlots!$D$8:$D$57,0),""))</f>
        <v/>
      </c>
      <c r="AA354" s="53" t="str">
        <f>IF($G354="","",IFERROR(MATCH($G354,Fertilisants!$B$8:$B$47,0),""))</f>
        <v/>
      </c>
      <c r="AB354" s="53" t="str">
        <f>IF($Z354="","",INDEX(Îlots!$E$8:$E$57,$Z354))</f>
        <v/>
      </c>
      <c r="AC354" s="53" t="str">
        <f>IF($Z354="","",INDEX(Îlots!$G$8:$G$57,$Z354)&amp;"")</f>
        <v/>
      </c>
      <c r="AD354" s="53" t="str">
        <f>IF($Z354="","",IF($F354=ApportCouvert,OccCouvert,INDEX(Îlots!$O$8:$O$57,$Z354)&amp;""))</f>
        <v/>
      </c>
      <c r="AE354" s="53" t="str">
        <f t="shared" si="73"/>
        <v/>
      </c>
      <c r="AF354" s="53" t="str">
        <f t="shared" si="74"/>
        <v/>
      </c>
      <c r="AG354" s="53" t="str">
        <f t="shared" si="75"/>
        <v/>
      </c>
      <c r="AH354" s="53">
        <f t="shared" si="76"/>
        <v>0</v>
      </c>
      <c r="AI354" s="53">
        <f t="shared" si="77"/>
        <v>0</v>
      </c>
      <c r="AJ354" s="53">
        <f t="shared" si="78"/>
        <v>0</v>
      </c>
      <c r="AK354" s="53">
        <f t="shared" si="79"/>
        <v>0</v>
      </c>
      <c r="AL354" s="53">
        <f t="shared" si="80"/>
        <v>0</v>
      </c>
      <c r="AM354" s="53">
        <f>IF($AA354="",0,IF(INDEX(Fertilisants!$C$8:$C$47,$AA354)="Effluent d'élevage",1,0))</f>
        <v>0</v>
      </c>
      <c r="AN354" s="53" t="str">
        <f>IF($AA354="","",IF(INDEX(Fertilisants!$C$8:$C$47,$AA354)="Engrais minéral","Minéral","Organique"))</f>
        <v/>
      </c>
      <c r="AO354" s="53" t="str">
        <f t="shared" si="81"/>
        <v/>
      </c>
      <c r="AP354" s="53" t="str">
        <f t="shared" si="82"/>
        <v/>
      </c>
      <c r="AQ354" s="53" t="str">
        <f t="shared" si="83"/>
        <v/>
      </c>
      <c r="AR354" s="53" t="str">
        <f>IF(AND($D354&lt;&gt;"",$D354=FicheIlot),COUNTIF($D$8:$D354,FicheIlot),"")</f>
        <v/>
      </c>
    </row>
    <row r="355" spans="2:44" ht="18.95" customHeight="1" x14ac:dyDescent="0.25">
      <c r="B355" s="42" t="str">
        <f>IF(C355="","",COUNT($C$8:C355))</f>
        <v/>
      </c>
      <c r="C355" s="43"/>
      <c r="D355" s="44"/>
      <c r="E355" s="45" t="str">
        <f>IF($Z355="","",IF($F355=ApportCouvert,INDEX(Îlots!$I$8:$I$57,$Z355)&amp;"",INDEX(Îlots!$N$8:$N$57,$Z355)&amp;""))</f>
        <v/>
      </c>
      <c r="F355" s="44"/>
      <c r="G355" s="44"/>
      <c r="H355" s="46" t="str">
        <f>IF($AA355="","",INDEX(Fertilisants!$D$8:$D$47,$AA355)&amp;"")</f>
        <v/>
      </c>
      <c r="I355" s="47"/>
      <c r="J355" s="48"/>
      <c r="K355" s="46" t="str">
        <f>IF($AA355="","",INDEX(Fertilisants!$E$8:$E$47,$AA355)&amp;"")</f>
        <v/>
      </c>
      <c r="L355" s="49" t="str">
        <f t="shared" si="70"/>
        <v/>
      </c>
      <c r="M355" s="50" t="str">
        <f>IF(OR($J355="",$AA355=""),"",$J355*N(INDEX(Fertilisants!$G$8:$G$47,$AA355)))</f>
        <v/>
      </c>
      <c r="N355" s="50" t="str">
        <f>IF(OR($J355="",$AA355=""),"",$J355*N(INDEX(Fertilisants!$I$8:$I$47,$AA355)))</f>
        <v/>
      </c>
      <c r="O355" s="50" t="str">
        <f>IF(OR($J355="",$AA355=""),"",$J355*N(INDEX(Fertilisants!$J$8:$J$47,$AA355)))</f>
        <v/>
      </c>
      <c r="P355" s="50" t="str">
        <f>IF(OR($J355="",$AA355=""),"",$J355*N(INDEX(Fertilisants!$K$8:$K$47,$AA355)))</f>
        <v/>
      </c>
      <c r="Q355" s="50" t="str">
        <f t="shared" si="71"/>
        <v/>
      </c>
      <c r="R355" s="44"/>
      <c r="S355" s="44"/>
      <c r="T355" s="51"/>
      <c r="U355" s="44"/>
      <c r="V355" s="43"/>
      <c r="W355" s="52" t="str">
        <f t="shared" si="72"/>
        <v/>
      </c>
      <c r="X355" s="44"/>
      <c r="Z355" s="53" t="str">
        <f>IF($D355="","",IFERROR(MATCH($D355,Îlots!$D$8:$D$57,0),""))</f>
        <v/>
      </c>
      <c r="AA355" s="53" t="str">
        <f>IF($G355="","",IFERROR(MATCH($G355,Fertilisants!$B$8:$B$47,0),""))</f>
        <v/>
      </c>
      <c r="AB355" s="53" t="str">
        <f>IF($Z355="","",INDEX(Îlots!$E$8:$E$57,$Z355))</f>
        <v/>
      </c>
      <c r="AC355" s="53" t="str">
        <f>IF($Z355="","",INDEX(Îlots!$G$8:$G$57,$Z355)&amp;"")</f>
        <v/>
      </c>
      <c r="AD355" s="53" t="str">
        <f>IF($Z355="","",IF($F355=ApportCouvert,OccCouvert,INDEX(Îlots!$O$8:$O$57,$Z355)&amp;""))</f>
        <v/>
      </c>
      <c r="AE355" s="53" t="str">
        <f t="shared" si="73"/>
        <v/>
      </c>
      <c r="AF355" s="53" t="str">
        <f t="shared" si="74"/>
        <v/>
      </c>
      <c r="AG355" s="53" t="str">
        <f t="shared" si="75"/>
        <v/>
      </c>
      <c r="AH355" s="53">
        <f t="shared" si="76"/>
        <v>0</v>
      </c>
      <c r="AI355" s="53">
        <f t="shared" si="77"/>
        <v>0</v>
      </c>
      <c r="AJ355" s="53">
        <f t="shared" si="78"/>
        <v>0</v>
      </c>
      <c r="AK355" s="53">
        <f t="shared" si="79"/>
        <v>0</v>
      </c>
      <c r="AL355" s="53">
        <f t="shared" si="80"/>
        <v>0</v>
      </c>
      <c r="AM355" s="53">
        <f>IF($AA355="",0,IF(INDEX(Fertilisants!$C$8:$C$47,$AA355)="Effluent d'élevage",1,0))</f>
        <v>0</v>
      </c>
      <c r="AN355" s="53" t="str">
        <f>IF($AA355="","",IF(INDEX(Fertilisants!$C$8:$C$47,$AA355)="Engrais minéral","Minéral","Organique"))</f>
        <v/>
      </c>
      <c r="AO355" s="53" t="str">
        <f t="shared" si="81"/>
        <v/>
      </c>
      <c r="AP355" s="53" t="str">
        <f t="shared" si="82"/>
        <v/>
      </c>
      <c r="AQ355" s="53" t="str">
        <f t="shared" si="83"/>
        <v/>
      </c>
      <c r="AR355" s="53" t="str">
        <f>IF(AND($D355&lt;&gt;"",$D355=FicheIlot),COUNTIF($D$8:$D355,FicheIlot),"")</f>
        <v/>
      </c>
    </row>
    <row r="356" spans="2:44" ht="18.95" customHeight="1" x14ac:dyDescent="0.25">
      <c r="B356" s="42" t="str">
        <f>IF(C356="","",COUNT($C$8:C356))</f>
        <v/>
      </c>
      <c r="C356" s="43"/>
      <c r="D356" s="44"/>
      <c r="E356" s="45" t="str">
        <f>IF($Z356="","",IF($F356=ApportCouvert,INDEX(Îlots!$I$8:$I$57,$Z356)&amp;"",INDEX(Îlots!$N$8:$N$57,$Z356)&amp;""))</f>
        <v/>
      </c>
      <c r="F356" s="44"/>
      <c r="G356" s="44"/>
      <c r="H356" s="46" t="str">
        <f>IF($AA356="","",INDEX(Fertilisants!$D$8:$D$47,$AA356)&amp;"")</f>
        <v/>
      </c>
      <c r="I356" s="47"/>
      <c r="J356" s="48"/>
      <c r="K356" s="46" t="str">
        <f>IF($AA356="","",INDEX(Fertilisants!$E$8:$E$47,$AA356)&amp;"")</f>
        <v/>
      </c>
      <c r="L356" s="49" t="str">
        <f t="shared" si="70"/>
        <v/>
      </c>
      <c r="M356" s="50" t="str">
        <f>IF(OR($J356="",$AA356=""),"",$J356*N(INDEX(Fertilisants!$G$8:$G$47,$AA356)))</f>
        <v/>
      </c>
      <c r="N356" s="50" t="str">
        <f>IF(OR($J356="",$AA356=""),"",$J356*N(INDEX(Fertilisants!$I$8:$I$47,$AA356)))</f>
        <v/>
      </c>
      <c r="O356" s="50" t="str">
        <f>IF(OR($J356="",$AA356=""),"",$J356*N(INDEX(Fertilisants!$J$8:$J$47,$AA356)))</f>
        <v/>
      </c>
      <c r="P356" s="50" t="str">
        <f>IF(OR($J356="",$AA356=""),"",$J356*N(INDEX(Fertilisants!$K$8:$K$47,$AA356)))</f>
        <v/>
      </c>
      <c r="Q356" s="50" t="str">
        <f t="shared" si="71"/>
        <v/>
      </c>
      <c r="R356" s="44"/>
      <c r="S356" s="44"/>
      <c r="T356" s="51"/>
      <c r="U356" s="44"/>
      <c r="V356" s="43"/>
      <c r="W356" s="52" t="str">
        <f t="shared" si="72"/>
        <v/>
      </c>
      <c r="X356" s="44"/>
      <c r="Z356" s="53" t="str">
        <f>IF($D356="","",IFERROR(MATCH($D356,Îlots!$D$8:$D$57,0),""))</f>
        <v/>
      </c>
      <c r="AA356" s="53" t="str">
        <f>IF($G356="","",IFERROR(MATCH($G356,Fertilisants!$B$8:$B$47,0),""))</f>
        <v/>
      </c>
      <c r="AB356" s="53" t="str">
        <f>IF($Z356="","",INDEX(Îlots!$E$8:$E$57,$Z356))</f>
        <v/>
      </c>
      <c r="AC356" s="53" t="str">
        <f>IF($Z356="","",INDEX(Îlots!$G$8:$G$57,$Z356)&amp;"")</f>
        <v/>
      </c>
      <c r="AD356" s="53" t="str">
        <f>IF($Z356="","",IF($F356=ApportCouvert,OccCouvert,INDEX(Îlots!$O$8:$O$57,$Z356)&amp;""))</f>
        <v/>
      </c>
      <c r="AE356" s="53" t="str">
        <f t="shared" si="73"/>
        <v/>
      </c>
      <c r="AF356" s="53" t="str">
        <f t="shared" si="74"/>
        <v/>
      </c>
      <c r="AG356" s="53" t="str">
        <f t="shared" si="75"/>
        <v/>
      </c>
      <c r="AH356" s="53">
        <f t="shared" si="76"/>
        <v>0</v>
      </c>
      <c r="AI356" s="53">
        <f t="shared" si="77"/>
        <v>0</v>
      </c>
      <c r="AJ356" s="53">
        <f t="shared" si="78"/>
        <v>0</v>
      </c>
      <c r="AK356" s="53">
        <f t="shared" si="79"/>
        <v>0</v>
      </c>
      <c r="AL356" s="53">
        <f t="shared" si="80"/>
        <v>0</v>
      </c>
      <c r="AM356" s="53">
        <f>IF($AA356="",0,IF(INDEX(Fertilisants!$C$8:$C$47,$AA356)="Effluent d'élevage",1,0))</f>
        <v>0</v>
      </c>
      <c r="AN356" s="53" t="str">
        <f>IF($AA356="","",IF(INDEX(Fertilisants!$C$8:$C$47,$AA356)="Engrais minéral","Minéral","Organique"))</f>
        <v/>
      </c>
      <c r="AO356" s="53" t="str">
        <f t="shared" si="81"/>
        <v/>
      </c>
      <c r="AP356" s="53" t="str">
        <f t="shared" si="82"/>
        <v/>
      </c>
      <c r="AQ356" s="53" t="str">
        <f t="shared" si="83"/>
        <v/>
      </c>
      <c r="AR356" s="53" t="str">
        <f>IF(AND($D356&lt;&gt;"",$D356=FicheIlot),COUNTIF($D$8:$D356,FicheIlot),"")</f>
        <v/>
      </c>
    </row>
    <row r="357" spans="2:44" ht="18.95" customHeight="1" x14ac:dyDescent="0.25">
      <c r="B357" s="42" t="str">
        <f>IF(C357="","",COUNT($C$8:C357))</f>
        <v/>
      </c>
      <c r="C357" s="43"/>
      <c r="D357" s="44"/>
      <c r="E357" s="45" t="str">
        <f>IF($Z357="","",IF($F357=ApportCouvert,INDEX(Îlots!$I$8:$I$57,$Z357)&amp;"",INDEX(Îlots!$N$8:$N$57,$Z357)&amp;""))</f>
        <v/>
      </c>
      <c r="F357" s="44"/>
      <c r="G357" s="44"/>
      <c r="H357" s="46" t="str">
        <f>IF($AA357="","",INDEX(Fertilisants!$D$8:$D$47,$AA357)&amp;"")</f>
        <v/>
      </c>
      <c r="I357" s="47"/>
      <c r="J357" s="48"/>
      <c r="K357" s="46" t="str">
        <f>IF($AA357="","",INDEX(Fertilisants!$E$8:$E$47,$AA357)&amp;"")</f>
        <v/>
      </c>
      <c r="L357" s="49" t="str">
        <f t="shared" si="70"/>
        <v/>
      </c>
      <c r="M357" s="50" t="str">
        <f>IF(OR($J357="",$AA357=""),"",$J357*N(INDEX(Fertilisants!$G$8:$G$47,$AA357)))</f>
        <v/>
      </c>
      <c r="N357" s="50" t="str">
        <f>IF(OR($J357="",$AA357=""),"",$J357*N(INDEX(Fertilisants!$I$8:$I$47,$AA357)))</f>
        <v/>
      </c>
      <c r="O357" s="50" t="str">
        <f>IF(OR($J357="",$AA357=""),"",$J357*N(INDEX(Fertilisants!$J$8:$J$47,$AA357)))</f>
        <v/>
      </c>
      <c r="P357" s="50" t="str">
        <f>IF(OR($J357="",$AA357=""),"",$J357*N(INDEX(Fertilisants!$K$8:$K$47,$AA357)))</f>
        <v/>
      </c>
      <c r="Q357" s="50" t="str">
        <f t="shared" si="71"/>
        <v/>
      </c>
      <c r="R357" s="44"/>
      <c r="S357" s="44"/>
      <c r="T357" s="51"/>
      <c r="U357" s="44"/>
      <c r="V357" s="43"/>
      <c r="W357" s="52" t="str">
        <f t="shared" si="72"/>
        <v/>
      </c>
      <c r="X357" s="44"/>
      <c r="Z357" s="53" t="str">
        <f>IF($D357="","",IFERROR(MATCH($D357,Îlots!$D$8:$D$57,0),""))</f>
        <v/>
      </c>
      <c r="AA357" s="53" t="str">
        <f>IF($G357="","",IFERROR(MATCH($G357,Fertilisants!$B$8:$B$47,0),""))</f>
        <v/>
      </c>
      <c r="AB357" s="53" t="str">
        <f>IF($Z357="","",INDEX(Îlots!$E$8:$E$57,$Z357))</f>
        <v/>
      </c>
      <c r="AC357" s="53" t="str">
        <f>IF($Z357="","",INDEX(Îlots!$G$8:$G$57,$Z357)&amp;"")</f>
        <v/>
      </c>
      <c r="AD357" s="53" t="str">
        <f>IF($Z357="","",IF($F357=ApportCouvert,OccCouvert,INDEX(Îlots!$O$8:$O$57,$Z357)&amp;""))</f>
        <v/>
      </c>
      <c r="AE357" s="53" t="str">
        <f t="shared" si="73"/>
        <v/>
      </c>
      <c r="AF357" s="53" t="str">
        <f t="shared" si="74"/>
        <v/>
      </c>
      <c r="AG357" s="53" t="str">
        <f t="shared" si="75"/>
        <v/>
      </c>
      <c r="AH357" s="53">
        <f t="shared" si="76"/>
        <v>0</v>
      </c>
      <c r="AI357" s="53">
        <f t="shared" si="77"/>
        <v>0</v>
      </c>
      <c r="AJ357" s="53">
        <f t="shared" si="78"/>
        <v>0</v>
      </c>
      <c r="AK357" s="53">
        <f t="shared" si="79"/>
        <v>0</v>
      </c>
      <c r="AL357" s="53">
        <f t="shared" si="80"/>
        <v>0</v>
      </c>
      <c r="AM357" s="53">
        <f>IF($AA357="",0,IF(INDEX(Fertilisants!$C$8:$C$47,$AA357)="Effluent d'élevage",1,0))</f>
        <v>0</v>
      </c>
      <c r="AN357" s="53" t="str">
        <f>IF($AA357="","",IF(INDEX(Fertilisants!$C$8:$C$47,$AA357)="Engrais minéral","Minéral","Organique"))</f>
        <v/>
      </c>
      <c r="AO357" s="53" t="str">
        <f t="shared" si="81"/>
        <v/>
      </c>
      <c r="AP357" s="53" t="str">
        <f t="shared" si="82"/>
        <v/>
      </c>
      <c r="AQ357" s="53" t="str">
        <f t="shared" si="83"/>
        <v/>
      </c>
      <c r="AR357" s="53" t="str">
        <f>IF(AND($D357&lt;&gt;"",$D357=FicheIlot),COUNTIF($D$8:$D357,FicheIlot),"")</f>
        <v/>
      </c>
    </row>
    <row r="358" spans="2:44" ht="18.95" customHeight="1" x14ac:dyDescent="0.25">
      <c r="B358" s="42" t="str">
        <f>IF(C358="","",COUNT($C$8:C358))</f>
        <v/>
      </c>
      <c r="C358" s="43"/>
      <c r="D358" s="44"/>
      <c r="E358" s="45" t="str">
        <f>IF($Z358="","",IF($F358=ApportCouvert,INDEX(Îlots!$I$8:$I$57,$Z358)&amp;"",INDEX(Îlots!$N$8:$N$57,$Z358)&amp;""))</f>
        <v/>
      </c>
      <c r="F358" s="44"/>
      <c r="G358" s="44"/>
      <c r="H358" s="46" t="str">
        <f>IF($AA358="","",INDEX(Fertilisants!$D$8:$D$47,$AA358)&amp;"")</f>
        <v/>
      </c>
      <c r="I358" s="47"/>
      <c r="J358" s="48"/>
      <c r="K358" s="46" t="str">
        <f>IF($AA358="","",INDEX(Fertilisants!$E$8:$E$47,$AA358)&amp;"")</f>
        <v/>
      </c>
      <c r="L358" s="49" t="str">
        <f t="shared" si="70"/>
        <v/>
      </c>
      <c r="M358" s="50" t="str">
        <f>IF(OR($J358="",$AA358=""),"",$J358*N(INDEX(Fertilisants!$G$8:$G$47,$AA358)))</f>
        <v/>
      </c>
      <c r="N358" s="50" t="str">
        <f>IF(OR($J358="",$AA358=""),"",$J358*N(INDEX(Fertilisants!$I$8:$I$47,$AA358)))</f>
        <v/>
      </c>
      <c r="O358" s="50" t="str">
        <f>IF(OR($J358="",$AA358=""),"",$J358*N(INDEX(Fertilisants!$J$8:$J$47,$AA358)))</f>
        <v/>
      </c>
      <c r="P358" s="50" t="str">
        <f>IF(OR($J358="",$AA358=""),"",$J358*N(INDEX(Fertilisants!$K$8:$K$47,$AA358)))</f>
        <v/>
      </c>
      <c r="Q358" s="50" t="str">
        <f t="shared" si="71"/>
        <v/>
      </c>
      <c r="R358" s="44"/>
      <c r="S358" s="44"/>
      <c r="T358" s="51"/>
      <c r="U358" s="44"/>
      <c r="V358" s="43"/>
      <c r="W358" s="52" t="str">
        <f t="shared" si="72"/>
        <v/>
      </c>
      <c r="X358" s="44"/>
      <c r="Z358" s="53" t="str">
        <f>IF($D358="","",IFERROR(MATCH($D358,Îlots!$D$8:$D$57,0),""))</f>
        <v/>
      </c>
      <c r="AA358" s="53" t="str">
        <f>IF($G358="","",IFERROR(MATCH($G358,Fertilisants!$B$8:$B$47,0),""))</f>
        <v/>
      </c>
      <c r="AB358" s="53" t="str">
        <f>IF($Z358="","",INDEX(Îlots!$E$8:$E$57,$Z358))</f>
        <v/>
      </c>
      <c r="AC358" s="53" t="str">
        <f>IF($Z358="","",INDEX(Îlots!$G$8:$G$57,$Z358)&amp;"")</f>
        <v/>
      </c>
      <c r="AD358" s="53" t="str">
        <f>IF($Z358="","",IF($F358=ApportCouvert,OccCouvert,INDEX(Îlots!$O$8:$O$57,$Z358)&amp;""))</f>
        <v/>
      </c>
      <c r="AE358" s="53" t="str">
        <f t="shared" si="73"/>
        <v/>
      </c>
      <c r="AF358" s="53" t="str">
        <f t="shared" si="74"/>
        <v/>
      </c>
      <c r="AG358" s="53" t="str">
        <f t="shared" si="75"/>
        <v/>
      </c>
      <c r="AH358" s="53">
        <f t="shared" si="76"/>
        <v>0</v>
      </c>
      <c r="AI358" s="53">
        <f t="shared" si="77"/>
        <v>0</v>
      </c>
      <c r="AJ358" s="53">
        <f t="shared" si="78"/>
        <v>0</v>
      </c>
      <c r="AK358" s="53">
        <f t="shared" si="79"/>
        <v>0</v>
      </c>
      <c r="AL358" s="53">
        <f t="shared" si="80"/>
        <v>0</v>
      </c>
      <c r="AM358" s="53">
        <f>IF($AA358="",0,IF(INDEX(Fertilisants!$C$8:$C$47,$AA358)="Effluent d'élevage",1,0))</f>
        <v>0</v>
      </c>
      <c r="AN358" s="53" t="str">
        <f>IF($AA358="","",IF(INDEX(Fertilisants!$C$8:$C$47,$AA358)="Engrais minéral","Minéral","Organique"))</f>
        <v/>
      </c>
      <c r="AO358" s="53" t="str">
        <f t="shared" si="81"/>
        <v/>
      </c>
      <c r="AP358" s="53" t="str">
        <f t="shared" si="82"/>
        <v/>
      </c>
      <c r="AQ358" s="53" t="str">
        <f t="shared" si="83"/>
        <v/>
      </c>
      <c r="AR358" s="53" t="str">
        <f>IF(AND($D358&lt;&gt;"",$D358=FicheIlot),COUNTIF($D$8:$D358,FicheIlot),"")</f>
        <v/>
      </c>
    </row>
    <row r="359" spans="2:44" ht="18.95" customHeight="1" x14ac:dyDescent="0.25">
      <c r="B359" s="42" t="str">
        <f>IF(C359="","",COUNT($C$8:C359))</f>
        <v/>
      </c>
      <c r="C359" s="43"/>
      <c r="D359" s="44"/>
      <c r="E359" s="45" t="str">
        <f>IF($Z359="","",IF($F359=ApportCouvert,INDEX(Îlots!$I$8:$I$57,$Z359)&amp;"",INDEX(Îlots!$N$8:$N$57,$Z359)&amp;""))</f>
        <v/>
      </c>
      <c r="F359" s="44"/>
      <c r="G359" s="44"/>
      <c r="H359" s="46" t="str">
        <f>IF($AA359="","",INDEX(Fertilisants!$D$8:$D$47,$AA359)&amp;"")</f>
        <v/>
      </c>
      <c r="I359" s="47"/>
      <c r="J359" s="48"/>
      <c r="K359" s="46" t="str">
        <f>IF($AA359="","",INDEX(Fertilisants!$E$8:$E$47,$AA359)&amp;"")</f>
        <v/>
      </c>
      <c r="L359" s="49" t="str">
        <f t="shared" si="70"/>
        <v/>
      </c>
      <c r="M359" s="50" t="str">
        <f>IF(OR($J359="",$AA359=""),"",$J359*N(INDEX(Fertilisants!$G$8:$G$47,$AA359)))</f>
        <v/>
      </c>
      <c r="N359" s="50" t="str">
        <f>IF(OR($J359="",$AA359=""),"",$J359*N(INDEX(Fertilisants!$I$8:$I$47,$AA359)))</f>
        <v/>
      </c>
      <c r="O359" s="50" t="str">
        <f>IF(OR($J359="",$AA359=""),"",$J359*N(INDEX(Fertilisants!$J$8:$J$47,$AA359)))</f>
        <v/>
      </c>
      <c r="P359" s="50" t="str">
        <f>IF(OR($J359="",$AA359=""),"",$J359*N(INDEX(Fertilisants!$K$8:$K$47,$AA359)))</f>
        <v/>
      </c>
      <c r="Q359" s="50" t="str">
        <f t="shared" si="71"/>
        <v/>
      </c>
      <c r="R359" s="44"/>
      <c r="S359" s="44"/>
      <c r="T359" s="51"/>
      <c r="U359" s="44"/>
      <c r="V359" s="43"/>
      <c r="W359" s="52" t="str">
        <f t="shared" si="72"/>
        <v/>
      </c>
      <c r="X359" s="44"/>
      <c r="Z359" s="53" t="str">
        <f>IF($D359="","",IFERROR(MATCH($D359,Îlots!$D$8:$D$57,0),""))</f>
        <v/>
      </c>
      <c r="AA359" s="53" t="str">
        <f>IF($G359="","",IFERROR(MATCH($G359,Fertilisants!$B$8:$B$47,0),""))</f>
        <v/>
      </c>
      <c r="AB359" s="53" t="str">
        <f>IF($Z359="","",INDEX(Îlots!$E$8:$E$57,$Z359))</f>
        <v/>
      </c>
      <c r="AC359" s="53" t="str">
        <f>IF($Z359="","",INDEX(Îlots!$G$8:$G$57,$Z359)&amp;"")</f>
        <v/>
      </c>
      <c r="AD359" s="53" t="str">
        <f>IF($Z359="","",IF($F359=ApportCouvert,OccCouvert,INDEX(Îlots!$O$8:$O$57,$Z359)&amp;""))</f>
        <v/>
      </c>
      <c r="AE359" s="53" t="str">
        <f t="shared" si="73"/>
        <v/>
      </c>
      <c r="AF359" s="53" t="str">
        <f t="shared" si="74"/>
        <v/>
      </c>
      <c r="AG359" s="53" t="str">
        <f t="shared" si="75"/>
        <v/>
      </c>
      <c r="AH359" s="53">
        <f t="shared" si="76"/>
        <v>0</v>
      </c>
      <c r="AI359" s="53">
        <f t="shared" si="77"/>
        <v>0</v>
      </c>
      <c r="AJ359" s="53">
        <f t="shared" si="78"/>
        <v>0</v>
      </c>
      <c r="AK359" s="53">
        <f t="shared" si="79"/>
        <v>0</v>
      </c>
      <c r="AL359" s="53">
        <f t="shared" si="80"/>
        <v>0</v>
      </c>
      <c r="AM359" s="53">
        <f>IF($AA359="",0,IF(INDEX(Fertilisants!$C$8:$C$47,$AA359)="Effluent d'élevage",1,0))</f>
        <v>0</v>
      </c>
      <c r="AN359" s="53" t="str">
        <f>IF($AA359="","",IF(INDEX(Fertilisants!$C$8:$C$47,$AA359)="Engrais minéral","Minéral","Organique"))</f>
        <v/>
      </c>
      <c r="AO359" s="53" t="str">
        <f t="shared" si="81"/>
        <v/>
      </c>
      <c r="AP359" s="53" t="str">
        <f t="shared" si="82"/>
        <v/>
      </c>
      <c r="AQ359" s="53" t="str">
        <f t="shared" si="83"/>
        <v/>
      </c>
      <c r="AR359" s="53" t="str">
        <f>IF(AND($D359&lt;&gt;"",$D359=FicheIlot),COUNTIF($D$8:$D359,FicheIlot),"")</f>
        <v/>
      </c>
    </row>
    <row r="360" spans="2:44" ht="18.95" customHeight="1" x14ac:dyDescent="0.25">
      <c r="B360" s="42" t="str">
        <f>IF(C360="","",COUNT($C$8:C360))</f>
        <v/>
      </c>
      <c r="C360" s="43"/>
      <c r="D360" s="44"/>
      <c r="E360" s="45" t="str">
        <f>IF($Z360="","",IF($F360=ApportCouvert,INDEX(Îlots!$I$8:$I$57,$Z360)&amp;"",INDEX(Îlots!$N$8:$N$57,$Z360)&amp;""))</f>
        <v/>
      </c>
      <c r="F360" s="44"/>
      <c r="G360" s="44"/>
      <c r="H360" s="46" t="str">
        <f>IF($AA360="","",INDEX(Fertilisants!$D$8:$D$47,$AA360)&amp;"")</f>
        <v/>
      </c>
      <c r="I360" s="47"/>
      <c r="J360" s="48"/>
      <c r="K360" s="46" t="str">
        <f>IF($AA360="","",INDEX(Fertilisants!$E$8:$E$47,$AA360)&amp;"")</f>
        <v/>
      </c>
      <c r="L360" s="49" t="str">
        <f t="shared" si="70"/>
        <v/>
      </c>
      <c r="M360" s="50" t="str">
        <f>IF(OR($J360="",$AA360=""),"",$J360*N(INDEX(Fertilisants!$G$8:$G$47,$AA360)))</f>
        <v/>
      </c>
      <c r="N360" s="50" t="str">
        <f>IF(OR($J360="",$AA360=""),"",$J360*N(INDEX(Fertilisants!$I$8:$I$47,$AA360)))</f>
        <v/>
      </c>
      <c r="O360" s="50" t="str">
        <f>IF(OR($J360="",$AA360=""),"",$J360*N(INDEX(Fertilisants!$J$8:$J$47,$AA360)))</f>
        <v/>
      </c>
      <c r="P360" s="50" t="str">
        <f>IF(OR($J360="",$AA360=""),"",$J360*N(INDEX(Fertilisants!$K$8:$K$47,$AA360)))</f>
        <v/>
      </c>
      <c r="Q360" s="50" t="str">
        <f t="shared" si="71"/>
        <v/>
      </c>
      <c r="R360" s="44"/>
      <c r="S360" s="44"/>
      <c r="T360" s="51"/>
      <c r="U360" s="44"/>
      <c r="V360" s="43"/>
      <c r="W360" s="52" t="str">
        <f t="shared" si="72"/>
        <v/>
      </c>
      <c r="X360" s="44"/>
      <c r="Z360" s="53" t="str">
        <f>IF($D360="","",IFERROR(MATCH($D360,Îlots!$D$8:$D$57,0),""))</f>
        <v/>
      </c>
      <c r="AA360" s="53" t="str">
        <f>IF($G360="","",IFERROR(MATCH($G360,Fertilisants!$B$8:$B$47,0),""))</f>
        <v/>
      </c>
      <c r="AB360" s="53" t="str">
        <f>IF($Z360="","",INDEX(Îlots!$E$8:$E$57,$Z360))</f>
        <v/>
      </c>
      <c r="AC360" s="53" t="str">
        <f>IF($Z360="","",INDEX(Îlots!$G$8:$G$57,$Z360)&amp;"")</f>
        <v/>
      </c>
      <c r="AD360" s="53" t="str">
        <f>IF($Z360="","",IF($F360=ApportCouvert,OccCouvert,INDEX(Îlots!$O$8:$O$57,$Z360)&amp;""))</f>
        <v/>
      </c>
      <c r="AE360" s="53" t="str">
        <f t="shared" si="73"/>
        <v/>
      </c>
      <c r="AF360" s="53" t="str">
        <f t="shared" si="74"/>
        <v/>
      </c>
      <c r="AG360" s="53" t="str">
        <f t="shared" si="75"/>
        <v/>
      </c>
      <c r="AH360" s="53">
        <f t="shared" si="76"/>
        <v>0</v>
      </c>
      <c r="AI360" s="53">
        <f t="shared" si="77"/>
        <v>0</v>
      </c>
      <c r="AJ360" s="53">
        <f t="shared" si="78"/>
        <v>0</v>
      </c>
      <c r="AK360" s="53">
        <f t="shared" si="79"/>
        <v>0</v>
      </c>
      <c r="AL360" s="53">
        <f t="shared" si="80"/>
        <v>0</v>
      </c>
      <c r="AM360" s="53">
        <f>IF($AA360="",0,IF(INDEX(Fertilisants!$C$8:$C$47,$AA360)="Effluent d'élevage",1,0))</f>
        <v>0</v>
      </c>
      <c r="AN360" s="53" t="str">
        <f>IF($AA360="","",IF(INDEX(Fertilisants!$C$8:$C$47,$AA360)="Engrais minéral","Minéral","Organique"))</f>
        <v/>
      </c>
      <c r="AO360" s="53" t="str">
        <f t="shared" si="81"/>
        <v/>
      </c>
      <c r="AP360" s="53" t="str">
        <f t="shared" si="82"/>
        <v/>
      </c>
      <c r="AQ360" s="53" t="str">
        <f t="shared" si="83"/>
        <v/>
      </c>
      <c r="AR360" s="53" t="str">
        <f>IF(AND($D360&lt;&gt;"",$D360=FicheIlot),COUNTIF($D$8:$D360,FicheIlot),"")</f>
        <v/>
      </c>
    </row>
    <row r="361" spans="2:44" ht="18.95" customHeight="1" x14ac:dyDescent="0.25">
      <c r="B361" s="42" t="str">
        <f>IF(C361="","",COUNT($C$8:C361))</f>
        <v/>
      </c>
      <c r="C361" s="43"/>
      <c r="D361" s="44"/>
      <c r="E361" s="45" t="str">
        <f>IF($Z361="","",IF($F361=ApportCouvert,INDEX(Îlots!$I$8:$I$57,$Z361)&amp;"",INDEX(Îlots!$N$8:$N$57,$Z361)&amp;""))</f>
        <v/>
      </c>
      <c r="F361" s="44"/>
      <c r="G361" s="44"/>
      <c r="H361" s="46" t="str">
        <f>IF($AA361="","",INDEX(Fertilisants!$D$8:$D$47,$AA361)&amp;"")</f>
        <v/>
      </c>
      <c r="I361" s="47"/>
      <c r="J361" s="48"/>
      <c r="K361" s="46" t="str">
        <f>IF($AA361="","",INDEX(Fertilisants!$E$8:$E$47,$AA361)&amp;"")</f>
        <v/>
      </c>
      <c r="L361" s="49" t="str">
        <f t="shared" si="70"/>
        <v/>
      </c>
      <c r="M361" s="50" t="str">
        <f>IF(OR($J361="",$AA361=""),"",$J361*N(INDEX(Fertilisants!$G$8:$G$47,$AA361)))</f>
        <v/>
      </c>
      <c r="N361" s="50" t="str">
        <f>IF(OR($J361="",$AA361=""),"",$J361*N(INDEX(Fertilisants!$I$8:$I$47,$AA361)))</f>
        <v/>
      </c>
      <c r="O361" s="50" t="str">
        <f>IF(OR($J361="",$AA361=""),"",$J361*N(INDEX(Fertilisants!$J$8:$J$47,$AA361)))</f>
        <v/>
      </c>
      <c r="P361" s="50" t="str">
        <f>IF(OR($J361="",$AA361=""),"",$J361*N(INDEX(Fertilisants!$K$8:$K$47,$AA361)))</f>
        <v/>
      </c>
      <c r="Q361" s="50" t="str">
        <f t="shared" si="71"/>
        <v/>
      </c>
      <c r="R361" s="44"/>
      <c r="S361" s="44"/>
      <c r="T361" s="51"/>
      <c r="U361" s="44"/>
      <c r="V361" s="43"/>
      <c r="W361" s="52" t="str">
        <f t="shared" si="72"/>
        <v/>
      </c>
      <c r="X361" s="44"/>
      <c r="Z361" s="53" t="str">
        <f>IF($D361="","",IFERROR(MATCH($D361,Îlots!$D$8:$D$57,0),""))</f>
        <v/>
      </c>
      <c r="AA361" s="53" t="str">
        <f>IF($G361="","",IFERROR(MATCH($G361,Fertilisants!$B$8:$B$47,0),""))</f>
        <v/>
      </c>
      <c r="AB361" s="53" t="str">
        <f>IF($Z361="","",INDEX(Îlots!$E$8:$E$57,$Z361))</f>
        <v/>
      </c>
      <c r="AC361" s="53" t="str">
        <f>IF($Z361="","",INDEX(Îlots!$G$8:$G$57,$Z361)&amp;"")</f>
        <v/>
      </c>
      <c r="AD361" s="53" t="str">
        <f>IF($Z361="","",IF($F361=ApportCouvert,OccCouvert,INDEX(Îlots!$O$8:$O$57,$Z361)&amp;""))</f>
        <v/>
      </c>
      <c r="AE361" s="53" t="str">
        <f t="shared" si="73"/>
        <v/>
      </c>
      <c r="AF361" s="53" t="str">
        <f t="shared" si="74"/>
        <v/>
      </c>
      <c r="AG361" s="53" t="str">
        <f t="shared" si="75"/>
        <v/>
      </c>
      <c r="AH361" s="53">
        <f t="shared" si="76"/>
        <v>0</v>
      </c>
      <c r="AI361" s="53">
        <f t="shared" si="77"/>
        <v>0</v>
      </c>
      <c r="AJ361" s="53">
        <f t="shared" si="78"/>
        <v>0</v>
      </c>
      <c r="AK361" s="53">
        <f t="shared" si="79"/>
        <v>0</v>
      </c>
      <c r="AL361" s="53">
        <f t="shared" si="80"/>
        <v>0</v>
      </c>
      <c r="AM361" s="53">
        <f>IF($AA361="",0,IF(INDEX(Fertilisants!$C$8:$C$47,$AA361)="Effluent d'élevage",1,0))</f>
        <v>0</v>
      </c>
      <c r="AN361" s="53" t="str">
        <f>IF($AA361="","",IF(INDEX(Fertilisants!$C$8:$C$47,$AA361)="Engrais minéral","Minéral","Organique"))</f>
        <v/>
      </c>
      <c r="AO361" s="53" t="str">
        <f t="shared" si="81"/>
        <v/>
      </c>
      <c r="AP361" s="53" t="str">
        <f t="shared" si="82"/>
        <v/>
      </c>
      <c r="AQ361" s="53" t="str">
        <f t="shared" si="83"/>
        <v/>
      </c>
      <c r="AR361" s="53" t="str">
        <f>IF(AND($D361&lt;&gt;"",$D361=FicheIlot),COUNTIF($D$8:$D361,FicheIlot),"")</f>
        <v/>
      </c>
    </row>
    <row r="362" spans="2:44" ht="18.95" customHeight="1" x14ac:dyDescent="0.25">
      <c r="B362" s="42" t="str">
        <f>IF(C362="","",COUNT($C$8:C362))</f>
        <v/>
      </c>
      <c r="C362" s="43"/>
      <c r="D362" s="44"/>
      <c r="E362" s="45" t="str">
        <f>IF($Z362="","",IF($F362=ApportCouvert,INDEX(Îlots!$I$8:$I$57,$Z362)&amp;"",INDEX(Îlots!$N$8:$N$57,$Z362)&amp;""))</f>
        <v/>
      </c>
      <c r="F362" s="44"/>
      <c r="G362" s="44"/>
      <c r="H362" s="46" t="str">
        <f>IF($AA362="","",INDEX(Fertilisants!$D$8:$D$47,$AA362)&amp;"")</f>
        <v/>
      </c>
      <c r="I362" s="47"/>
      <c r="J362" s="48"/>
      <c r="K362" s="46" t="str">
        <f>IF($AA362="","",INDEX(Fertilisants!$E$8:$E$47,$AA362)&amp;"")</f>
        <v/>
      </c>
      <c r="L362" s="49" t="str">
        <f t="shared" si="70"/>
        <v/>
      </c>
      <c r="M362" s="50" t="str">
        <f>IF(OR($J362="",$AA362=""),"",$J362*N(INDEX(Fertilisants!$G$8:$G$47,$AA362)))</f>
        <v/>
      </c>
      <c r="N362" s="50" t="str">
        <f>IF(OR($J362="",$AA362=""),"",$J362*N(INDEX(Fertilisants!$I$8:$I$47,$AA362)))</f>
        <v/>
      </c>
      <c r="O362" s="50" t="str">
        <f>IF(OR($J362="",$AA362=""),"",$J362*N(INDEX(Fertilisants!$J$8:$J$47,$AA362)))</f>
        <v/>
      </c>
      <c r="P362" s="50" t="str">
        <f>IF(OR($J362="",$AA362=""),"",$J362*N(INDEX(Fertilisants!$K$8:$K$47,$AA362)))</f>
        <v/>
      </c>
      <c r="Q362" s="50" t="str">
        <f t="shared" si="71"/>
        <v/>
      </c>
      <c r="R362" s="44"/>
      <c r="S362" s="44"/>
      <c r="T362" s="51"/>
      <c r="U362" s="44"/>
      <c r="V362" s="43"/>
      <c r="W362" s="52" t="str">
        <f t="shared" si="72"/>
        <v/>
      </c>
      <c r="X362" s="44"/>
      <c r="Z362" s="53" t="str">
        <f>IF($D362="","",IFERROR(MATCH($D362,Îlots!$D$8:$D$57,0),""))</f>
        <v/>
      </c>
      <c r="AA362" s="53" t="str">
        <f>IF($G362="","",IFERROR(MATCH($G362,Fertilisants!$B$8:$B$47,0),""))</f>
        <v/>
      </c>
      <c r="AB362" s="53" t="str">
        <f>IF($Z362="","",INDEX(Îlots!$E$8:$E$57,$Z362))</f>
        <v/>
      </c>
      <c r="AC362" s="53" t="str">
        <f>IF($Z362="","",INDEX(Îlots!$G$8:$G$57,$Z362)&amp;"")</f>
        <v/>
      </c>
      <c r="AD362" s="53" t="str">
        <f>IF($Z362="","",IF($F362=ApportCouvert,OccCouvert,INDEX(Îlots!$O$8:$O$57,$Z362)&amp;""))</f>
        <v/>
      </c>
      <c r="AE362" s="53" t="str">
        <f t="shared" si="73"/>
        <v/>
      </c>
      <c r="AF362" s="53" t="str">
        <f t="shared" si="74"/>
        <v/>
      </c>
      <c r="AG362" s="53" t="str">
        <f t="shared" si="75"/>
        <v/>
      </c>
      <c r="AH362" s="53">
        <f t="shared" si="76"/>
        <v>0</v>
      </c>
      <c r="AI362" s="53">
        <f t="shared" si="77"/>
        <v>0</v>
      </c>
      <c r="AJ362" s="53">
        <f t="shared" si="78"/>
        <v>0</v>
      </c>
      <c r="AK362" s="53">
        <f t="shared" si="79"/>
        <v>0</v>
      </c>
      <c r="AL362" s="53">
        <f t="shared" si="80"/>
        <v>0</v>
      </c>
      <c r="AM362" s="53">
        <f>IF($AA362="",0,IF(INDEX(Fertilisants!$C$8:$C$47,$AA362)="Effluent d'élevage",1,0))</f>
        <v>0</v>
      </c>
      <c r="AN362" s="53" t="str">
        <f>IF($AA362="","",IF(INDEX(Fertilisants!$C$8:$C$47,$AA362)="Engrais minéral","Minéral","Organique"))</f>
        <v/>
      </c>
      <c r="AO362" s="53" t="str">
        <f t="shared" si="81"/>
        <v/>
      </c>
      <c r="AP362" s="53" t="str">
        <f t="shared" si="82"/>
        <v/>
      </c>
      <c r="AQ362" s="53" t="str">
        <f t="shared" si="83"/>
        <v/>
      </c>
      <c r="AR362" s="53" t="str">
        <f>IF(AND($D362&lt;&gt;"",$D362=FicheIlot),COUNTIF($D$8:$D362,FicheIlot),"")</f>
        <v/>
      </c>
    </row>
    <row r="363" spans="2:44" ht="18.95" customHeight="1" x14ac:dyDescent="0.25">
      <c r="B363" s="42" t="str">
        <f>IF(C363="","",COUNT($C$8:C363))</f>
        <v/>
      </c>
      <c r="C363" s="43"/>
      <c r="D363" s="44"/>
      <c r="E363" s="45" t="str">
        <f>IF($Z363="","",IF($F363=ApportCouvert,INDEX(Îlots!$I$8:$I$57,$Z363)&amp;"",INDEX(Îlots!$N$8:$N$57,$Z363)&amp;""))</f>
        <v/>
      </c>
      <c r="F363" s="44"/>
      <c r="G363" s="44"/>
      <c r="H363" s="46" t="str">
        <f>IF($AA363="","",INDEX(Fertilisants!$D$8:$D$47,$AA363)&amp;"")</f>
        <v/>
      </c>
      <c r="I363" s="47"/>
      <c r="J363" s="48"/>
      <c r="K363" s="46" t="str">
        <f>IF($AA363="","",INDEX(Fertilisants!$E$8:$E$47,$AA363)&amp;"")</f>
        <v/>
      </c>
      <c r="L363" s="49" t="str">
        <f t="shared" si="70"/>
        <v/>
      </c>
      <c r="M363" s="50" t="str">
        <f>IF(OR($J363="",$AA363=""),"",$J363*N(INDEX(Fertilisants!$G$8:$G$47,$AA363)))</f>
        <v/>
      </c>
      <c r="N363" s="50" t="str">
        <f>IF(OR($J363="",$AA363=""),"",$J363*N(INDEX(Fertilisants!$I$8:$I$47,$AA363)))</f>
        <v/>
      </c>
      <c r="O363" s="50" t="str">
        <f>IF(OR($J363="",$AA363=""),"",$J363*N(INDEX(Fertilisants!$J$8:$J$47,$AA363)))</f>
        <v/>
      </c>
      <c r="P363" s="50" t="str">
        <f>IF(OR($J363="",$AA363=""),"",$J363*N(INDEX(Fertilisants!$K$8:$K$47,$AA363)))</f>
        <v/>
      </c>
      <c r="Q363" s="50" t="str">
        <f t="shared" si="71"/>
        <v/>
      </c>
      <c r="R363" s="44"/>
      <c r="S363" s="44"/>
      <c r="T363" s="51"/>
      <c r="U363" s="44"/>
      <c r="V363" s="43"/>
      <c r="W363" s="52" t="str">
        <f t="shared" si="72"/>
        <v/>
      </c>
      <c r="X363" s="44"/>
      <c r="Z363" s="53" t="str">
        <f>IF($D363="","",IFERROR(MATCH($D363,Îlots!$D$8:$D$57,0),""))</f>
        <v/>
      </c>
      <c r="AA363" s="53" t="str">
        <f>IF($G363="","",IFERROR(MATCH($G363,Fertilisants!$B$8:$B$47,0),""))</f>
        <v/>
      </c>
      <c r="AB363" s="53" t="str">
        <f>IF($Z363="","",INDEX(Îlots!$E$8:$E$57,$Z363))</f>
        <v/>
      </c>
      <c r="AC363" s="53" t="str">
        <f>IF($Z363="","",INDEX(Îlots!$G$8:$G$57,$Z363)&amp;"")</f>
        <v/>
      </c>
      <c r="AD363" s="53" t="str">
        <f>IF($Z363="","",IF($F363=ApportCouvert,OccCouvert,INDEX(Îlots!$O$8:$O$57,$Z363)&amp;""))</f>
        <v/>
      </c>
      <c r="AE363" s="53" t="str">
        <f t="shared" si="73"/>
        <v/>
      </c>
      <c r="AF363" s="53" t="str">
        <f t="shared" si="74"/>
        <v/>
      </c>
      <c r="AG363" s="53" t="str">
        <f t="shared" si="75"/>
        <v/>
      </c>
      <c r="AH363" s="53">
        <f t="shared" si="76"/>
        <v>0</v>
      </c>
      <c r="AI363" s="53">
        <f t="shared" si="77"/>
        <v>0</v>
      </c>
      <c r="AJ363" s="53">
        <f t="shared" si="78"/>
        <v>0</v>
      </c>
      <c r="AK363" s="53">
        <f t="shared" si="79"/>
        <v>0</v>
      </c>
      <c r="AL363" s="53">
        <f t="shared" si="80"/>
        <v>0</v>
      </c>
      <c r="AM363" s="53">
        <f>IF($AA363="",0,IF(INDEX(Fertilisants!$C$8:$C$47,$AA363)="Effluent d'élevage",1,0))</f>
        <v>0</v>
      </c>
      <c r="AN363" s="53" t="str">
        <f>IF($AA363="","",IF(INDEX(Fertilisants!$C$8:$C$47,$AA363)="Engrais minéral","Minéral","Organique"))</f>
        <v/>
      </c>
      <c r="AO363" s="53" t="str">
        <f t="shared" si="81"/>
        <v/>
      </c>
      <c r="AP363" s="53" t="str">
        <f t="shared" si="82"/>
        <v/>
      </c>
      <c r="AQ363" s="53" t="str">
        <f t="shared" si="83"/>
        <v/>
      </c>
      <c r="AR363" s="53" t="str">
        <f>IF(AND($D363&lt;&gt;"",$D363=FicheIlot),COUNTIF($D$8:$D363,FicheIlot),"")</f>
        <v/>
      </c>
    </row>
    <row r="364" spans="2:44" ht="18.95" customHeight="1" x14ac:dyDescent="0.25">
      <c r="B364" s="42" t="str">
        <f>IF(C364="","",COUNT($C$8:C364))</f>
        <v/>
      </c>
      <c r="C364" s="43"/>
      <c r="D364" s="44"/>
      <c r="E364" s="45" t="str">
        <f>IF($Z364="","",IF($F364=ApportCouvert,INDEX(Îlots!$I$8:$I$57,$Z364)&amp;"",INDEX(Îlots!$N$8:$N$57,$Z364)&amp;""))</f>
        <v/>
      </c>
      <c r="F364" s="44"/>
      <c r="G364" s="44"/>
      <c r="H364" s="46" t="str">
        <f>IF($AA364="","",INDEX(Fertilisants!$D$8:$D$47,$AA364)&amp;"")</f>
        <v/>
      </c>
      <c r="I364" s="47"/>
      <c r="J364" s="48"/>
      <c r="K364" s="46" t="str">
        <f>IF($AA364="","",INDEX(Fertilisants!$E$8:$E$47,$AA364)&amp;"")</f>
        <v/>
      </c>
      <c r="L364" s="49" t="str">
        <f t="shared" si="70"/>
        <v/>
      </c>
      <c r="M364" s="50" t="str">
        <f>IF(OR($J364="",$AA364=""),"",$J364*N(INDEX(Fertilisants!$G$8:$G$47,$AA364)))</f>
        <v/>
      </c>
      <c r="N364" s="50" t="str">
        <f>IF(OR($J364="",$AA364=""),"",$J364*N(INDEX(Fertilisants!$I$8:$I$47,$AA364)))</f>
        <v/>
      </c>
      <c r="O364" s="50" t="str">
        <f>IF(OR($J364="",$AA364=""),"",$J364*N(INDEX(Fertilisants!$J$8:$J$47,$AA364)))</f>
        <v/>
      </c>
      <c r="P364" s="50" t="str">
        <f>IF(OR($J364="",$AA364=""),"",$J364*N(INDEX(Fertilisants!$K$8:$K$47,$AA364)))</f>
        <v/>
      </c>
      <c r="Q364" s="50" t="str">
        <f t="shared" si="71"/>
        <v/>
      </c>
      <c r="R364" s="44"/>
      <c r="S364" s="44"/>
      <c r="T364" s="51"/>
      <c r="U364" s="44"/>
      <c r="V364" s="43"/>
      <c r="W364" s="52" t="str">
        <f t="shared" si="72"/>
        <v/>
      </c>
      <c r="X364" s="44"/>
      <c r="Z364" s="53" t="str">
        <f>IF($D364="","",IFERROR(MATCH($D364,Îlots!$D$8:$D$57,0),""))</f>
        <v/>
      </c>
      <c r="AA364" s="53" t="str">
        <f>IF($G364="","",IFERROR(MATCH($G364,Fertilisants!$B$8:$B$47,0),""))</f>
        <v/>
      </c>
      <c r="AB364" s="53" t="str">
        <f>IF($Z364="","",INDEX(Îlots!$E$8:$E$57,$Z364))</f>
        <v/>
      </c>
      <c r="AC364" s="53" t="str">
        <f>IF($Z364="","",INDEX(Îlots!$G$8:$G$57,$Z364)&amp;"")</f>
        <v/>
      </c>
      <c r="AD364" s="53" t="str">
        <f>IF($Z364="","",IF($F364=ApportCouvert,OccCouvert,INDEX(Îlots!$O$8:$O$57,$Z364)&amp;""))</f>
        <v/>
      </c>
      <c r="AE364" s="53" t="str">
        <f t="shared" si="73"/>
        <v/>
      </c>
      <c r="AF364" s="53" t="str">
        <f t="shared" si="74"/>
        <v/>
      </c>
      <c r="AG364" s="53" t="str">
        <f t="shared" si="75"/>
        <v/>
      </c>
      <c r="AH364" s="53">
        <f t="shared" si="76"/>
        <v>0</v>
      </c>
      <c r="AI364" s="53">
        <f t="shared" si="77"/>
        <v>0</v>
      </c>
      <c r="AJ364" s="53">
        <f t="shared" si="78"/>
        <v>0</v>
      </c>
      <c r="AK364" s="53">
        <f t="shared" si="79"/>
        <v>0</v>
      </c>
      <c r="AL364" s="53">
        <f t="shared" si="80"/>
        <v>0</v>
      </c>
      <c r="AM364" s="53">
        <f>IF($AA364="",0,IF(INDEX(Fertilisants!$C$8:$C$47,$AA364)="Effluent d'élevage",1,0))</f>
        <v>0</v>
      </c>
      <c r="AN364" s="53" t="str">
        <f>IF($AA364="","",IF(INDEX(Fertilisants!$C$8:$C$47,$AA364)="Engrais minéral","Minéral","Organique"))</f>
        <v/>
      </c>
      <c r="AO364" s="53" t="str">
        <f t="shared" si="81"/>
        <v/>
      </c>
      <c r="AP364" s="53" t="str">
        <f t="shared" si="82"/>
        <v/>
      </c>
      <c r="AQ364" s="53" t="str">
        <f t="shared" si="83"/>
        <v/>
      </c>
      <c r="AR364" s="53" t="str">
        <f>IF(AND($D364&lt;&gt;"",$D364=FicheIlot),COUNTIF($D$8:$D364,FicheIlot),"")</f>
        <v/>
      </c>
    </row>
    <row r="365" spans="2:44" ht="18.95" customHeight="1" x14ac:dyDescent="0.25">
      <c r="B365" s="42" t="str">
        <f>IF(C365="","",COUNT($C$8:C365))</f>
        <v/>
      </c>
      <c r="C365" s="43"/>
      <c r="D365" s="44"/>
      <c r="E365" s="45" t="str">
        <f>IF($Z365="","",IF($F365=ApportCouvert,INDEX(Îlots!$I$8:$I$57,$Z365)&amp;"",INDEX(Îlots!$N$8:$N$57,$Z365)&amp;""))</f>
        <v/>
      </c>
      <c r="F365" s="44"/>
      <c r="G365" s="44"/>
      <c r="H365" s="46" t="str">
        <f>IF($AA365="","",INDEX(Fertilisants!$D$8:$D$47,$AA365)&amp;"")</f>
        <v/>
      </c>
      <c r="I365" s="47"/>
      <c r="J365" s="48"/>
      <c r="K365" s="46" t="str">
        <f>IF($AA365="","",INDEX(Fertilisants!$E$8:$E$47,$AA365)&amp;"")</f>
        <v/>
      </c>
      <c r="L365" s="49" t="str">
        <f t="shared" si="70"/>
        <v/>
      </c>
      <c r="M365" s="50" t="str">
        <f>IF(OR($J365="",$AA365=""),"",$J365*N(INDEX(Fertilisants!$G$8:$G$47,$AA365)))</f>
        <v/>
      </c>
      <c r="N365" s="50" t="str">
        <f>IF(OR($J365="",$AA365=""),"",$J365*N(INDEX(Fertilisants!$I$8:$I$47,$AA365)))</f>
        <v/>
      </c>
      <c r="O365" s="50" t="str">
        <f>IF(OR($J365="",$AA365=""),"",$J365*N(INDEX(Fertilisants!$J$8:$J$47,$AA365)))</f>
        <v/>
      </c>
      <c r="P365" s="50" t="str">
        <f>IF(OR($J365="",$AA365=""),"",$J365*N(INDEX(Fertilisants!$K$8:$K$47,$AA365)))</f>
        <v/>
      </c>
      <c r="Q365" s="50" t="str">
        <f t="shared" si="71"/>
        <v/>
      </c>
      <c r="R365" s="44"/>
      <c r="S365" s="44"/>
      <c r="T365" s="51"/>
      <c r="U365" s="44"/>
      <c r="V365" s="43"/>
      <c r="W365" s="52" t="str">
        <f t="shared" si="72"/>
        <v/>
      </c>
      <c r="X365" s="44"/>
      <c r="Z365" s="53" t="str">
        <f>IF($D365="","",IFERROR(MATCH($D365,Îlots!$D$8:$D$57,0),""))</f>
        <v/>
      </c>
      <c r="AA365" s="53" t="str">
        <f>IF($G365="","",IFERROR(MATCH($G365,Fertilisants!$B$8:$B$47,0),""))</f>
        <v/>
      </c>
      <c r="AB365" s="53" t="str">
        <f>IF($Z365="","",INDEX(Îlots!$E$8:$E$57,$Z365))</f>
        <v/>
      </c>
      <c r="AC365" s="53" t="str">
        <f>IF($Z365="","",INDEX(Îlots!$G$8:$G$57,$Z365)&amp;"")</f>
        <v/>
      </c>
      <c r="AD365" s="53" t="str">
        <f>IF($Z365="","",IF($F365=ApportCouvert,OccCouvert,INDEX(Îlots!$O$8:$O$57,$Z365)&amp;""))</f>
        <v/>
      </c>
      <c r="AE365" s="53" t="str">
        <f t="shared" si="73"/>
        <v/>
      </c>
      <c r="AF365" s="53" t="str">
        <f t="shared" si="74"/>
        <v/>
      </c>
      <c r="AG365" s="53" t="str">
        <f t="shared" si="75"/>
        <v/>
      </c>
      <c r="AH365" s="53">
        <f t="shared" si="76"/>
        <v>0</v>
      </c>
      <c r="AI365" s="53">
        <f t="shared" si="77"/>
        <v>0</v>
      </c>
      <c r="AJ365" s="53">
        <f t="shared" si="78"/>
        <v>0</v>
      </c>
      <c r="AK365" s="53">
        <f t="shared" si="79"/>
        <v>0</v>
      </c>
      <c r="AL365" s="53">
        <f t="shared" si="80"/>
        <v>0</v>
      </c>
      <c r="AM365" s="53">
        <f>IF($AA365="",0,IF(INDEX(Fertilisants!$C$8:$C$47,$AA365)="Effluent d'élevage",1,0))</f>
        <v>0</v>
      </c>
      <c r="AN365" s="53" t="str">
        <f>IF($AA365="","",IF(INDEX(Fertilisants!$C$8:$C$47,$AA365)="Engrais minéral","Minéral","Organique"))</f>
        <v/>
      </c>
      <c r="AO365" s="53" t="str">
        <f t="shared" si="81"/>
        <v/>
      </c>
      <c r="AP365" s="53" t="str">
        <f t="shared" si="82"/>
        <v/>
      </c>
      <c r="AQ365" s="53" t="str">
        <f t="shared" si="83"/>
        <v/>
      </c>
      <c r="AR365" s="53" t="str">
        <f>IF(AND($D365&lt;&gt;"",$D365=FicheIlot),COUNTIF($D$8:$D365,FicheIlot),"")</f>
        <v/>
      </c>
    </row>
    <row r="366" spans="2:44" ht="18.95" customHeight="1" x14ac:dyDescent="0.25">
      <c r="B366" s="42" t="str">
        <f>IF(C366="","",COUNT($C$8:C366))</f>
        <v/>
      </c>
      <c r="C366" s="43"/>
      <c r="D366" s="44"/>
      <c r="E366" s="45" t="str">
        <f>IF($Z366="","",IF($F366=ApportCouvert,INDEX(Îlots!$I$8:$I$57,$Z366)&amp;"",INDEX(Îlots!$N$8:$N$57,$Z366)&amp;""))</f>
        <v/>
      </c>
      <c r="F366" s="44"/>
      <c r="G366" s="44"/>
      <c r="H366" s="46" t="str">
        <f>IF($AA366="","",INDEX(Fertilisants!$D$8:$D$47,$AA366)&amp;"")</f>
        <v/>
      </c>
      <c r="I366" s="47"/>
      <c r="J366" s="48"/>
      <c r="K366" s="46" t="str">
        <f>IF($AA366="","",INDEX(Fertilisants!$E$8:$E$47,$AA366)&amp;"")</f>
        <v/>
      </c>
      <c r="L366" s="49" t="str">
        <f t="shared" si="70"/>
        <v/>
      </c>
      <c r="M366" s="50" t="str">
        <f>IF(OR($J366="",$AA366=""),"",$J366*N(INDEX(Fertilisants!$G$8:$G$47,$AA366)))</f>
        <v/>
      </c>
      <c r="N366" s="50" t="str">
        <f>IF(OR($J366="",$AA366=""),"",$J366*N(INDEX(Fertilisants!$I$8:$I$47,$AA366)))</f>
        <v/>
      </c>
      <c r="O366" s="50" t="str">
        <f>IF(OR($J366="",$AA366=""),"",$J366*N(INDEX(Fertilisants!$J$8:$J$47,$AA366)))</f>
        <v/>
      </c>
      <c r="P366" s="50" t="str">
        <f>IF(OR($J366="",$AA366=""),"",$J366*N(INDEX(Fertilisants!$K$8:$K$47,$AA366)))</f>
        <v/>
      </c>
      <c r="Q366" s="50" t="str">
        <f t="shared" si="71"/>
        <v/>
      </c>
      <c r="R366" s="44"/>
      <c r="S366" s="44"/>
      <c r="T366" s="51"/>
      <c r="U366" s="44"/>
      <c r="V366" s="43"/>
      <c r="W366" s="52" t="str">
        <f t="shared" si="72"/>
        <v/>
      </c>
      <c r="X366" s="44"/>
      <c r="Z366" s="53" t="str">
        <f>IF($D366="","",IFERROR(MATCH($D366,Îlots!$D$8:$D$57,0),""))</f>
        <v/>
      </c>
      <c r="AA366" s="53" t="str">
        <f>IF($G366="","",IFERROR(MATCH($G366,Fertilisants!$B$8:$B$47,0),""))</f>
        <v/>
      </c>
      <c r="AB366" s="53" t="str">
        <f>IF($Z366="","",INDEX(Îlots!$E$8:$E$57,$Z366))</f>
        <v/>
      </c>
      <c r="AC366" s="53" t="str">
        <f>IF($Z366="","",INDEX(Îlots!$G$8:$G$57,$Z366)&amp;"")</f>
        <v/>
      </c>
      <c r="AD366" s="53" t="str">
        <f>IF($Z366="","",IF($F366=ApportCouvert,OccCouvert,INDEX(Îlots!$O$8:$O$57,$Z366)&amp;""))</f>
        <v/>
      </c>
      <c r="AE366" s="53" t="str">
        <f t="shared" si="73"/>
        <v/>
      </c>
      <c r="AF366" s="53" t="str">
        <f t="shared" si="74"/>
        <v/>
      </c>
      <c r="AG366" s="53" t="str">
        <f t="shared" si="75"/>
        <v/>
      </c>
      <c r="AH366" s="53">
        <f t="shared" si="76"/>
        <v>0</v>
      </c>
      <c r="AI366" s="53">
        <f t="shared" si="77"/>
        <v>0</v>
      </c>
      <c r="AJ366" s="53">
        <f t="shared" si="78"/>
        <v>0</v>
      </c>
      <c r="AK366" s="53">
        <f t="shared" si="79"/>
        <v>0</v>
      </c>
      <c r="AL366" s="53">
        <f t="shared" si="80"/>
        <v>0</v>
      </c>
      <c r="AM366" s="53">
        <f>IF($AA366="",0,IF(INDEX(Fertilisants!$C$8:$C$47,$AA366)="Effluent d'élevage",1,0))</f>
        <v>0</v>
      </c>
      <c r="AN366" s="53" t="str">
        <f>IF($AA366="","",IF(INDEX(Fertilisants!$C$8:$C$47,$AA366)="Engrais minéral","Minéral","Organique"))</f>
        <v/>
      </c>
      <c r="AO366" s="53" t="str">
        <f t="shared" si="81"/>
        <v/>
      </c>
      <c r="AP366" s="53" t="str">
        <f t="shared" si="82"/>
        <v/>
      </c>
      <c r="AQ366" s="53" t="str">
        <f t="shared" si="83"/>
        <v/>
      </c>
      <c r="AR366" s="53" t="str">
        <f>IF(AND($D366&lt;&gt;"",$D366=FicheIlot),COUNTIF($D$8:$D366,FicheIlot),"")</f>
        <v/>
      </c>
    </row>
    <row r="367" spans="2:44" ht="18.95" customHeight="1" x14ac:dyDescent="0.25">
      <c r="B367" s="42" t="str">
        <f>IF(C367="","",COUNT($C$8:C367))</f>
        <v/>
      </c>
      <c r="C367" s="43"/>
      <c r="D367" s="44"/>
      <c r="E367" s="45" t="str">
        <f>IF($Z367="","",IF($F367=ApportCouvert,INDEX(Îlots!$I$8:$I$57,$Z367)&amp;"",INDEX(Îlots!$N$8:$N$57,$Z367)&amp;""))</f>
        <v/>
      </c>
      <c r="F367" s="44"/>
      <c r="G367" s="44"/>
      <c r="H367" s="46" t="str">
        <f>IF($AA367="","",INDEX(Fertilisants!$D$8:$D$47,$AA367)&amp;"")</f>
        <v/>
      </c>
      <c r="I367" s="47"/>
      <c r="J367" s="48"/>
      <c r="K367" s="46" t="str">
        <f>IF($AA367="","",INDEX(Fertilisants!$E$8:$E$47,$AA367)&amp;"")</f>
        <v/>
      </c>
      <c r="L367" s="49" t="str">
        <f t="shared" si="70"/>
        <v/>
      </c>
      <c r="M367" s="50" t="str">
        <f>IF(OR($J367="",$AA367=""),"",$J367*N(INDEX(Fertilisants!$G$8:$G$47,$AA367)))</f>
        <v/>
      </c>
      <c r="N367" s="50" t="str">
        <f>IF(OR($J367="",$AA367=""),"",$J367*N(INDEX(Fertilisants!$I$8:$I$47,$AA367)))</f>
        <v/>
      </c>
      <c r="O367" s="50" t="str">
        <f>IF(OR($J367="",$AA367=""),"",$J367*N(INDEX(Fertilisants!$J$8:$J$47,$AA367)))</f>
        <v/>
      </c>
      <c r="P367" s="50" t="str">
        <f>IF(OR($J367="",$AA367=""),"",$J367*N(INDEX(Fertilisants!$K$8:$K$47,$AA367)))</f>
        <v/>
      </c>
      <c r="Q367" s="50" t="str">
        <f t="shared" si="71"/>
        <v/>
      </c>
      <c r="R367" s="44"/>
      <c r="S367" s="44"/>
      <c r="T367" s="51"/>
      <c r="U367" s="44"/>
      <c r="V367" s="43"/>
      <c r="W367" s="52" t="str">
        <f t="shared" si="72"/>
        <v/>
      </c>
      <c r="X367" s="44"/>
      <c r="Z367" s="53" t="str">
        <f>IF($D367="","",IFERROR(MATCH($D367,Îlots!$D$8:$D$57,0),""))</f>
        <v/>
      </c>
      <c r="AA367" s="53" t="str">
        <f>IF($G367="","",IFERROR(MATCH($G367,Fertilisants!$B$8:$B$47,0),""))</f>
        <v/>
      </c>
      <c r="AB367" s="53" t="str">
        <f>IF($Z367="","",INDEX(Îlots!$E$8:$E$57,$Z367))</f>
        <v/>
      </c>
      <c r="AC367" s="53" t="str">
        <f>IF($Z367="","",INDEX(Îlots!$G$8:$G$57,$Z367)&amp;"")</f>
        <v/>
      </c>
      <c r="AD367" s="53" t="str">
        <f>IF($Z367="","",IF($F367=ApportCouvert,OccCouvert,INDEX(Îlots!$O$8:$O$57,$Z367)&amp;""))</f>
        <v/>
      </c>
      <c r="AE367" s="53" t="str">
        <f t="shared" si="73"/>
        <v/>
      </c>
      <c r="AF367" s="53" t="str">
        <f t="shared" si="74"/>
        <v/>
      </c>
      <c r="AG367" s="53" t="str">
        <f t="shared" si="75"/>
        <v/>
      </c>
      <c r="AH367" s="53">
        <f t="shared" si="76"/>
        <v>0</v>
      </c>
      <c r="AI367" s="53">
        <f t="shared" si="77"/>
        <v>0</v>
      </c>
      <c r="AJ367" s="53">
        <f t="shared" si="78"/>
        <v>0</v>
      </c>
      <c r="AK367" s="53">
        <f t="shared" si="79"/>
        <v>0</v>
      </c>
      <c r="AL367" s="53">
        <f t="shared" si="80"/>
        <v>0</v>
      </c>
      <c r="AM367" s="53">
        <f>IF($AA367="",0,IF(INDEX(Fertilisants!$C$8:$C$47,$AA367)="Effluent d'élevage",1,0))</f>
        <v>0</v>
      </c>
      <c r="AN367" s="53" t="str">
        <f>IF($AA367="","",IF(INDEX(Fertilisants!$C$8:$C$47,$AA367)="Engrais minéral","Minéral","Organique"))</f>
        <v/>
      </c>
      <c r="AO367" s="53" t="str">
        <f t="shared" si="81"/>
        <v/>
      </c>
      <c r="AP367" s="53" t="str">
        <f t="shared" si="82"/>
        <v/>
      </c>
      <c r="AQ367" s="53" t="str">
        <f t="shared" si="83"/>
        <v/>
      </c>
      <c r="AR367" s="53" t="str">
        <f>IF(AND($D367&lt;&gt;"",$D367=FicheIlot),COUNTIF($D$8:$D367,FicheIlot),"")</f>
        <v/>
      </c>
    </row>
    <row r="368" spans="2:44" ht="18.95" customHeight="1" x14ac:dyDescent="0.25">
      <c r="B368" s="42" t="str">
        <f>IF(C368="","",COUNT($C$8:C368))</f>
        <v/>
      </c>
      <c r="C368" s="43"/>
      <c r="D368" s="44"/>
      <c r="E368" s="45" t="str">
        <f>IF($Z368="","",IF($F368=ApportCouvert,INDEX(Îlots!$I$8:$I$57,$Z368)&amp;"",INDEX(Îlots!$N$8:$N$57,$Z368)&amp;""))</f>
        <v/>
      </c>
      <c r="F368" s="44"/>
      <c r="G368" s="44"/>
      <c r="H368" s="46" t="str">
        <f>IF($AA368="","",INDEX(Fertilisants!$D$8:$D$47,$AA368)&amp;"")</f>
        <v/>
      </c>
      <c r="I368" s="47"/>
      <c r="J368" s="48"/>
      <c r="K368" s="46" t="str">
        <f>IF($AA368="","",INDEX(Fertilisants!$E$8:$E$47,$AA368)&amp;"")</f>
        <v/>
      </c>
      <c r="L368" s="49" t="str">
        <f t="shared" si="70"/>
        <v/>
      </c>
      <c r="M368" s="50" t="str">
        <f>IF(OR($J368="",$AA368=""),"",$J368*N(INDEX(Fertilisants!$G$8:$G$47,$AA368)))</f>
        <v/>
      </c>
      <c r="N368" s="50" t="str">
        <f>IF(OR($J368="",$AA368=""),"",$J368*N(INDEX(Fertilisants!$I$8:$I$47,$AA368)))</f>
        <v/>
      </c>
      <c r="O368" s="50" t="str">
        <f>IF(OR($J368="",$AA368=""),"",$J368*N(INDEX(Fertilisants!$J$8:$J$47,$AA368)))</f>
        <v/>
      </c>
      <c r="P368" s="50" t="str">
        <f>IF(OR($J368="",$AA368=""),"",$J368*N(INDEX(Fertilisants!$K$8:$K$47,$AA368)))</f>
        <v/>
      </c>
      <c r="Q368" s="50" t="str">
        <f t="shared" si="71"/>
        <v/>
      </c>
      <c r="R368" s="44"/>
      <c r="S368" s="44"/>
      <c r="T368" s="51"/>
      <c r="U368" s="44"/>
      <c r="V368" s="43"/>
      <c r="W368" s="52" t="str">
        <f t="shared" si="72"/>
        <v/>
      </c>
      <c r="X368" s="44"/>
      <c r="Z368" s="53" t="str">
        <f>IF($D368="","",IFERROR(MATCH($D368,Îlots!$D$8:$D$57,0),""))</f>
        <v/>
      </c>
      <c r="AA368" s="53" t="str">
        <f>IF($G368="","",IFERROR(MATCH($G368,Fertilisants!$B$8:$B$47,0),""))</f>
        <v/>
      </c>
      <c r="AB368" s="53" t="str">
        <f>IF($Z368="","",INDEX(Îlots!$E$8:$E$57,$Z368))</f>
        <v/>
      </c>
      <c r="AC368" s="53" t="str">
        <f>IF($Z368="","",INDEX(Îlots!$G$8:$G$57,$Z368)&amp;"")</f>
        <v/>
      </c>
      <c r="AD368" s="53" t="str">
        <f>IF($Z368="","",IF($F368=ApportCouvert,OccCouvert,INDEX(Îlots!$O$8:$O$57,$Z368)&amp;""))</f>
        <v/>
      </c>
      <c r="AE368" s="53" t="str">
        <f t="shared" si="73"/>
        <v/>
      </c>
      <c r="AF368" s="53" t="str">
        <f t="shared" si="74"/>
        <v/>
      </c>
      <c r="AG368" s="53" t="str">
        <f t="shared" si="75"/>
        <v/>
      </c>
      <c r="AH368" s="53">
        <f t="shared" si="76"/>
        <v>0</v>
      </c>
      <c r="AI368" s="53">
        <f t="shared" si="77"/>
        <v>0</v>
      </c>
      <c r="AJ368" s="53">
        <f t="shared" si="78"/>
        <v>0</v>
      </c>
      <c r="AK368" s="53">
        <f t="shared" si="79"/>
        <v>0</v>
      </c>
      <c r="AL368" s="53">
        <f t="shared" si="80"/>
        <v>0</v>
      </c>
      <c r="AM368" s="53">
        <f>IF($AA368="",0,IF(INDEX(Fertilisants!$C$8:$C$47,$AA368)="Effluent d'élevage",1,0))</f>
        <v>0</v>
      </c>
      <c r="AN368" s="53" t="str">
        <f>IF($AA368="","",IF(INDEX(Fertilisants!$C$8:$C$47,$AA368)="Engrais minéral","Minéral","Organique"))</f>
        <v/>
      </c>
      <c r="AO368" s="53" t="str">
        <f t="shared" si="81"/>
        <v/>
      </c>
      <c r="AP368" s="53" t="str">
        <f t="shared" si="82"/>
        <v/>
      </c>
      <c r="AQ368" s="53" t="str">
        <f t="shared" si="83"/>
        <v/>
      </c>
      <c r="AR368" s="53" t="str">
        <f>IF(AND($D368&lt;&gt;"",$D368=FicheIlot),COUNTIF($D$8:$D368,FicheIlot),"")</f>
        <v/>
      </c>
    </row>
    <row r="369" spans="2:44" ht="18.95" customHeight="1" x14ac:dyDescent="0.25">
      <c r="B369" s="42" t="str">
        <f>IF(C369="","",COUNT($C$8:C369))</f>
        <v/>
      </c>
      <c r="C369" s="43"/>
      <c r="D369" s="44"/>
      <c r="E369" s="45" t="str">
        <f>IF($Z369="","",IF($F369=ApportCouvert,INDEX(Îlots!$I$8:$I$57,$Z369)&amp;"",INDEX(Îlots!$N$8:$N$57,$Z369)&amp;""))</f>
        <v/>
      </c>
      <c r="F369" s="44"/>
      <c r="G369" s="44"/>
      <c r="H369" s="46" t="str">
        <f>IF($AA369="","",INDEX(Fertilisants!$D$8:$D$47,$AA369)&amp;"")</f>
        <v/>
      </c>
      <c r="I369" s="47"/>
      <c r="J369" s="48"/>
      <c r="K369" s="46" t="str">
        <f>IF($AA369="","",INDEX(Fertilisants!$E$8:$E$47,$AA369)&amp;"")</f>
        <v/>
      </c>
      <c r="L369" s="49" t="str">
        <f t="shared" si="70"/>
        <v/>
      </c>
      <c r="M369" s="50" t="str">
        <f>IF(OR($J369="",$AA369=""),"",$J369*N(INDEX(Fertilisants!$G$8:$G$47,$AA369)))</f>
        <v/>
      </c>
      <c r="N369" s="50" t="str">
        <f>IF(OR($J369="",$AA369=""),"",$J369*N(INDEX(Fertilisants!$I$8:$I$47,$AA369)))</f>
        <v/>
      </c>
      <c r="O369" s="50" t="str">
        <f>IF(OR($J369="",$AA369=""),"",$J369*N(INDEX(Fertilisants!$J$8:$J$47,$AA369)))</f>
        <v/>
      </c>
      <c r="P369" s="50" t="str">
        <f>IF(OR($J369="",$AA369=""),"",$J369*N(INDEX(Fertilisants!$K$8:$K$47,$AA369)))</f>
        <v/>
      </c>
      <c r="Q369" s="50" t="str">
        <f t="shared" si="71"/>
        <v/>
      </c>
      <c r="R369" s="44"/>
      <c r="S369" s="44"/>
      <c r="T369" s="51"/>
      <c r="U369" s="44"/>
      <c r="V369" s="43"/>
      <c r="W369" s="52" t="str">
        <f t="shared" si="72"/>
        <v/>
      </c>
      <c r="X369" s="44"/>
      <c r="Z369" s="53" t="str">
        <f>IF($D369="","",IFERROR(MATCH($D369,Îlots!$D$8:$D$57,0),""))</f>
        <v/>
      </c>
      <c r="AA369" s="53" t="str">
        <f>IF($G369="","",IFERROR(MATCH($G369,Fertilisants!$B$8:$B$47,0),""))</f>
        <v/>
      </c>
      <c r="AB369" s="53" t="str">
        <f>IF($Z369="","",INDEX(Îlots!$E$8:$E$57,$Z369))</f>
        <v/>
      </c>
      <c r="AC369" s="53" t="str">
        <f>IF($Z369="","",INDEX(Îlots!$G$8:$G$57,$Z369)&amp;"")</f>
        <v/>
      </c>
      <c r="AD369" s="53" t="str">
        <f>IF($Z369="","",IF($F369=ApportCouvert,OccCouvert,INDEX(Îlots!$O$8:$O$57,$Z369)&amp;""))</f>
        <v/>
      </c>
      <c r="AE369" s="53" t="str">
        <f t="shared" si="73"/>
        <v/>
      </c>
      <c r="AF369" s="53" t="str">
        <f t="shared" si="74"/>
        <v/>
      </c>
      <c r="AG369" s="53" t="str">
        <f t="shared" si="75"/>
        <v/>
      </c>
      <c r="AH369" s="53">
        <f t="shared" si="76"/>
        <v>0</v>
      </c>
      <c r="AI369" s="53">
        <f t="shared" si="77"/>
        <v>0</v>
      </c>
      <c r="AJ369" s="53">
        <f t="shared" si="78"/>
        <v>0</v>
      </c>
      <c r="AK369" s="53">
        <f t="shared" si="79"/>
        <v>0</v>
      </c>
      <c r="AL369" s="53">
        <f t="shared" si="80"/>
        <v>0</v>
      </c>
      <c r="AM369" s="53">
        <f>IF($AA369="",0,IF(INDEX(Fertilisants!$C$8:$C$47,$AA369)="Effluent d'élevage",1,0))</f>
        <v>0</v>
      </c>
      <c r="AN369" s="53" t="str">
        <f>IF($AA369="","",IF(INDEX(Fertilisants!$C$8:$C$47,$AA369)="Engrais minéral","Minéral","Organique"))</f>
        <v/>
      </c>
      <c r="AO369" s="53" t="str">
        <f t="shared" si="81"/>
        <v/>
      </c>
      <c r="AP369" s="53" t="str">
        <f t="shared" si="82"/>
        <v/>
      </c>
      <c r="AQ369" s="53" t="str">
        <f t="shared" si="83"/>
        <v/>
      </c>
      <c r="AR369" s="53" t="str">
        <f>IF(AND($D369&lt;&gt;"",$D369=FicheIlot),COUNTIF($D$8:$D369,FicheIlot),"")</f>
        <v/>
      </c>
    </row>
    <row r="370" spans="2:44" ht="18.95" customHeight="1" x14ac:dyDescent="0.25">
      <c r="B370" s="42" t="str">
        <f>IF(C370="","",COUNT($C$8:C370))</f>
        <v/>
      </c>
      <c r="C370" s="43"/>
      <c r="D370" s="44"/>
      <c r="E370" s="45" t="str">
        <f>IF($Z370="","",IF($F370=ApportCouvert,INDEX(Îlots!$I$8:$I$57,$Z370)&amp;"",INDEX(Îlots!$N$8:$N$57,$Z370)&amp;""))</f>
        <v/>
      </c>
      <c r="F370" s="44"/>
      <c r="G370" s="44"/>
      <c r="H370" s="46" t="str">
        <f>IF($AA370="","",INDEX(Fertilisants!$D$8:$D$47,$AA370)&amp;"")</f>
        <v/>
      </c>
      <c r="I370" s="47"/>
      <c r="J370" s="48"/>
      <c r="K370" s="46" t="str">
        <f>IF($AA370="","",INDEX(Fertilisants!$E$8:$E$47,$AA370)&amp;"")</f>
        <v/>
      </c>
      <c r="L370" s="49" t="str">
        <f t="shared" si="70"/>
        <v/>
      </c>
      <c r="M370" s="50" t="str">
        <f>IF(OR($J370="",$AA370=""),"",$J370*N(INDEX(Fertilisants!$G$8:$G$47,$AA370)))</f>
        <v/>
      </c>
      <c r="N370" s="50" t="str">
        <f>IF(OR($J370="",$AA370=""),"",$J370*N(INDEX(Fertilisants!$I$8:$I$47,$AA370)))</f>
        <v/>
      </c>
      <c r="O370" s="50" t="str">
        <f>IF(OR($J370="",$AA370=""),"",$J370*N(INDEX(Fertilisants!$J$8:$J$47,$AA370)))</f>
        <v/>
      </c>
      <c r="P370" s="50" t="str">
        <f>IF(OR($J370="",$AA370=""),"",$J370*N(INDEX(Fertilisants!$K$8:$K$47,$AA370)))</f>
        <v/>
      </c>
      <c r="Q370" s="50" t="str">
        <f t="shared" si="71"/>
        <v/>
      </c>
      <c r="R370" s="44"/>
      <c r="S370" s="44"/>
      <c r="T370" s="51"/>
      <c r="U370" s="44"/>
      <c r="V370" s="43"/>
      <c r="W370" s="52" t="str">
        <f t="shared" si="72"/>
        <v/>
      </c>
      <c r="X370" s="44"/>
      <c r="Z370" s="53" t="str">
        <f>IF($D370="","",IFERROR(MATCH($D370,Îlots!$D$8:$D$57,0),""))</f>
        <v/>
      </c>
      <c r="AA370" s="53" t="str">
        <f>IF($G370="","",IFERROR(MATCH($G370,Fertilisants!$B$8:$B$47,0),""))</f>
        <v/>
      </c>
      <c r="AB370" s="53" t="str">
        <f>IF($Z370="","",INDEX(Îlots!$E$8:$E$57,$Z370))</f>
        <v/>
      </c>
      <c r="AC370" s="53" t="str">
        <f>IF($Z370="","",INDEX(Îlots!$G$8:$G$57,$Z370)&amp;"")</f>
        <v/>
      </c>
      <c r="AD370" s="53" t="str">
        <f>IF($Z370="","",IF($F370=ApportCouvert,OccCouvert,INDEX(Îlots!$O$8:$O$57,$Z370)&amp;""))</f>
        <v/>
      </c>
      <c r="AE370" s="53" t="str">
        <f t="shared" si="73"/>
        <v/>
      </c>
      <c r="AF370" s="53" t="str">
        <f t="shared" si="74"/>
        <v/>
      </c>
      <c r="AG370" s="53" t="str">
        <f t="shared" si="75"/>
        <v/>
      </c>
      <c r="AH370" s="53">
        <f t="shared" si="76"/>
        <v>0</v>
      </c>
      <c r="AI370" s="53">
        <f t="shared" si="77"/>
        <v>0</v>
      </c>
      <c r="AJ370" s="53">
        <f t="shared" si="78"/>
        <v>0</v>
      </c>
      <c r="AK370" s="53">
        <f t="shared" si="79"/>
        <v>0</v>
      </c>
      <c r="AL370" s="53">
        <f t="shared" si="80"/>
        <v>0</v>
      </c>
      <c r="AM370" s="53">
        <f>IF($AA370="",0,IF(INDEX(Fertilisants!$C$8:$C$47,$AA370)="Effluent d'élevage",1,0))</f>
        <v>0</v>
      </c>
      <c r="AN370" s="53" t="str">
        <f>IF($AA370="","",IF(INDEX(Fertilisants!$C$8:$C$47,$AA370)="Engrais minéral","Minéral","Organique"))</f>
        <v/>
      </c>
      <c r="AO370" s="53" t="str">
        <f t="shared" si="81"/>
        <v/>
      </c>
      <c r="AP370" s="53" t="str">
        <f t="shared" si="82"/>
        <v/>
      </c>
      <c r="AQ370" s="53" t="str">
        <f t="shared" si="83"/>
        <v/>
      </c>
      <c r="AR370" s="53" t="str">
        <f>IF(AND($D370&lt;&gt;"",$D370=FicheIlot),COUNTIF($D$8:$D370,FicheIlot),"")</f>
        <v/>
      </c>
    </row>
    <row r="371" spans="2:44" ht="18.95" customHeight="1" x14ac:dyDescent="0.25">
      <c r="B371" s="42" t="str">
        <f>IF(C371="","",COUNT($C$8:C371))</f>
        <v/>
      </c>
      <c r="C371" s="43"/>
      <c r="D371" s="44"/>
      <c r="E371" s="45" t="str">
        <f>IF($Z371="","",IF($F371=ApportCouvert,INDEX(Îlots!$I$8:$I$57,$Z371)&amp;"",INDEX(Îlots!$N$8:$N$57,$Z371)&amp;""))</f>
        <v/>
      </c>
      <c r="F371" s="44"/>
      <c r="G371" s="44"/>
      <c r="H371" s="46" t="str">
        <f>IF($AA371="","",INDEX(Fertilisants!$D$8:$D$47,$AA371)&amp;"")</f>
        <v/>
      </c>
      <c r="I371" s="47"/>
      <c r="J371" s="48"/>
      <c r="K371" s="46" t="str">
        <f>IF($AA371="","",INDEX(Fertilisants!$E$8:$E$47,$AA371)&amp;"")</f>
        <v/>
      </c>
      <c r="L371" s="49" t="str">
        <f t="shared" si="70"/>
        <v/>
      </c>
      <c r="M371" s="50" t="str">
        <f>IF(OR($J371="",$AA371=""),"",$J371*N(INDEX(Fertilisants!$G$8:$G$47,$AA371)))</f>
        <v/>
      </c>
      <c r="N371" s="50" t="str">
        <f>IF(OR($J371="",$AA371=""),"",$J371*N(INDEX(Fertilisants!$I$8:$I$47,$AA371)))</f>
        <v/>
      </c>
      <c r="O371" s="50" t="str">
        <f>IF(OR($J371="",$AA371=""),"",$J371*N(INDEX(Fertilisants!$J$8:$J$47,$AA371)))</f>
        <v/>
      </c>
      <c r="P371" s="50" t="str">
        <f>IF(OR($J371="",$AA371=""),"",$J371*N(INDEX(Fertilisants!$K$8:$K$47,$AA371)))</f>
        <v/>
      </c>
      <c r="Q371" s="50" t="str">
        <f t="shared" si="71"/>
        <v/>
      </c>
      <c r="R371" s="44"/>
      <c r="S371" s="44"/>
      <c r="T371" s="51"/>
      <c r="U371" s="44"/>
      <c r="V371" s="43"/>
      <c r="W371" s="52" t="str">
        <f t="shared" si="72"/>
        <v/>
      </c>
      <c r="X371" s="44"/>
      <c r="Z371" s="53" t="str">
        <f>IF($D371="","",IFERROR(MATCH($D371,Îlots!$D$8:$D$57,0),""))</f>
        <v/>
      </c>
      <c r="AA371" s="53" t="str">
        <f>IF($G371="","",IFERROR(MATCH($G371,Fertilisants!$B$8:$B$47,0),""))</f>
        <v/>
      </c>
      <c r="AB371" s="53" t="str">
        <f>IF($Z371="","",INDEX(Îlots!$E$8:$E$57,$Z371))</f>
        <v/>
      </c>
      <c r="AC371" s="53" t="str">
        <f>IF($Z371="","",INDEX(Îlots!$G$8:$G$57,$Z371)&amp;"")</f>
        <v/>
      </c>
      <c r="AD371" s="53" t="str">
        <f>IF($Z371="","",IF($F371=ApportCouvert,OccCouvert,INDEX(Îlots!$O$8:$O$57,$Z371)&amp;""))</f>
        <v/>
      </c>
      <c r="AE371" s="53" t="str">
        <f t="shared" si="73"/>
        <v/>
      </c>
      <c r="AF371" s="53" t="str">
        <f t="shared" si="74"/>
        <v/>
      </c>
      <c r="AG371" s="53" t="str">
        <f t="shared" si="75"/>
        <v/>
      </c>
      <c r="AH371" s="53">
        <f t="shared" si="76"/>
        <v>0</v>
      </c>
      <c r="AI371" s="53">
        <f t="shared" si="77"/>
        <v>0</v>
      </c>
      <c r="AJ371" s="53">
        <f t="shared" si="78"/>
        <v>0</v>
      </c>
      <c r="AK371" s="53">
        <f t="shared" si="79"/>
        <v>0</v>
      </c>
      <c r="AL371" s="53">
        <f t="shared" si="80"/>
        <v>0</v>
      </c>
      <c r="AM371" s="53">
        <f>IF($AA371="",0,IF(INDEX(Fertilisants!$C$8:$C$47,$AA371)="Effluent d'élevage",1,0))</f>
        <v>0</v>
      </c>
      <c r="AN371" s="53" t="str">
        <f>IF($AA371="","",IF(INDEX(Fertilisants!$C$8:$C$47,$AA371)="Engrais minéral","Minéral","Organique"))</f>
        <v/>
      </c>
      <c r="AO371" s="53" t="str">
        <f t="shared" si="81"/>
        <v/>
      </c>
      <c r="AP371" s="53" t="str">
        <f t="shared" si="82"/>
        <v/>
      </c>
      <c r="AQ371" s="53" t="str">
        <f t="shared" si="83"/>
        <v/>
      </c>
      <c r="AR371" s="53" t="str">
        <f>IF(AND($D371&lt;&gt;"",$D371=FicheIlot),COUNTIF($D$8:$D371,FicheIlot),"")</f>
        <v/>
      </c>
    </row>
    <row r="372" spans="2:44" ht="18.95" customHeight="1" x14ac:dyDescent="0.25">
      <c r="B372" s="42" t="str">
        <f>IF(C372="","",COUNT($C$8:C372))</f>
        <v/>
      </c>
      <c r="C372" s="43"/>
      <c r="D372" s="44"/>
      <c r="E372" s="45" t="str">
        <f>IF($Z372="","",IF($F372=ApportCouvert,INDEX(Îlots!$I$8:$I$57,$Z372)&amp;"",INDEX(Îlots!$N$8:$N$57,$Z372)&amp;""))</f>
        <v/>
      </c>
      <c r="F372" s="44"/>
      <c r="G372" s="44"/>
      <c r="H372" s="46" t="str">
        <f>IF($AA372="","",INDEX(Fertilisants!$D$8:$D$47,$AA372)&amp;"")</f>
        <v/>
      </c>
      <c r="I372" s="47"/>
      <c r="J372" s="48"/>
      <c r="K372" s="46" t="str">
        <f>IF($AA372="","",INDEX(Fertilisants!$E$8:$E$47,$AA372)&amp;"")</f>
        <v/>
      </c>
      <c r="L372" s="49" t="str">
        <f t="shared" si="70"/>
        <v/>
      </c>
      <c r="M372" s="50" t="str">
        <f>IF(OR($J372="",$AA372=""),"",$J372*N(INDEX(Fertilisants!$G$8:$G$47,$AA372)))</f>
        <v/>
      </c>
      <c r="N372" s="50" t="str">
        <f>IF(OR($J372="",$AA372=""),"",$J372*N(INDEX(Fertilisants!$I$8:$I$47,$AA372)))</f>
        <v/>
      </c>
      <c r="O372" s="50" t="str">
        <f>IF(OR($J372="",$AA372=""),"",$J372*N(INDEX(Fertilisants!$J$8:$J$47,$AA372)))</f>
        <v/>
      </c>
      <c r="P372" s="50" t="str">
        <f>IF(OR($J372="",$AA372=""),"",$J372*N(INDEX(Fertilisants!$K$8:$K$47,$AA372)))</f>
        <v/>
      </c>
      <c r="Q372" s="50" t="str">
        <f t="shared" si="71"/>
        <v/>
      </c>
      <c r="R372" s="44"/>
      <c r="S372" s="44"/>
      <c r="T372" s="51"/>
      <c r="U372" s="44"/>
      <c r="V372" s="43"/>
      <c r="W372" s="52" t="str">
        <f t="shared" si="72"/>
        <v/>
      </c>
      <c r="X372" s="44"/>
      <c r="Z372" s="53" t="str">
        <f>IF($D372="","",IFERROR(MATCH($D372,Îlots!$D$8:$D$57,0),""))</f>
        <v/>
      </c>
      <c r="AA372" s="53" t="str">
        <f>IF($G372="","",IFERROR(MATCH($G372,Fertilisants!$B$8:$B$47,0),""))</f>
        <v/>
      </c>
      <c r="AB372" s="53" t="str">
        <f>IF($Z372="","",INDEX(Îlots!$E$8:$E$57,$Z372))</f>
        <v/>
      </c>
      <c r="AC372" s="53" t="str">
        <f>IF($Z372="","",INDEX(Îlots!$G$8:$G$57,$Z372)&amp;"")</f>
        <v/>
      </c>
      <c r="AD372" s="53" t="str">
        <f>IF($Z372="","",IF($F372=ApportCouvert,OccCouvert,INDEX(Îlots!$O$8:$O$57,$Z372)&amp;""))</f>
        <v/>
      </c>
      <c r="AE372" s="53" t="str">
        <f t="shared" si="73"/>
        <v/>
      </c>
      <c r="AF372" s="53" t="str">
        <f t="shared" si="74"/>
        <v/>
      </c>
      <c r="AG372" s="53" t="str">
        <f t="shared" si="75"/>
        <v/>
      </c>
      <c r="AH372" s="53">
        <f t="shared" si="76"/>
        <v>0</v>
      </c>
      <c r="AI372" s="53">
        <f t="shared" si="77"/>
        <v>0</v>
      </c>
      <c r="AJ372" s="53">
        <f t="shared" si="78"/>
        <v>0</v>
      </c>
      <c r="AK372" s="53">
        <f t="shared" si="79"/>
        <v>0</v>
      </c>
      <c r="AL372" s="53">
        <f t="shared" si="80"/>
        <v>0</v>
      </c>
      <c r="AM372" s="53">
        <f>IF($AA372="",0,IF(INDEX(Fertilisants!$C$8:$C$47,$AA372)="Effluent d'élevage",1,0))</f>
        <v>0</v>
      </c>
      <c r="AN372" s="53" t="str">
        <f>IF($AA372="","",IF(INDEX(Fertilisants!$C$8:$C$47,$AA372)="Engrais minéral","Minéral","Organique"))</f>
        <v/>
      </c>
      <c r="AO372" s="53" t="str">
        <f t="shared" si="81"/>
        <v/>
      </c>
      <c r="AP372" s="53" t="str">
        <f t="shared" si="82"/>
        <v/>
      </c>
      <c r="AQ372" s="53" t="str">
        <f t="shared" si="83"/>
        <v/>
      </c>
      <c r="AR372" s="53" t="str">
        <f>IF(AND($D372&lt;&gt;"",$D372=FicheIlot),COUNTIF($D$8:$D372,FicheIlot),"")</f>
        <v/>
      </c>
    </row>
    <row r="373" spans="2:44" ht="18.95" customHeight="1" x14ac:dyDescent="0.25">
      <c r="B373" s="42" t="str">
        <f>IF(C373="","",COUNT($C$8:C373))</f>
        <v/>
      </c>
      <c r="C373" s="43"/>
      <c r="D373" s="44"/>
      <c r="E373" s="45" t="str">
        <f>IF($Z373="","",IF($F373=ApportCouvert,INDEX(Îlots!$I$8:$I$57,$Z373)&amp;"",INDEX(Îlots!$N$8:$N$57,$Z373)&amp;""))</f>
        <v/>
      </c>
      <c r="F373" s="44"/>
      <c r="G373" s="44"/>
      <c r="H373" s="46" t="str">
        <f>IF($AA373="","",INDEX(Fertilisants!$D$8:$D$47,$AA373)&amp;"")</f>
        <v/>
      </c>
      <c r="I373" s="47"/>
      <c r="J373" s="48"/>
      <c r="K373" s="46" t="str">
        <f>IF($AA373="","",INDEX(Fertilisants!$E$8:$E$47,$AA373)&amp;"")</f>
        <v/>
      </c>
      <c r="L373" s="49" t="str">
        <f t="shared" si="70"/>
        <v/>
      </c>
      <c r="M373" s="50" t="str">
        <f>IF(OR($J373="",$AA373=""),"",$J373*N(INDEX(Fertilisants!$G$8:$G$47,$AA373)))</f>
        <v/>
      </c>
      <c r="N373" s="50" t="str">
        <f>IF(OR($J373="",$AA373=""),"",$J373*N(INDEX(Fertilisants!$I$8:$I$47,$AA373)))</f>
        <v/>
      </c>
      <c r="O373" s="50" t="str">
        <f>IF(OR($J373="",$AA373=""),"",$J373*N(INDEX(Fertilisants!$J$8:$J$47,$AA373)))</f>
        <v/>
      </c>
      <c r="P373" s="50" t="str">
        <f>IF(OR($J373="",$AA373=""),"",$J373*N(INDEX(Fertilisants!$K$8:$K$47,$AA373)))</f>
        <v/>
      </c>
      <c r="Q373" s="50" t="str">
        <f t="shared" si="71"/>
        <v/>
      </c>
      <c r="R373" s="44"/>
      <c r="S373" s="44"/>
      <c r="T373" s="51"/>
      <c r="U373" s="44"/>
      <c r="V373" s="43"/>
      <c r="W373" s="52" t="str">
        <f t="shared" si="72"/>
        <v/>
      </c>
      <c r="X373" s="44"/>
      <c r="Z373" s="53" t="str">
        <f>IF($D373="","",IFERROR(MATCH($D373,Îlots!$D$8:$D$57,0),""))</f>
        <v/>
      </c>
      <c r="AA373" s="53" t="str">
        <f>IF($G373="","",IFERROR(MATCH($G373,Fertilisants!$B$8:$B$47,0),""))</f>
        <v/>
      </c>
      <c r="AB373" s="53" t="str">
        <f>IF($Z373="","",INDEX(Îlots!$E$8:$E$57,$Z373))</f>
        <v/>
      </c>
      <c r="AC373" s="53" t="str">
        <f>IF($Z373="","",INDEX(Îlots!$G$8:$G$57,$Z373)&amp;"")</f>
        <v/>
      </c>
      <c r="AD373" s="53" t="str">
        <f>IF($Z373="","",IF($F373=ApportCouvert,OccCouvert,INDEX(Îlots!$O$8:$O$57,$Z373)&amp;""))</f>
        <v/>
      </c>
      <c r="AE373" s="53" t="str">
        <f t="shared" si="73"/>
        <v/>
      </c>
      <c r="AF373" s="53" t="str">
        <f t="shared" si="74"/>
        <v/>
      </c>
      <c r="AG373" s="53" t="str">
        <f t="shared" si="75"/>
        <v/>
      </c>
      <c r="AH373" s="53">
        <f t="shared" si="76"/>
        <v>0</v>
      </c>
      <c r="AI373" s="53">
        <f t="shared" si="77"/>
        <v>0</v>
      </c>
      <c r="AJ373" s="53">
        <f t="shared" si="78"/>
        <v>0</v>
      </c>
      <c r="AK373" s="53">
        <f t="shared" si="79"/>
        <v>0</v>
      </c>
      <c r="AL373" s="53">
        <f t="shared" si="80"/>
        <v>0</v>
      </c>
      <c r="AM373" s="53">
        <f>IF($AA373="",0,IF(INDEX(Fertilisants!$C$8:$C$47,$AA373)="Effluent d'élevage",1,0))</f>
        <v>0</v>
      </c>
      <c r="AN373" s="53" t="str">
        <f>IF($AA373="","",IF(INDEX(Fertilisants!$C$8:$C$47,$AA373)="Engrais minéral","Minéral","Organique"))</f>
        <v/>
      </c>
      <c r="AO373" s="53" t="str">
        <f t="shared" si="81"/>
        <v/>
      </c>
      <c r="AP373" s="53" t="str">
        <f t="shared" si="82"/>
        <v/>
      </c>
      <c r="AQ373" s="53" t="str">
        <f t="shared" si="83"/>
        <v/>
      </c>
      <c r="AR373" s="53" t="str">
        <f>IF(AND($D373&lt;&gt;"",$D373=FicheIlot),COUNTIF($D$8:$D373,FicheIlot),"")</f>
        <v/>
      </c>
    </row>
    <row r="374" spans="2:44" ht="18.95" customHeight="1" x14ac:dyDescent="0.25">
      <c r="B374" s="42" t="str">
        <f>IF(C374="","",COUNT($C$8:C374))</f>
        <v/>
      </c>
      <c r="C374" s="43"/>
      <c r="D374" s="44"/>
      <c r="E374" s="45" t="str">
        <f>IF($Z374="","",IF($F374=ApportCouvert,INDEX(Îlots!$I$8:$I$57,$Z374)&amp;"",INDEX(Îlots!$N$8:$N$57,$Z374)&amp;""))</f>
        <v/>
      </c>
      <c r="F374" s="44"/>
      <c r="G374" s="44"/>
      <c r="H374" s="46" t="str">
        <f>IF($AA374="","",INDEX(Fertilisants!$D$8:$D$47,$AA374)&amp;"")</f>
        <v/>
      </c>
      <c r="I374" s="47"/>
      <c r="J374" s="48"/>
      <c r="K374" s="46" t="str">
        <f>IF($AA374="","",INDEX(Fertilisants!$E$8:$E$47,$AA374)&amp;"")</f>
        <v/>
      </c>
      <c r="L374" s="49" t="str">
        <f t="shared" si="70"/>
        <v/>
      </c>
      <c r="M374" s="50" t="str">
        <f>IF(OR($J374="",$AA374=""),"",$J374*N(INDEX(Fertilisants!$G$8:$G$47,$AA374)))</f>
        <v/>
      </c>
      <c r="N374" s="50" t="str">
        <f>IF(OR($J374="",$AA374=""),"",$J374*N(INDEX(Fertilisants!$I$8:$I$47,$AA374)))</f>
        <v/>
      </c>
      <c r="O374" s="50" t="str">
        <f>IF(OR($J374="",$AA374=""),"",$J374*N(INDEX(Fertilisants!$J$8:$J$47,$AA374)))</f>
        <v/>
      </c>
      <c r="P374" s="50" t="str">
        <f>IF(OR($J374="",$AA374=""),"",$J374*N(INDEX(Fertilisants!$K$8:$K$47,$AA374)))</f>
        <v/>
      </c>
      <c r="Q374" s="50" t="str">
        <f t="shared" si="71"/>
        <v/>
      </c>
      <c r="R374" s="44"/>
      <c r="S374" s="44"/>
      <c r="T374" s="51"/>
      <c r="U374" s="44"/>
      <c r="V374" s="43"/>
      <c r="W374" s="52" t="str">
        <f t="shared" si="72"/>
        <v/>
      </c>
      <c r="X374" s="44"/>
      <c r="Z374" s="53" t="str">
        <f>IF($D374="","",IFERROR(MATCH($D374,Îlots!$D$8:$D$57,0),""))</f>
        <v/>
      </c>
      <c r="AA374" s="53" t="str">
        <f>IF($G374="","",IFERROR(MATCH($G374,Fertilisants!$B$8:$B$47,0),""))</f>
        <v/>
      </c>
      <c r="AB374" s="53" t="str">
        <f>IF($Z374="","",INDEX(Îlots!$E$8:$E$57,$Z374))</f>
        <v/>
      </c>
      <c r="AC374" s="53" t="str">
        <f>IF($Z374="","",INDEX(Îlots!$G$8:$G$57,$Z374)&amp;"")</f>
        <v/>
      </c>
      <c r="AD374" s="53" t="str">
        <f>IF($Z374="","",IF($F374=ApportCouvert,OccCouvert,INDEX(Îlots!$O$8:$O$57,$Z374)&amp;""))</f>
        <v/>
      </c>
      <c r="AE374" s="53" t="str">
        <f t="shared" si="73"/>
        <v/>
      </c>
      <c r="AF374" s="53" t="str">
        <f t="shared" si="74"/>
        <v/>
      </c>
      <c r="AG374" s="53" t="str">
        <f t="shared" si="75"/>
        <v/>
      </c>
      <c r="AH374" s="53">
        <f t="shared" si="76"/>
        <v>0</v>
      </c>
      <c r="AI374" s="53">
        <f t="shared" si="77"/>
        <v>0</v>
      </c>
      <c r="AJ374" s="53">
        <f t="shared" si="78"/>
        <v>0</v>
      </c>
      <c r="AK374" s="53">
        <f t="shared" si="79"/>
        <v>0</v>
      </c>
      <c r="AL374" s="53">
        <f t="shared" si="80"/>
        <v>0</v>
      </c>
      <c r="AM374" s="53">
        <f>IF($AA374="",0,IF(INDEX(Fertilisants!$C$8:$C$47,$AA374)="Effluent d'élevage",1,0))</f>
        <v>0</v>
      </c>
      <c r="AN374" s="53" t="str">
        <f>IF($AA374="","",IF(INDEX(Fertilisants!$C$8:$C$47,$AA374)="Engrais minéral","Minéral","Organique"))</f>
        <v/>
      </c>
      <c r="AO374" s="53" t="str">
        <f t="shared" si="81"/>
        <v/>
      </c>
      <c r="AP374" s="53" t="str">
        <f t="shared" si="82"/>
        <v/>
      </c>
      <c r="AQ374" s="53" t="str">
        <f t="shared" si="83"/>
        <v/>
      </c>
      <c r="AR374" s="53" t="str">
        <f>IF(AND($D374&lt;&gt;"",$D374=FicheIlot),COUNTIF($D$8:$D374,FicheIlot),"")</f>
        <v/>
      </c>
    </row>
    <row r="375" spans="2:44" ht="18.95" customHeight="1" x14ac:dyDescent="0.25">
      <c r="B375" s="42" t="str">
        <f>IF(C375="","",COUNT($C$8:C375))</f>
        <v/>
      </c>
      <c r="C375" s="43"/>
      <c r="D375" s="44"/>
      <c r="E375" s="45" t="str">
        <f>IF($Z375="","",IF($F375=ApportCouvert,INDEX(Îlots!$I$8:$I$57,$Z375)&amp;"",INDEX(Îlots!$N$8:$N$57,$Z375)&amp;""))</f>
        <v/>
      </c>
      <c r="F375" s="44"/>
      <c r="G375" s="44"/>
      <c r="H375" s="46" t="str">
        <f>IF($AA375="","",INDEX(Fertilisants!$D$8:$D$47,$AA375)&amp;"")</f>
        <v/>
      </c>
      <c r="I375" s="47"/>
      <c r="J375" s="48"/>
      <c r="K375" s="46" t="str">
        <f>IF($AA375="","",INDEX(Fertilisants!$E$8:$E$47,$AA375)&amp;"")</f>
        <v/>
      </c>
      <c r="L375" s="49" t="str">
        <f t="shared" si="70"/>
        <v/>
      </c>
      <c r="M375" s="50" t="str">
        <f>IF(OR($J375="",$AA375=""),"",$J375*N(INDEX(Fertilisants!$G$8:$G$47,$AA375)))</f>
        <v/>
      </c>
      <c r="N375" s="50" t="str">
        <f>IF(OR($J375="",$AA375=""),"",$J375*N(INDEX(Fertilisants!$I$8:$I$47,$AA375)))</f>
        <v/>
      </c>
      <c r="O375" s="50" t="str">
        <f>IF(OR($J375="",$AA375=""),"",$J375*N(INDEX(Fertilisants!$J$8:$J$47,$AA375)))</f>
        <v/>
      </c>
      <c r="P375" s="50" t="str">
        <f>IF(OR($J375="",$AA375=""),"",$J375*N(INDEX(Fertilisants!$K$8:$K$47,$AA375)))</f>
        <v/>
      </c>
      <c r="Q375" s="50" t="str">
        <f t="shared" si="71"/>
        <v/>
      </c>
      <c r="R375" s="44"/>
      <c r="S375" s="44"/>
      <c r="T375" s="51"/>
      <c r="U375" s="44"/>
      <c r="V375" s="43"/>
      <c r="W375" s="52" t="str">
        <f t="shared" si="72"/>
        <v/>
      </c>
      <c r="X375" s="44"/>
      <c r="Z375" s="53" t="str">
        <f>IF($D375="","",IFERROR(MATCH($D375,Îlots!$D$8:$D$57,0),""))</f>
        <v/>
      </c>
      <c r="AA375" s="53" t="str">
        <f>IF($G375="","",IFERROR(MATCH($G375,Fertilisants!$B$8:$B$47,0),""))</f>
        <v/>
      </c>
      <c r="AB375" s="53" t="str">
        <f>IF($Z375="","",INDEX(Îlots!$E$8:$E$57,$Z375))</f>
        <v/>
      </c>
      <c r="AC375" s="53" t="str">
        <f>IF($Z375="","",INDEX(Îlots!$G$8:$G$57,$Z375)&amp;"")</f>
        <v/>
      </c>
      <c r="AD375" s="53" t="str">
        <f>IF($Z375="","",IF($F375=ApportCouvert,OccCouvert,INDEX(Îlots!$O$8:$O$57,$Z375)&amp;""))</f>
        <v/>
      </c>
      <c r="AE375" s="53" t="str">
        <f t="shared" si="73"/>
        <v/>
      </c>
      <c r="AF375" s="53" t="str">
        <f t="shared" si="74"/>
        <v/>
      </c>
      <c r="AG375" s="53" t="str">
        <f t="shared" si="75"/>
        <v/>
      </c>
      <c r="AH375" s="53">
        <f t="shared" si="76"/>
        <v>0</v>
      </c>
      <c r="AI375" s="53">
        <f t="shared" si="77"/>
        <v>0</v>
      </c>
      <c r="AJ375" s="53">
        <f t="shared" si="78"/>
        <v>0</v>
      </c>
      <c r="AK375" s="53">
        <f t="shared" si="79"/>
        <v>0</v>
      </c>
      <c r="AL375" s="53">
        <f t="shared" si="80"/>
        <v>0</v>
      </c>
      <c r="AM375" s="53">
        <f>IF($AA375="",0,IF(INDEX(Fertilisants!$C$8:$C$47,$AA375)="Effluent d'élevage",1,0))</f>
        <v>0</v>
      </c>
      <c r="AN375" s="53" t="str">
        <f>IF($AA375="","",IF(INDEX(Fertilisants!$C$8:$C$47,$AA375)="Engrais minéral","Minéral","Organique"))</f>
        <v/>
      </c>
      <c r="AO375" s="53" t="str">
        <f t="shared" si="81"/>
        <v/>
      </c>
      <c r="AP375" s="53" t="str">
        <f t="shared" si="82"/>
        <v/>
      </c>
      <c r="AQ375" s="53" t="str">
        <f t="shared" si="83"/>
        <v/>
      </c>
      <c r="AR375" s="53" t="str">
        <f>IF(AND($D375&lt;&gt;"",$D375=FicheIlot),COUNTIF($D$8:$D375,FicheIlot),"")</f>
        <v/>
      </c>
    </row>
    <row r="376" spans="2:44" ht="18.95" customHeight="1" x14ac:dyDescent="0.25">
      <c r="B376" s="42" t="str">
        <f>IF(C376="","",COUNT($C$8:C376))</f>
        <v/>
      </c>
      <c r="C376" s="43"/>
      <c r="D376" s="44"/>
      <c r="E376" s="45" t="str">
        <f>IF($Z376="","",IF($F376=ApportCouvert,INDEX(Îlots!$I$8:$I$57,$Z376)&amp;"",INDEX(Îlots!$N$8:$N$57,$Z376)&amp;""))</f>
        <v/>
      </c>
      <c r="F376" s="44"/>
      <c r="G376" s="44"/>
      <c r="H376" s="46" t="str">
        <f>IF($AA376="","",INDEX(Fertilisants!$D$8:$D$47,$AA376)&amp;"")</f>
        <v/>
      </c>
      <c r="I376" s="47"/>
      <c r="J376" s="48"/>
      <c r="K376" s="46" t="str">
        <f>IF($AA376="","",INDEX(Fertilisants!$E$8:$E$47,$AA376)&amp;"")</f>
        <v/>
      </c>
      <c r="L376" s="49" t="str">
        <f t="shared" si="70"/>
        <v/>
      </c>
      <c r="M376" s="50" t="str">
        <f>IF(OR($J376="",$AA376=""),"",$J376*N(INDEX(Fertilisants!$G$8:$G$47,$AA376)))</f>
        <v/>
      </c>
      <c r="N376" s="50" t="str">
        <f>IF(OR($J376="",$AA376=""),"",$J376*N(INDEX(Fertilisants!$I$8:$I$47,$AA376)))</f>
        <v/>
      </c>
      <c r="O376" s="50" t="str">
        <f>IF(OR($J376="",$AA376=""),"",$J376*N(INDEX(Fertilisants!$J$8:$J$47,$AA376)))</f>
        <v/>
      </c>
      <c r="P376" s="50" t="str">
        <f>IF(OR($J376="",$AA376=""),"",$J376*N(INDEX(Fertilisants!$K$8:$K$47,$AA376)))</f>
        <v/>
      </c>
      <c r="Q376" s="50" t="str">
        <f t="shared" si="71"/>
        <v/>
      </c>
      <c r="R376" s="44"/>
      <c r="S376" s="44"/>
      <c r="T376" s="51"/>
      <c r="U376" s="44"/>
      <c r="V376" s="43"/>
      <c r="W376" s="52" t="str">
        <f t="shared" si="72"/>
        <v/>
      </c>
      <c r="X376" s="44"/>
      <c r="Z376" s="53" t="str">
        <f>IF($D376="","",IFERROR(MATCH($D376,Îlots!$D$8:$D$57,0),""))</f>
        <v/>
      </c>
      <c r="AA376" s="53" t="str">
        <f>IF($G376="","",IFERROR(MATCH($G376,Fertilisants!$B$8:$B$47,0),""))</f>
        <v/>
      </c>
      <c r="AB376" s="53" t="str">
        <f>IF($Z376="","",INDEX(Îlots!$E$8:$E$57,$Z376))</f>
        <v/>
      </c>
      <c r="AC376" s="53" t="str">
        <f>IF($Z376="","",INDEX(Îlots!$G$8:$G$57,$Z376)&amp;"")</f>
        <v/>
      </c>
      <c r="AD376" s="53" t="str">
        <f>IF($Z376="","",IF($F376=ApportCouvert,OccCouvert,INDEX(Îlots!$O$8:$O$57,$Z376)&amp;""))</f>
        <v/>
      </c>
      <c r="AE376" s="53" t="str">
        <f t="shared" si="73"/>
        <v/>
      </c>
      <c r="AF376" s="53" t="str">
        <f t="shared" si="74"/>
        <v/>
      </c>
      <c r="AG376" s="53" t="str">
        <f t="shared" si="75"/>
        <v/>
      </c>
      <c r="AH376" s="53">
        <f t="shared" si="76"/>
        <v>0</v>
      </c>
      <c r="AI376" s="53">
        <f t="shared" si="77"/>
        <v>0</v>
      </c>
      <c r="AJ376" s="53">
        <f t="shared" si="78"/>
        <v>0</v>
      </c>
      <c r="AK376" s="53">
        <f t="shared" si="79"/>
        <v>0</v>
      </c>
      <c r="AL376" s="53">
        <f t="shared" si="80"/>
        <v>0</v>
      </c>
      <c r="AM376" s="53">
        <f>IF($AA376="",0,IF(INDEX(Fertilisants!$C$8:$C$47,$AA376)="Effluent d'élevage",1,0))</f>
        <v>0</v>
      </c>
      <c r="AN376" s="53" t="str">
        <f>IF($AA376="","",IF(INDEX(Fertilisants!$C$8:$C$47,$AA376)="Engrais minéral","Minéral","Organique"))</f>
        <v/>
      </c>
      <c r="AO376" s="53" t="str">
        <f t="shared" si="81"/>
        <v/>
      </c>
      <c r="AP376" s="53" t="str">
        <f t="shared" si="82"/>
        <v/>
      </c>
      <c r="AQ376" s="53" t="str">
        <f t="shared" si="83"/>
        <v/>
      </c>
      <c r="AR376" s="53" t="str">
        <f>IF(AND($D376&lt;&gt;"",$D376=FicheIlot),COUNTIF($D$8:$D376,FicheIlot),"")</f>
        <v/>
      </c>
    </row>
    <row r="377" spans="2:44" ht="18.95" customHeight="1" x14ac:dyDescent="0.25">
      <c r="B377" s="42" t="str">
        <f>IF(C377="","",COUNT($C$8:C377))</f>
        <v/>
      </c>
      <c r="C377" s="43"/>
      <c r="D377" s="44"/>
      <c r="E377" s="45" t="str">
        <f>IF($Z377="","",IF($F377=ApportCouvert,INDEX(Îlots!$I$8:$I$57,$Z377)&amp;"",INDEX(Îlots!$N$8:$N$57,$Z377)&amp;""))</f>
        <v/>
      </c>
      <c r="F377" s="44"/>
      <c r="G377" s="44"/>
      <c r="H377" s="46" t="str">
        <f>IF($AA377="","",INDEX(Fertilisants!$D$8:$D$47,$AA377)&amp;"")</f>
        <v/>
      </c>
      <c r="I377" s="47"/>
      <c r="J377" s="48"/>
      <c r="K377" s="46" t="str">
        <f>IF($AA377="","",INDEX(Fertilisants!$E$8:$E$47,$AA377)&amp;"")</f>
        <v/>
      </c>
      <c r="L377" s="49" t="str">
        <f t="shared" si="70"/>
        <v/>
      </c>
      <c r="M377" s="50" t="str">
        <f>IF(OR($J377="",$AA377=""),"",$J377*N(INDEX(Fertilisants!$G$8:$G$47,$AA377)))</f>
        <v/>
      </c>
      <c r="N377" s="50" t="str">
        <f>IF(OR($J377="",$AA377=""),"",$J377*N(INDEX(Fertilisants!$I$8:$I$47,$AA377)))</f>
        <v/>
      </c>
      <c r="O377" s="50" t="str">
        <f>IF(OR($J377="",$AA377=""),"",$J377*N(INDEX(Fertilisants!$J$8:$J$47,$AA377)))</f>
        <v/>
      </c>
      <c r="P377" s="50" t="str">
        <f>IF(OR($J377="",$AA377=""),"",$J377*N(INDEX(Fertilisants!$K$8:$K$47,$AA377)))</f>
        <v/>
      </c>
      <c r="Q377" s="50" t="str">
        <f t="shared" si="71"/>
        <v/>
      </c>
      <c r="R377" s="44"/>
      <c r="S377" s="44"/>
      <c r="T377" s="51"/>
      <c r="U377" s="44"/>
      <c r="V377" s="43"/>
      <c r="W377" s="52" t="str">
        <f t="shared" si="72"/>
        <v/>
      </c>
      <c r="X377" s="44"/>
      <c r="Z377" s="53" t="str">
        <f>IF($D377="","",IFERROR(MATCH($D377,Îlots!$D$8:$D$57,0),""))</f>
        <v/>
      </c>
      <c r="AA377" s="53" t="str">
        <f>IF($G377="","",IFERROR(MATCH($G377,Fertilisants!$B$8:$B$47,0),""))</f>
        <v/>
      </c>
      <c r="AB377" s="53" t="str">
        <f>IF($Z377="","",INDEX(Îlots!$E$8:$E$57,$Z377))</f>
        <v/>
      </c>
      <c r="AC377" s="53" t="str">
        <f>IF($Z377="","",INDEX(Îlots!$G$8:$G$57,$Z377)&amp;"")</f>
        <v/>
      </c>
      <c r="AD377" s="53" t="str">
        <f>IF($Z377="","",IF($F377=ApportCouvert,OccCouvert,INDEX(Îlots!$O$8:$O$57,$Z377)&amp;""))</f>
        <v/>
      </c>
      <c r="AE377" s="53" t="str">
        <f t="shared" si="73"/>
        <v/>
      </c>
      <c r="AF377" s="53" t="str">
        <f t="shared" si="74"/>
        <v/>
      </c>
      <c r="AG377" s="53" t="str">
        <f t="shared" si="75"/>
        <v/>
      </c>
      <c r="AH377" s="53">
        <f t="shared" si="76"/>
        <v>0</v>
      </c>
      <c r="AI377" s="53">
        <f t="shared" si="77"/>
        <v>0</v>
      </c>
      <c r="AJ377" s="53">
        <f t="shared" si="78"/>
        <v>0</v>
      </c>
      <c r="AK377" s="53">
        <f t="shared" si="79"/>
        <v>0</v>
      </c>
      <c r="AL377" s="53">
        <f t="shared" si="80"/>
        <v>0</v>
      </c>
      <c r="AM377" s="53">
        <f>IF($AA377="",0,IF(INDEX(Fertilisants!$C$8:$C$47,$AA377)="Effluent d'élevage",1,0))</f>
        <v>0</v>
      </c>
      <c r="AN377" s="53" t="str">
        <f>IF($AA377="","",IF(INDEX(Fertilisants!$C$8:$C$47,$AA377)="Engrais minéral","Minéral","Organique"))</f>
        <v/>
      </c>
      <c r="AO377" s="53" t="str">
        <f t="shared" si="81"/>
        <v/>
      </c>
      <c r="AP377" s="53" t="str">
        <f t="shared" si="82"/>
        <v/>
      </c>
      <c r="AQ377" s="53" t="str">
        <f t="shared" si="83"/>
        <v/>
      </c>
      <c r="AR377" s="53" t="str">
        <f>IF(AND($D377&lt;&gt;"",$D377=FicheIlot),COUNTIF($D$8:$D377,FicheIlot),"")</f>
        <v/>
      </c>
    </row>
    <row r="378" spans="2:44" ht="18.95" customHeight="1" x14ac:dyDescent="0.25">
      <c r="B378" s="42" t="str">
        <f>IF(C378="","",COUNT($C$8:C378))</f>
        <v/>
      </c>
      <c r="C378" s="43"/>
      <c r="D378" s="44"/>
      <c r="E378" s="45" t="str">
        <f>IF($Z378="","",IF($F378=ApportCouvert,INDEX(Îlots!$I$8:$I$57,$Z378)&amp;"",INDEX(Îlots!$N$8:$N$57,$Z378)&amp;""))</f>
        <v/>
      </c>
      <c r="F378" s="44"/>
      <c r="G378" s="44"/>
      <c r="H378" s="46" t="str">
        <f>IF($AA378="","",INDEX(Fertilisants!$D$8:$D$47,$AA378)&amp;"")</f>
        <v/>
      </c>
      <c r="I378" s="47"/>
      <c r="J378" s="48"/>
      <c r="K378" s="46" t="str">
        <f>IF($AA378="","",INDEX(Fertilisants!$E$8:$E$47,$AA378)&amp;"")</f>
        <v/>
      </c>
      <c r="L378" s="49" t="str">
        <f t="shared" si="70"/>
        <v/>
      </c>
      <c r="M378" s="50" t="str">
        <f>IF(OR($J378="",$AA378=""),"",$J378*N(INDEX(Fertilisants!$G$8:$G$47,$AA378)))</f>
        <v/>
      </c>
      <c r="N378" s="50" t="str">
        <f>IF(OR($J378="",$AA378=""),"",$J378*N(INDEX(Fertilisants!$I$8:$I$47,$AA378)))</f>
        <v/>
      </c>
      <c r="O378" s="50" t="str">
        <f>IF(OR($J378="",$AA378=""),"",$J378*N(INDEX(Fertilisants!$J$8:$J$47,$AA378)))</f>
        <v/>
      </c>
      <c r="P378" s="50" t="str">
        <f>IF(OR($J378="",$AA378=""),"",$J378*N(INDEX(Fertilisants!$K$8:$K$47,$AA378)))</f>
        <v/>
      </c>
      <c r="Q378" s="50" t="str">
        <f t="shared" si="71"/>
        <v/>
      </c>
      <c r="R378" s="44"/>
      <c r="S378" s="44"/>
      <c r="T378" s="51"/>
      <c r="U378" s="44"/>
      <c r="V378" s="43"/>
      <c r="W378" s="52" t="str">
        <f t="shared" si="72"/>
        <v/>
      </c>
      <c r="X378" s="44"/>
      <c r="Z378" s="53" t="str">
        <f>IF($D378="","",IFERROR(MATCH($D378,Îlots!$D$8:$D$57,0),""))</f>
        <v/>
      </c>
      <c r="AA378" s="53" t="str">
        <f>IF($G378="","",IFERROR(MATCH($G378,Fertilisants!$B$8:$B$47,0),""))</f>
        <v/>
      </c>
      <c r="AB378" s="53" t="str">
        <f>IF($Z378="","",INDEX(Îlots!$E$8:$E$57,$Z378))</f>
        <v/>
      </c>
      <c r="AC378" s="53" t="str">
        <f>IF($Z378="","",INDEX(Îlots!$G$8:$G$57,$Z378)&amp;"")</f>
        <v/>
      </c>
      <c r="AD378" s="53" t="str">
        <f>IF($Z378="","",IF($F378=ApportCouvert,OccCouvert,INDEX(Îlots!$O$8:$O$57,$Z378)&amp;""))</f>
        <v/>
      </c>
      <c r="AE378" s="53" t="str">
        <f t="shared" si="73"/>
        <v/>
      </c>
      <c r="AF378" s="53" t="str">
        <f t="shared" si="74"/>
        <v/>
      </c>
      <c r="AG378" s="53" t="str">
        <f t="shared" si="75"/>
        <v/>
      </c>
      <c r="AH378" s="53">
        <f t="shared" si="76"/>
        <v>0</v>
      </c>
      <c r="AI378" s="53">
        <f t="shared" si="77"/>
        <v>0</v>
      </c>
      <c r="AJ378" s="53">
        <f t="shared" si="78"/>
        <v>0</v>
      </c>
      <c r="AK378" s="53">
        <f t="shared" si="79"/>
        <v>0</v>
      </c>
      <c r="AL378" s="53">
        <f t="shared" si="80"/>
        <v>0</v>
      </c>
      <c r="AM378" s="53">
        <f>IF($AA378="",0,IF(INDEX(Fertilisants!$C$8:$C$47,$AA378)="Effluent d'élevage",1,0))</f>
        <v>0</v>
      </c>
      <c r="AN378" s="53" t="str">
        <f>IF($AA378="","",IF(INDEX(Fertilisants!$C$8:$C$47,$AA378)="Engrais minéral","Minéral","Organique"))</f>
        <v/>
      </c>
      <c r="AO378" s="53" t="str">
        <f t="shared" si="81"/>
        <v/>
      </c>
      <c r="AP378" s="53" t="str">
        <f t="shared" si="82"/>
        <v/>
      </c>
      <c r="AQ378" s="53" t="str">
        <f t="shared" si="83"/>
        <v/>
      </c>
      <c r="AR378" s="53" t="str">
        <f>IF(AND($D378&lt;&gt;"",$D378=FicheIlot),COUNTIF($D$8:$D378,FicheIlot),"")</f>
        <v/>
      </c>
    </row>
    <row r="379" spans="2:44" ht="18.95" customHeight="1" x14ac:dyDescent="0.25">
      <c r="B379" s="42" t="str">
        <f>IF(C379="","",COUNT($C$8:C379))</f>
        <v/>
      </c>
      <c r="C379" s="43"/>
      <c r="D379" s="44"/>
      <c r="E379" s="45" t="str">
        <f>IF($Z379="","",IF($F379=ApportCouvert,INDEX(Îlots!$I$8:$I$57,$Z379)&amp;"",INDEX(Îlots!$N$8:$N$57,$Z379)&amp;""))</f>
        <v/>
      </c>
      <c r="F379" s="44"/>
      <c r="G379" s="44"/>
      <c r="H379" s="46" t="str">
        <f>IF($AA379="","",INDEX(Fertilisants!$D$8:$D$47,$AA379)&amp;"")</f>
        <v/>
      </c>
      <c r="I379" s="47"/>
      <c r="J379" s="48"/>
      <c r="K379" s="46" t="str">
        <f>IF($AA379="","",INDEX(Fertilisants!$E$8:$E$47,$AA379)&amp;"")</f>
        <v/>
      </c>
      <c r="L379" s="49" t="str">
        <f t="shared" si="70"/>
        <v/>
      </c>
      <c r="M379" s="50" t="str">
        <f>IF(OR($J379="",$AA379=""),"",$J379*N(INDEX(Fertilisants!$G$8:$G$47,$AA379)))</f>
        <v/>
      </c>
      <c r="N379" s="50" t="str">
        <f>IF(OR($J379="",$AA379=""),"",$J379*N(INDEX(Fertilisants!$I$8:$I$47,$AA379)))</f>
        <v/>
      </c>
      <c r="O379" s="50" t="str">
        <f>IF(OR($J379="",$AA379=""),"",$J379*N(INDEX(Fertilisants!$J$8:$J$47,$AA379)))</f>
        <v/>
      </c>
      <c r="P379" s="50" t="str">
        <f>IF(OR($J379="",$AA379=""),"",$J379*N(INDEX(Fertilisants!$K$8:$K$47,$AA379)))</f>
        <v/>
      </c>
      <c r="Q379" s="50" t="str">
        <f t="shared" si="71"/>
        <v/>
      </c>
      <c r="R379" s="44"/>
      <c r="S379" s="44"/>
      <c r="T379" s="51"/>
      <c r="U379" s="44"/>
      <c r="V379" s="43"/>
      <c r="W379" s="52" t="str">
        <f t="shared" si="72"/>
        <v/>
      </c>
      <c r="X379" s="44"/>
      <c r="Z379" s="53" t="str">
        <f>IF($D379="","",IFERROR(MATCH($D379,Îlots!$D$8:$D$57,0),""))</f>
        <v/>
      </c>
      <c r="AA379" s="53" t="str">
        <f>IF($G379="","",IFERROR(MATCH($G379,Fertilisants!$B$8:$B$47,0),""))</f>
        <v/>
      </c>
      <c r="AB379" s="53" t="str">
        <f>IF($Z379="","",INDEX(Îlots!$E$8:$E$57,$Z379))</f>
        <v/>
      </c>
      <c r="AC379" s="53" t="str">
        <f>IF($Z379="","",INDEX(Îlots!$G$8:$G$57,$Z379)&amp;"")</f>
        <v/>
      </c>
      <c r="AD379" s="53" t="str">
        <f>IF($Z379="","",IF($F379=ApportCouvert,OccCouvert,INDEX(Îlots!$O$8:$O$57,$Z379)&amp;""))</f>
        <v/>
      </c>
      <c r="AE379" s="53" t="str">
        <f t="shared" si="73"/>
        <v/>
      </c>
      <c r="AF379" s="53" t="str">
        <f t="shared" si="74"/>
        <v/>
      </c>
      <c r="AG379" s="53" t="str">
        <f t="shared" si="75"/>
        <v/>
      </c>
      <c r="AH379" s="53">
        <f t="shared" si="76"/>
        <v>0</v>
      </c>
      <c r="AI379" s="53">
        <f t="shared" si="77"/>
        <v>0</v>
      </c>
      <c r="AJ379" s="53">
        <f t="shared" si="78"/>
        <v>0</v>
      </c>
      <c r="AK379" s="53">
        <f t="shared" si="79"/>
        <v>0</v>
      </c>
      <c r="AL379" s="53">
        <f t="shared" si="80"/>
        <v>0</v>
      </c>
      <c r="AM379" s="53">
        <f>IF($AA379="",0,IF(INDEX(Fertilisants!$C$8:$C$47,$AA379)="Effluent d'élevage",1,0))</f>
        <v>0</v>
      </c>
      <c r="AN379" s="53" t="str">
        <f>IF($AA379="","",IF(INDEX(Fertilisants!$C$8:$C$47,$AA379)="Engrais minéral","Minéral","Organique"))</f>
        <v/>
      </c>
      <c r="AO379" s="53" t="str">
        <f t="shared" si="81"/>
        <v/>
      </c>
      <c r="AP379" s="53" t="str">
        <f t="shared" si="82"/>
        <v/>
      </c>
      <c r="AQ379" s="53" t="str">
        <f t="shared" si="83"/>
        <v/>
      </c>
      <c r="AR379" s="53" t="str">
        <f>IF(AND($D379&lt;&gt;"",$D379=FicheIlot),COUNTIF($D$8:$D379,FicheIlot),"")</f>
        <v/>
      </c>
    </row>
    <row r="380" spans="2:44" ht="18.95" customHeight="1" x14ac:dyDescent="0.25">
      <c r="B380" s="42" t="str">
        <f>IF(C380="","",COUNT($C$8:C380))</f>
        <v/>
      </c>
      <c r="C380" s="43"/>
      <c r="D380" s="44"/>
      <c r="E380" s="45" t="str">
        <f>IF($Z380="","",IF($F380=ApportCouvert,INDEX(Îlots!$I$8:$I$57,$Z380)&amp;"",INDEX(Îlots!$N$8:$N$57,$Z380)&amp;""))</f>
        <v/>
      </c>
      <c r="F380" s="44"/>
      <c r="G380" s="44"/>
      <c r="H380" s="46" t="str">
        <f>IF($AA380="","",INDEX(Fertilisants!$D$8:$D$47,$AA380)&amp;"")</f>
        <v/>
      </c>
      <c r="I380" s="47"/>
      <c r="J380" s="48"/>
      <c r="K380" s="46" t="str">
        <f>IF($AA380="","",INDEX(Fertilisants!$E$8:$E$47,$AA380)&amp;"")</f>
        <v/>
      </c>
      <c r="L380" s="49" t="str">
        <f t="shared" si="70"/>
        <v/>
      </c>
      <c r="M380" s="50" t="str">
        <f>IF(OR($J380="",$AA380=""),"",$J380*N(INDEX(Fertilisants!$G$8:$G$47,$AA380)))</f>
        <v/>
      </c>
      <c r="N380" s="50" t="str">
        <f>IF(OR($J380="",$AA380=""),"",$J380*N(INDEX(Fertilisants!$I$8:$I$47,$AA380)))</f>
        <v/>
      </c>
      <c r="O380" s="50" t="str">
        <f>IF(OR($J380="",$AA380=""),"",$J380*N(INDEX(Fertilisants!$J$8:$J$47,$AA380)))</f>
        <v/>
      </c>
      <c r="P380" s="50" t="str">
        <f>IF(OR($J380="",$AA380=""),"",$J380*N(INDEX(Fertilisants!$K$8:$K$47,$AA380)))</f>
        <v/>
      </c>
      <c r="Q380" s="50" t="str">
        <f t="shared" si="71"/>
        <v/>
      </c>
      <c r="R380" s="44"/>
      <c r="S380" s="44"/>
      <c r="T380" s="51"/>
      <c r="U380" s="44"/>
      <c r="V380" s="43"/>
      <c r="W380" s="52" t="str">
        <f t="shared" si="72"/>
        <v/>
      </c>
      <c r="X380" s="44"/>
      <c r="Z380" s="53" t="str">
        <f>IF($D380="","",IFERROR(MATCH($D380,Îlots!$D$8:$D$57,0),""))</f>
        <v/>
      </c>
      <c r="AA380" s="53" t="str">
        <f>IF($G380="","",IFERROR(MATCH($G380,Fertilisants!$B$8:$B$47,0),""))</f>
        <v/>
      </c>
      <c r="AB380" s="53" t="str">
        <f>IF($Z380="","",INDEX(Îlots!$E$8:$E$57,$Z380))</f>
        <v/>
      </c>
      <c r="AC380" s="53" t="str">
        <f>IF($Z380="","",INDEX(Îlots!$G$8:$G$57,$Z380)&amp;"")</f>
        <v/>
      </c>
      <c r="AD380" s="53" t="str">
        <f>IF($Z380="","",IF($F380=ApportCouvert,OccCouvert,INDEX(Îlots!$O$8:$O$57,$Z380)&amp;""))</f>
        <v/>
      </c>
      <c r="AE380" s="53" t="str">
        <f t="shared" si="73"/>
        <v/>
      </c>
      <c r="AF380" s="53" t="str">
        <f t="shared" si="74"/>
        <v/>
      </c>
      <c r="AG380" s="53" t="str">
        <f t="shared" si="75"/>
        <v/>
      </c>
      <c r="AH380" s="53">
        <f t="shared" si="76"/>
        <v>0</v>
      </c>
      <c r="AI380" s="53">
        <f t="shared" si="77"/>
        <v>0</v>
      </c>
      <c r="AJ380" s="53">
        <f t="shared" si="78"/>
        <v>0</v>
      </c>
      <c r="AK380" s="53">
        <f t="shared" si="79"/>
        <v>0</v>
      </c>
      <c r="AL380" s="53">
        <f t="shared" si="80"/>
        <v>0</v>
      </c>
      <c r="AM380" s="53">
        <f>IF($AA380="",0,IF(INDEX(Fertilisants!$C$8:$C$47,$AA380)="Effluent d'élevage",1,0))</f>
        <v>0</v>
      </c>
      <c r="AN380" s="53" t="str">
        <f>IF($AA380="","",IF(INDEX(Fertilisants!$C$8:$C$47,$AA380)="Engrais minéral","Minéral","Organique"))</f>
        <v/>
      </c>
      <c r="AO380" s="53" t="str">
        <f t="shared" si="81"/>
        <v/>
      </c>
      <c r="AP380" s="53" t="str">
        <f t="shared" si="82"/>
        <v/>
      </c>
      <c r="AQ380" s="53" t="str">
        <f t="shared" si="83"/>
        <v/>
      </c>
      <c r="AR380" s="53" t="str">
        <f>IF(AND($D380&lt;&gt;"",$D380=FicheIlot),COUNTIF($D$8:$D380,FicheIlot),"")</f>
        <v/>
      </c>
    </row>
    <row r="381" spans="2:44" ht="18.95" customHeight="1" x14ac:dyDescent="0.25">
      <c r="B381" s="42" t="str">
        <f>IF(C381="","",COUNT($C$8:C381))</f>
        <v/>
      </c>
      <c r="C381" s="43"/>
      <c r="D381" s="44"/>
      <c r="E381" s="45" t="str">
        <f>IF($Z381="","",IF($F381=ApportCouvert,INDEX(Îlots!$I$8:$I$57,$Z381)&amp;"",INDEX(Îlots!$N$8:$N$57,$Z381)&amp;""))</f>
        <v/>
      </c>
      <c r="F381" s="44"/>
      <c r="G381" s="44"/>
      <c r="H381" s="46" t="str">
        <f>IF($AA381="","",INDEX(Fertilisants!$D$8:$D$47,$AA381)&amp;"")</f>
        <v/>
      </c>
      <c r="I381" s="47"/>
      <c r="J381" s="48"/>
      <c r="K381" s="46" t="str">
        <f>IF($AA381="","",INDEX(Fertilisants!$E$8:$E$47,$AA381)&amp;"")</f>
        <v/>
      </c>
      <c r="L381" s="49" t="str">
        <f t="shared" si="70"/>
        <v/>
      </c>
      <c r="M381" s="50" t="str">
        <f>IF(OR($J381="",$AA381=""),"",$J381*N(INDEX(Fertilisants!$G$8:$G$47,$AA381)))</f>
        <v/>
      </c>
      <c r="N381" s="50" t="str">
        <f>IF(OR($J381="",$AA381=""),"",$J381*N(INDEX(Fertilisants!$I$8:$I$47,$AA381)))</f>
        <v/>
      </c>
      <c r="O381" s="50" t="str">
        <f>IF(OR($J381="",$AA381=""),"",$J381*N(INDEX(Fertilisants!$J$8:$J$47,$AA381)))</f>
        <v/>
      </c>
      <c r="P381" s="50" t="str">
        <f>IF(OR($J381="",$AA381=""),"",$J381*N(INDEX(Fertilisants!$K$8:$K$47,$AA381)))</f>
        <v/>
      </c>
      <c r="Q381" s="50" t="str">
        <f t="shared" si="71"/>
        <v/>
      </c>
      <c r="R381" s="44"/>
      <c r="S381" s="44"/>
      <c r="T381" s="51"/>
      <c r="U381" s="44"/>
      <c r="V381" s="43"/>
      <c r="W381" s="52" t="str">
        <f t="shared" si="72"/>
        <v/>
      </c>
      <c r="X381" s="44"/>
      <c r="Z381" s="53" t="str">
        <f>IF($D381="","",IFERROR(MATCH($D381,Îlots!$D$8:$D$57,0),""))</f>
        <v/>
      </c>
      <c r="AA381" s="53" t="str">
        <f>IF($G381="","",IFERROR(MATCH($G381,Fertilisants!$B$8:$B$47,0),""))</f>
        <v/>
      </c>
      <c r="AB381" s="53" t="str">
        <f>IF($Z381="","",INDEX(Îlots!$E$8:$E$57,$Z381))</f>
        <v/>
      </c>
      <c r="AC381" s="53" t="str">
        <f>IF($Z381="","",INDEX(Îlots!$G$8:$G$57,$Z381)&amp;"")</f>
        <v/>
      </c>
      <c r="AD381" s="53" t="str">
        <f>IF($Z381="","",IF($F381=ApportCouvert,OccCouvert,INDEX(Îlots!$O$8:$O$57,$Z381)&amp;""))</f>
        <v/>
      </c>
      <c r="AE381" s="53" t="str">
        <f t="shared" si="73"/>
        <v/>
      </c>
      <c r="AF381" s="53" t="str">
        <f t="shared" si="74"/>
        <v/>
      </c>
      <c r="AG381" s="53" t="str">
        <f t="shared" si="75"/>
        <v/>
      </c>
      <c r="AH381" s="53">
        <f t="shared" si="76"/>
        <v>0</v>
      </c>
      <c r="AI381" s="53">
        <f t="shared" si="77"/>
        <v>0</v>
      </c>
      <c r="AJ381" s="53">
        <f t="shared" si="78"/>
        <v>0</v>
      </c>
      <c r="AK381" s="53">
        <f t="shared" si="79"/>
        <v>0</v>
      </c>
      <c r="AL381" s="53">
        <f t="shared" si="80"/>
        <v>0</v>
      </c>
      <c r="AM381" s="53">
        <f>IF($AA381="",0,IF(INDEX(Fertilisants!$C$8:$C$47,$AA381)="Effluent d'élevage",1,0))</f>
        <v>0</v>
      </c>
      <c r="AN381" s="53" t="str">
        <f>IF($AA381="","",IF(INDEX(Fertilisants!$C$8:$C$47,$AA381)="Engrais minéral","Minéral","Organique"))</f>
        <v/>
      </c>
      <c r="AO381" s="53" t="str">
        <f t="shared" si="81"/>
        <v/>
      </c>
      <c r="AP381" s="53" t="str">
        <f t="shared" si="82"/>
        <v/>
      </c>
      <c r="AQ381" s="53" t="str">
        <f t="shared" si="83"/>
        <v/>
      </c>
      <c r="AR381" s="53" t="str">
        <f>IF(AND($D381&lt;&gt;"",$D381=FicheIlot),COUNTIF($D$8:$D381,FicheIlot),"")</f>
        <v/>
      </c>
    </row>
    <row r="382" spans="2:44" ht="18.95" customHeight="1" x14ac:dyDescent="0.25">
      <c r="B382" s="42" t="str">
        <f>IF(C382="","",COUNT($C$8:C382))</f>
        <v/>
      </c>
      <c r="C382" s="43"/>
      <c r="D382" s="44"/>
      <c r="E382" s="45" t="str">
        <f>IF($Z382="","",IF($F382=ApportCouvert,INDEX(Îlots!$I$8:$I$57,$Z382)&amp;"",INDEX(Îlots!$N$8:$N$57,$Z382)&amp;""))</f>
        <v/>
      </c>
      <c r="F382" s="44"/>
      <c r="G382" s="44"/>
      <c r="H382" s="46" t="str">
        <f>IF($AA382="","",INDEX(Fertilisants!$D$8:$D$47,$AA382)&amp;"")</f>
        <v/>
      </c>
      <c r="I382" s="47"/>
      <c r="J382" s="48"/>
      <c r="K382" s="46" t="str">
        <f>IF($AA382="","",INDEX(Fertilisants!$E$8:$E$47,$AA382)&amp;"")</f>
        <v/>
      </c>
      <c r="L382" s="49" t="str">
        <f t="shared" si="70"/>
        <v/>
      </c>
      <c r="M382" s="50" t="str">
        <f>IF(OR($J382="",$AA382=""),"",$J382*N(INDEX(Fertilisants!$G$8:$G$47,$AA382)))</f>
        <v/>
      </c>
      <c r="N382" s="50" t="str">
        <f>IF(OR($J382="",$AA382=""),"",$J382*N(INDEX(Fertilisants!$I$8:$I$47,$AA382)))</f>
        <v/>
      </c>
      <c r="O382" s="50" t="str">
        <f>IF(OR($J382="",$AA382=""),"",$J382*N(INDEX(Fertilisants!$J$8:$J$47,$AA382)))</f>
        <v/>
      </c>
      <c r="P382" s="50" t="str">
        <f>IF(OR($J382="",$AA382=""),"",$J382*N(INDEX(Fertilisants!$K$8:$K$47,$AA382)))</f>
        <v/>
      </c>
      <c r="Q382" s="50" t="str">
        <f t="shared" si="71"/>
        <v/>
      </c>
      <c r="R382" s="44"/>
      <c r="S382" s="44"/>
      <c r="T382" s="51"/>
      <c r="U382" s="44"/>
      <c r="V382" s="43"/>
      <c r="W382" s="52" t="str">
        <f t="shared" si="72"/>
        <v/>
      </c>
      <c r="X382" s="44"/>
      <c r="Z382" s="53" t="str">
        <f>IF($D382="","",IFERROR(MATCH($D382,Îlots!$D$8:$D$57,0),""))</f>
        <v/>
      </c>
      <c r="AA382" s="53" t="str">
        <f>IF($G382="","",IFERROR(MATCH($G382,Fertilisants!$B$8:$B$47,0),""))</f>
        <v/>
      </c>
      <c r="AB382" s="53" t="str">
        <f>IF($Z382="","",INDEX(Îlots!$E$8:$E$57,$Z382))</f>
        <v/>
      </c>
      <c r="AC382" s="53" t="str">
        <f>IF($Z382="","",INDEX(Îlots!$G$8:$G$57,$Z382)&amp;"")</f>
        <v/>
      </c>
      <c r="AD382" s="53" t="str">
        <f>IF($Z382="","",IF($F382=ApportCouvert,OccCouvert,INDEX(Îlots!$O$8:$O$57,$Z382)&amp;""))</f>
        <v/>
      </c>
      <c r="AE382" s="53" t="str">
        <f t="shared" si="73"/>
        <v/>
      </c>
      <c r="AF382" s="53" t="str">
        <f t="shared" si="74"/>
        <v/>
      </c>
      <c r="AG382" s="53" t="str">
        <f t="shared" si="75"/>
        <v/>
      </c>
      <c r="AH382" s="53">
        <f t="shared" si="76"/>
        <v>0</v>
      </c>
      <c r="AI382" s="53">
        <f t="shared" si="77"/>
        <v>0</v>
      </c>
      <c r="AJ382" s="53">
        <f t="shared" si="78"/>
        <v>0</v>
      </c>
      <c r="AK382" s="53">
        <f t="shared" si="79"/>
        <v>0</v>
      </c>
      <c r="AL382" s="53">
        <f t="shared" si="80"/>
        <v>0</v>
      </c>
      <c r="AM382" s="53">
        <f>IF($AA382="",0,IF(INDEX(Fertilisants!$C$8:$C$47,$AA382)="Effluent d'élevage",1,0))</f>
        <v>0</v>
      </c>
      <c r="AN382" s="53" t="str">
        <f>IF($AA382="","",IF(INDEX(Fertilisants!$C$8:$C$47,$AA382)="Engrais minéral","Minéral","Organique"))</f>
        <v/>
      </c>
      <c r="AO382" s="53" t="str">
        <f t="shared" si="81"/>
        <v/>
      </c>
      <c r="AP382" s="53" t="str">
        <f t="shared" si="82"/>
        <v/>
      </c>
      <c r="AQ382" s="53" t="str">
        <f t="shared" si="83"/>
        <v/>
      </c>
      <c r="AR382" s="53" t="str">
        <f>IF(AND($D382&lt;&gt;"",$D382=FicheIlot),COUNTIF($D$8:$D382,FicheIlot),"")</f>
        <v/>
      </c>
    </row>
    <row r="383" spans="2:44" ht="18.95" customHeight="1" x14ac:dyDescent="0.25">
      <c r="B383" s="42" t="str">
        <f>IF(C383="","",COUNT($C$8:C383))</f>
        <v/>
      </c>
      <c r="C383" s="43"/>
      <c r="D383" s="44"/>
      <c r="E383" s="45" t="str">
        <f>IF($Z383="","",IF($F383=ApportCouvert,INDEX(Îlots!$I$8:$I$57,$Z383)&amp;"",INDEX(Îlots!$N$8:$N$57,$Z383)&amp;""))</f>
        <v/>
      </c>
      <c r="F383" s="44"/>
      <c r="G383" s="44"/>
      <c r="H383" s="46" t="str">
        <f>IF($AA383="","",INDEX(Fertilisants!$D$8:$D$47,$AA383)&amp;"")</f>
        <v/>
      </c>
      <c r="I383" s="47"/>
      <c r="J383" s="48"/>
      <c r="K383" s="46" t="str">
        <f>IF($AA383="","",INDEX(Fertilisants!$E$8:$E$47,$AA383)&amp;"")</f>
        <v/>
      </c>
      <c r="L383" s="49" t="str">
        <f t="shared" si="70"/>
        <v/>
      </c>
      <c r="M383" s="50" t="str">
        <f>IF(OR($J383="",$AA383=""),"",$J383*N(INDEX(Fertilisants!$G$8:$G$47,$AA383)))</f>
        <v/>
      </c>
      <c r="N383" s="50" t="str">
        <f>IF(OR($J383="",$AA383=""),"",$J383*N(INDEX(Fertilisants!$I$8:$I$47,$AA383)))</f>
        <v/>
      </c>
      <c r="O383" s="50" t="str">
        <f>IF(OR($J383="",$AA383=""),"",$J383*N(INDEX(Fertilisants!$J$8:$J$47,$AA383)))</f>
        <v/>
      </c>
      <c r="P383" s="50" t="str">
        <f>IF(OR($J383="",$AA383=""),"",$J383*N(INDEX(Fertilisants!$K$8:$K$47,$AA383)))</f>
        <v/>
      </c>
      <c r="Q383" s="50" t="str">
        <f t="shared" si="71"/>
        <v/>
      </c>
      <c r="R383" s="44"/>
      <c r="S383" s="44"/>
      <c r="T383" s="51"/>
      <c r="U383" s="44"/>
      <c r="V383" s="43"/>
      <c r="W383" s="52" t="str">
        <f t="shared" si="72"/>
        <v/>
      </c>
      <c r="X383" s="44"/>
      <c r="Z383" s="53" t="str">
        <f>IF($D383="","",IFERROR(MATCH($D383,Îlots!$D$8:$D$57,0),""))</f>
        <v/>
      </c>
      <c r="AA383" s="53" t="str">
        <f>IF($G383="","",IFERROR(MATCH($G383,Fertilisants!$B$8:$B$47,0),""))</f>
        <v/>
      </c>
      <c r="AB383" s="53" t="str">
        <f>IF($Z383="","",INDEX(Îlots!$E$8:$E$57,$Z383))</f>
        <v/>
      </c>
      <c r="AC383" s="53" t="str">
        <f>IF($Z383="","",INDEX(Îlots!$G$8:$G$57,$Z383)&amp;"")</f>
        <v/>
      </c>
      <c r="AD383" s="53" t="str">
        <f>IF($Z383="","",IF($F383=ApportCouvert,OccCouvert,INDEX(Îlots!$O$8:$O$57,$Z383)&amp;""))</f>
        <v/>
      </c>
      <c r="AE383" s="53" t="str">
        <f t="shared" si="73"/>
        <v/>
      </c>
      <c r="AF383" s="53" t="str">
        <f t="shared" si="74"/>
        <v/>
      </c>
      <c r="AG383" s="53" t="str">
        <f t="shared" si="75"/>
        <v/>
      </c>
      <c r="AH383" s="53">
        <f t="shared" si="76"/>
        <v>0</v>
      </c>
      <c r="AI383" s="53">
        <f t="shared" si="77"/>
        <v>0</v>
      </c>
      <c r="AJ383" s="53">
        <f t="shared" si="78"/>
        <v>0</v>
      </c>
      <c r="AK383" s="53">
        <f t="shared" si="79"/>
        <v>0</v>
      </c>
      <c r="AL383" s="53">
        <f t="shared" si="80"/>
        <v>0</v>
      </c>
      <c r="AM383" s="53">
        <f>IF($AA383="",0,IF(INDEX(Fertilisants!$C$8:$C$47,$AA383)="Effluent d'élevage",1,0))</f>
        <v>0</v>
      </c>
      <c r="AN383" s="53" t="str">
        <f>IF($AA383="","",IF(INDEX(Fertilisants!$C$8:$C$47,$AA383)="Engrais minéral","Minéral","Organique"))</f>
        <v/>
      </c>
      <c r="AO383" s="53" t="str">
        <f t="shared" si="81"/>
        <v/>
      </c>
      <c r="AP383" s="53" t="str">
        <f t="shared" si="82"/>
        <v/>
      </c>
      <c r="AQ383" s="53" t="str">
        <f t="shared" si="83"/>
        <v/>
      </c>
      <c r="AR383" s="53" t="str">
        <f>IF(AND($D383&lt;&gt;"",$D383=FicheIlot),COUNTIF($D$8:$D383,FicheIlot),"")</f>
        <v/>
      </c>
    </row>
    <row r="384" spans="2:44" ht="18.95" customHeight="1" x14ac:dyDescent="0.25">
      <c r="B384" s="42" t="str">
        <f>IF(C384="","",COUNT($C$8:C384))</f>
        <v/>
      </c>
      <c r="C384" s="43"/>
      <c r="D384" s="44"/>
      <c r="E384" s="45" t="str">
        <f>IF($Z384="","",IF($F384=ApportCouvert,INDEX(Îlots!$I$8:$I$57,$Z384)&amp;"",INDEX(Îlots!$N$8:$N$57,$Z384)&amp;""))</f>
        <v/>
      </c>
      <c r="F384" s="44"/>
      <c r="G384" s="44"/>
      <c r="H384" s="46" t="str">
        <f>IF($AA384="","",INDEX(Fertilisants!$D$8:$D$47,$AA384)&amp;"")</f>
        <v/>
      </c>
      <c r="I384" s="47"/>
      <c r="J384" s="48"/>
      <c r="K384" s="46" t="str">
        <f>IF($AA384="","",INDEX(Fertilisants!$E$8:$E$47,$AA384)&amp;"")</f>
        <v/>
      </c>
      <c r="L384" s="49" t="str">
        <f t="shared" si="70"/>
        <v/>
      </c>
      <c r="M384" s="50" t="str">
        <f>IF(OR($J384="",$AA384=""),"",$J384*N(INDEX(Fertilisants!$G$8:$G$47,$AA384)))</f>
        <v/>
      </c>
      <c r="N384" s="50" t="str">
        <f>IF(OR($J384="",$AA384=""),"",$J384*N(INDEX(Fertilisants!$I$8:$I$47,$AA384)))</f>
        <v/>
      </c>
      <c r="O384" s="50" t="str">
        <f>IF(OR($J384="",$AA384=""),"",$J384*N(INDEX(Fertilisants!$J$8:$J$47,$AA384)))</f>
        <v/>
      </c>
      <c r="P384" s="50" t="str">
        <f>IF(OR($J384="",$AA384=""),"",$J384*N(INDEX(Fertilisants!$K$8:$K$47,$AA384)))</f>
        <v/>
      </c>
      <c r="Q384" s="50" t="str">
        <f t="shared" si="71"/>
        <v/>
      </c>
      <c r="R384" s="44"/>
      <c r="S384" s="44"/>
      <c r="T384" s="51"/>
      <c r="U384" s="44"/>
      <c r="V384" s="43"/>
      <c r="W384" s="52" t="str">
        <f t="shared" si="72"/>
        <v/>
      </c>
      <c r="X384" s="44"/>
      <c r="Z384" s="53" t="str">
        <f>IF($D384="","",IFERROR(MATCH($D384,Îlots!$D$8:$D$57,0),""))</f>
        <v/>
      </c>
      <c r="AA384" s="53" t="str">
        <f>IF($G384="","",IFERROR(MATCH($G384,Fertilisants!$B$8:$B$47,0),""))</f>
        <v/>
      </c>
      <c r="AB384" s="53" t="str">
        <f>IF($Z384="","",INDEX(Îlots!$E$8:$E$57,$Z384))</f>
        <v/>
      </c>
      <c r="AC384" s="53" t="str">
        <f>IF($Z384="","",INDEX(Îlots!$G$8:$G$57,$Z384)&amp;"")</f>
        <v/>
      </c>
      <c r="AD384" s="53" t="str">
        <f>IF($Z384="","",IF($F384=ApportCouvert,OccCouvert,INDEX(Îlots!$O$8:$O$57,$Z384)&amp;""))</f>
        <v/>
      </c>
      <c r="AE384" s="53" t="str">
        <f t="shared" si="73"/>
        <v/>
      </c>
      <c r="AF384" s="53" t="str">
        <f t="shared" si="74"/>
        <v/>
      </c>
      <c r="AG384" s="53" t="str">
        <f t="shared" si="75"/>
        <v/>
      </c>
      <c r="AH384" s="53">
        <f t="shared" si="76"/>
        <v>0</v>
      </c>
      <c r="AI384" s="53">
        <f t="shared" si="77"/>
        <v>0</v>
      </c>
      <c r="AJ384" s="53">
        <f t="shared" si="78"/>
        <v>0</v>
      </c>
      <c r="AK384" s="53">
        <f t="shared" si="79"/>
        <v>0</v>
      </c>
      <c r="AL384" s="53">
        <f t="shared" si="80"/>
        <v>0</v>
      </c>
      <c r="AM384" s="53">
        <f>IF($AA384="",0,IF(INDEX(Fertilisants!$C$8:$C$47,$AA384)="Effluent d'élevage",1,0))</f>
        <v>0</v>
      </c>
      <c r="AN384" s="53" t="str">
        <f>IF($AA384="","",IF(INDEX(Fertilisants!$C$8:$C$47,$AA384)="Engrais minéral","Minéral","Organique"))</f>
        <v/>
      </c>
      <c r="AO384" s="53" t="str">
        <f t="shared" si="81"/>
        <v/>
      </c>
      <c r="AP384" s="53" t="str">
        <f t="shared" si="82"/>
        <v/>
      </c>
      <c r="AQ384" s="53" t="str">
        <f t="shared" si="83"/>
        <v/>
      </c>
      <c r="AR384" s="53" t="str">
        <f>IF(AND($D384&lt;&gt;"",$D384=FicheIlot),COUNTIF($D$8:$D384,FicheIlot),"")</f>
        <v/>
      </c>
    </row>
    <row r="385" spans="2:44" ht="18.95" customHeight="1" x14ac:dyDescent="0.25">
      <c r="B385" s="42" t="str">
        <f>IF(C385="","",COUNT($C$8:C385))</f>
        <v/>
      </c>
      <c r="C385" s="43"/>
      <c r="D385" s="44"/>
      <c r="E385" s="45" t="str">
        <f>IF($Z385="","",IF($F385=ApportCouvert,INDEX(Îlots!$I$8:$I$57,$Z385)&amp;"",INDEX(Îlots!$N$8:$N$57,$Z385)&amp;""))</f>
        <v/>
      </c>
      <c r="F385" s="44"/>
      <c r="G385" s="44"/>
      <c r="H385" s="46" t="str">
        <f>IF($AA385="","",INDEX(Fertilisants!$D$8:$D$47,$AA385)&amp;"")</f>
        <v/>
      </c>
      <c r="I385" s="47"/>
      <c r="J385" s="48"/>
      <c r="K385" s="46" t="str">
        <f>IF($AA385="","",INDEX(Fertilisants!$E$8:$E$47,$AA385)&amp;"")</f>
        <v/>
      </c>
      <c r="L385" s="49" t="str">
        <f t="shared" si="70"/>
        <v/>
      </c>
      <c r="M385" s="50" t="str">
        <f>IF(OR($J385="",$AA385=""),"",$J385*N(INDEX(Fertilisants!$G$8:$G$47,$AA385)))</f>
        <v/>
      </c>
      <c r="N385" s="50" t="str">
        <f>IF(OR($J385="",$AA385=""),"",$J385*N(INDEX(Fertilisants!$I$8:$I$47,$AA385)))</f>
        <v/>
      </c>
      <c r="O385" s="50" t="str">
        <f>IF(OR($J385="",$AA385=""),"",$J385*N(INDEX(Fertilisants!$J$8:$J$47,$AA385)))</f>
        <v/>
      </c>
      <c r="P385" s="50" t="str">
        <f>IF(OR($J385="",$AA385=""),"",$J385*N(INDEX(Fertilisants!$K$8:$K$47,$AA385)))</f>
        <v/>
      </c>
      <c r="Q385" s="50" t="str">
        <f t="shared" si="71"/>
        <v/>
      </c>
      <c r="R385" s="44"/>
      <c r="S385" s="44"/>
      <c r="T385" s="51"/>
      <c r="U385" s="44"/>
      <c r="V385" s="43"/>
      <c r="W385" s="52" t="str">
        <f t="shared" si="72"/>
        <v/>
      </c>
      <c r="X385" s="44"/>
      <c r="Z385" s="53" t="str">
        <f>IF($D385="","",IFERROR(MATCH($D385,Îlots!$D$8:$D$57,0),""))</f>
        <v/>
      </c>
      <c r="AA385" s="53" t="str">
        <f>IF($G385="","",IFERROR(MATCH($G385,Fertilisants!$B$8:$B$47,0),""))</f>
        <v/>
      </c>
      <c r="AB385" s="53" t="str">
        <f>IF($Z385="","",INDEX(Îlots!$E$8:$E$57,$Z385))</f>
        <v/>
      </c>
      <c r="AC385" s="53" t="str">
        <f>IF($Z385="","",INDEX(Îlots!$G$8:$G$57,$Z385)&amp;"")</f>
        <v/>
      </c>
      <c r="AD385" s="53" t="str">
        <f>IF($Z385="","",IF($F385=ApportCouvert,OccCouvert,INDEX(Îlots!$O$8:$O$57,$Z385)&amp;""))</f>
        <v/>
      </c>
      <c r="AE385" s="53" t="str">
        <f t="shared" si="73"/>
        <v/>
      </c>
      <c r="AF385" s="53" t="str">
        <f t="shared" si="74"/>
        <v/>
      </c>
      <c r="AG385" s="53" t="str">
        <f t="shared" si="75"/>
        <v/>
      </c>
      <c r="AH385" s="53">
        <f t="shared" si="76"/>
        <v>0</v>
      </c>
      <c r="AI385" s="53">
        <f t="shared" si="77"/>
        <v>0</v>
      </c>
      <c r="AJ385" s="53">
        <f t="shared" si="78"/>
        <v>0</v>
      </c>
      <c r="AK385" s="53">
        <f t="shared" si="79"/>
        <v>0</v>
      </c>
      <c r="AL385" s="53">
        <f t="shared" si="80"/>
        <v>0</v>
      </c>
      <c r="AM385" s="53">
        <f>IF($AA385="",0,IF(INDEX(Fertilisants!$C$8:$C$47,$AA385)="Effluent d'élevage",1,0))</f>
        <v>0</v>
      </c>
      <c r="AN385" s="53" t="str">
        <f>IF($AA385="","",IF(INDEX(Fertilisants!$C$8:$C$47,$AA385)="Engrais minéral","Minéral","Organique"))</f>
        <v/>
      </c>
      <c r="AO385" s="53" t="str">
        <f t="shared" si="81"/>
        <v/>
      </c>
      <c r="AP385" s="53" t="str">
        <f t="shared" si="82"/>
        <v/>
      </c>
      <c r="AQ385" s="53" t="str">
        <f t="shared" si="83"/>
        <v/>
      </c>
      <c r="AR385" s="53" t="str">
        <f>IF(AND($D385&lt;&gt;"",$D385=FicheIlot),COUNTIF($D$8:$D385,FicheIlot),"")</f>
        <v/>
      </c>
    </row>
    <row r="386" spans="2:44" ht="18.95" customHeight="1" x14ac:dyDescent="0.25">
      <c r="B386" s="42" t="str">
        <f>IF(C386="","",COUNT($C$8:C386))</f>
        <v/>
      </c>
      <c r="C386" s="43"/>
      <c r="D386" s="44"/>
      <c r="E386" s="45" t="str">
        <f>IF($Z386="","",IF($F386=ApportCouvert,INDEX(Îlots!$I$8:$I$57,$Z386)&amp;"",INDEX(Îlots!$N$8:$N$57,$Z386)&amp;""))</f>
        <v/>
      </c>
      <c r="F386" s="44"/>
      <c r="G386" s="44"/>
      <c r="H386" s="46" t="str">
        <f>IF($AA386="","",INDEX(Fertilisants!$D$8:$D$47,$AA386)&amp;"")</f>
        <v/>
      </c>
      <c r="I386" s="47"/>
      <c r="J386" s="48"/>
      <c r="K386" s="46" t="str">
        <f>IF($AA386="","",INDEX(Fertilisants!$E$8:$E$47,$AA386)&amp;"")</f>
        <v/>
      </c>
      <c r="L386" s="49" t="str">
        <f t="shared" si="70"/>
        <v/>
      </c>
      <c r="M386" s="50" t="str">
        <f>IF(OR($J386="",$AA386=""),"",$J386*N(INDEX(Fertilisants!$G$8:$G$47,$AA386)))</f>
        <v/>
      </c>
      <c r="N386" s="50" t="str">
        <f>IF(OR($J386="",$AA386=""),"",$J386*N(INDEX(Fertilisants!$I$8:$I$47,$AA386)))</f>
        <v/>
      </c>
      <c r="O386" s="50" t="str">
        <f>IF(OR($J386="",$AA386=""),"",$J386*N(INDEX(Fertilisants!$J$8:$J$47,$AA386)))</f>
        <v/>
      </c>
      <c r="P386" s="50" t="str">
        <f>IF(OR($J386="",$AA386=""),"",$J386*N(INDEX(Fertilisants!$K$8:$K$47,$AA386)))</f>
        <v/>
      </c>
      <c r="Q386" s="50" t="str">
        <f t="shared" si="71"/>
        <v/>
      </c>
      <c r="R386" s="44"/>
      <c r="S386" s="44"/>
      <c r="T386" s="51"/>
      <c r="U386" s="44"/>
      <c r="V386" s="43"/>
      <c r="W386" s="52" t="str">
        <f t="shared" si="72"/>
        <v/>
      </c>
      <c r="X386" s="44"/>
      <c r="Z386" s="53" t="str">
        <f>IF($D386="","",IFERROR(MATCH($D386,Îlots!$D$8:$D$57,0),""))</f>
        <v/>
      </c>
      <c r="AA386" s="53" t="str">
        <f>IF($G386="","",IFERROR(MATCH($G386,Fertilisants!$B$8:$B$47,0),""))</f>
        <v/>
      </c>
      <c r="AB386" s="53" t="str">
        <f>IF($Z386="","",INDEX(Îlots!$E$8:$E$57,$Z386))</f>
        <v/>
      </c>
      <c r="AC386" s="53" t="str">
        <f>IF($Z386="","",INDEX(Îlots!$G$8:$G$57,$Z386)&amp;"")</f>
        <v/>
      </c>
      <c r="AD386" s="53" t="str">
        <f>IF($Z386="","",IF($F386=ApportCouvert,OccCouvert,INDEX(Îlots!$O$8:$O$57,$Z386)&amp;""))</f>
        <v/>
      </c>
      <c r="AE386" s="53" t="str">
        <f t="shared" si="73"/>
        <v/>
      </c>
      <c r="AF386" s="53" t="str">
        <f t="shared" si="74"/>
        <v/>
      </c>
      <c r="AG386" s="53" t="str">
        <f t="shared" si="75"/>
        <v/>
      </c>
      <c r="AH386" s="53">
        <f t="shared" si="76"/>
        <v>0</v>
      </c>
      <c r="AI386" s="53">
        <f t="shared" si="77"/>
        <v>0</v>
      </c>
      <c r="AJ386" s="53">
        <f t="shared" si="78"/>
        <v>0</v>
      </c>
      <c r="AK386" s="53">
        <f t="shared" si="79"/>
        <v>0</v>
      </c>
      <c r="AL386" s="53">
        <f t="shared" si="80"/>
        <v>0</v>
      </c>
      <c r="AM386" s="53">
        <f>IF($AA386="",0,IF(INDEX(Fertilisants!$C$8:$C$47,$AA386)="Effluent d'élevage",1,0))</f>
        <v>0</v>
      </c>
      <c r="AN386" s="53" t="str">
        <f>IF($AA386="","",IF(INDEX(Fertilisants!$C$8:$C$47,$AA386)="Engrais minéral","Minéral","Organique"))</f>
        <v/>
      </c>
      <c r="AO386" s="53" t="str">
        <f t="shared" si="81"/>
        <v/>
      </c>
      <c r="AP386" s="53" t="str">
        <f t="shared" si="82"/>
        <v/>
      </c>
      <c r="AQ386" s="53" t="str">
        <f t="shared" si="83"/>
        <v/>
      </c>
      <c r="AR386" s="53" t="str">
        <f>IF(AND($D386&lt;&gt;"",$D386=FicheIlot),COUNTIF($D$8:$D386,FicheIlot),"")</f>
        <v/>
      </c>
    </row>
    <row r="387" spans="2:44" ht="18.95" customHeight="1" x14ac:dyDescent="0.25">
      <c r="B387" s="42" t="str">
        <f>IF(C387="","",COUNT($C$8:C387))</f>
        <v/>
      </c>
      <c r="C387" s="43"/>
      <c r="D387" s="44"/>
      <c r="E387" s="45" t="str">
        <f>IF($Z387="","",IF($F387=ApportCouvert,INDEX(Îlots!$I$8:$I$57,$Z387)&amp;"",INDEX(Îlots!$N$8:$N$57,$Z387)&amp;""))</f>
        <v/>
      </c>
      <c r="F387" s="44"/>
      <c r="G387" s="44"/>
      <c r="H387" s="46" t="str">
        <f>IF($AA387="","",INDEX(Fertilisants!$D$8:$D$47,$AA387)&amp;"")</f>
        <v/>
      </c>
      <c r="I387" s="47"/>
      <c r="J387" s="48"/>
      <c r="K387" s="46" t="str">
        <f>IF($AA387="","",INDEX(Fertilisants!$E$8:$E$47,$AA387)&amp;"")</f>
        <v/>
      </c>
      <c r="L387" s="49" t="str">
        <f t="shared" si="70"/>
        <v/>
      </c>
      <c r="M387" s="50" t="str">
        <f>IF(OR($J387="",$AA387=""),"",$J387*N(INDEX(Fertilisants!$G$8:$G$47,$AA387)))</f>
        <v/>
      </c>
      <c r="N387" s="50" t="str">
        <f>IF(OR($J387="",$AA387=""),"",$J387*N(INDEX(Fertilisants!$I$8:$I$47,$AA387)))</f>
        <v/>
      </c>
      <c r="O387" s="50" t="str">
        <f>IF(OR($J387="",$AA387=""),"",$J387*N(INDEX(Fertilisants!$J$8:$J$47,$AA387)))</f>
        <v/>
      </c>
      <c r="P387" s="50" t="str">
        <f>IF(OR($J387="",$AA387=""),"",$J387*N(INDEX(Fertilisants!$K$8:$K$47,$AA387)))</f>
        <v/>
      </c>
      <c r="Q387" s="50" t="str">
        <f t="shared" si="71"/>
        <v/>
      </c>
      <c r="R387" s="44"/>
      <c r="S387" s="44"/>
      <c r="T387" s="51"/>
      <c r="U387" s="44"/>
      <c r="V387" s="43"/>
      <c r="W387" s="52" t="str">
        <f t="shared" si="72"/>
        <v/>
      </c>
      <c r="X387" s="44"/>
      <c r="Z387" s="53" t="str">
        <f>IF($D387="","",IFERROR(MATCH($D387,Îlots!$D$8:$D$57,0),""))</f>
        <v/>
      </c>
      <c r="AA387" s="53" t="str">
        <f>IF($G387="","",IFERROR(MATCH($G387,Fertilisants!$B$8:$B$47,0),""))</f>
        <v/>
      </c>
      <c r="AB387" s="53" t="str">
        <f>IF($Z387="","",INDEX(Îlots!$E$8:$E$57,$Z387))</f>
        <v/>
      </c>
      <c r="AC387" s="53" t="str">
        <f>IF($Z387="","",INDEX(Îlots!$G$8:$G$57,$Z387)&amp;"")</f>
        <v/>
      </c>
      <c r="AD387" s="53" t="str">
        <f>IF($Z387="","",IF($F387=ApportCouvert,OccCouvert,INDEX(Îlots!$O$8:$O$57,$Z387)&amp;""))</f>
        <v/>
      </c>
      <c r="AE387" s="53" t="str">
        <f t="shared" si="73"/>
        <v/>
      </c>
      <c r="AF387" s="53" t="str">
        <f t="shared" si="74"/>
        <v/>
      </c>
      <c r="AG387" s="53" t="str">
        <f t="shared" si="75"/>
        <v/>
      </c>
      <c r="AH387" s="53">
        <f t="shared" si="76"/>
        <v>0</v>
      </c>
      <c r="AI387" s="53">
        <f t="shared" si="77"/>
        <v>0</v>
      </c>
      <c r="AJ387" s="53">
        <f t="shared" si="78"/>
        <v>0</v>
      </c>
      <c r="AK387" s="53">
        <f t="shared" si="79"/>
        <v>0</v>
      </c>
      <c r="AL387" s="53">
        <f t="shared" si="80"/>
        <v>0</v>
      </c>
      <c r="AM387" s="53">
        <f>IF($AA387="",0,IF(INDEX(Fertilisants!$C$8:$C$47,$AA387)="Effluent d'élevage",1,0))</f>
        <v>0</v>
      </c>
      <c r="AN387" s="53" t="str">
        <f>IF($AA387="","",IF(INDEX(Fertilisants!$C$8:$C$47,$AA387)="Engrais minéral","Minéral","Organique"))</f>
        <v/>
      </c>
      <c r="AO387" s="53" t="str">
        <f t="shared" si="81"/>
        <v/>
      </c>
      <c r="AP387" s="53" t="str">
        <f t="shared" si="82"/>
        <v/>
      </c>
      <c r="AQ387" s="53" t="str">
        <f t="shared" si="83"/>
        <v/>
      </c>
      <c r="AR387" s="53" t="str">
        <f>IF(AND($D387&lt;&gt;"",$D387=FicheIlot),COUNTIF($D$8:$D387,FicheIlot),"")</f>
        <v/>
      </c>
    </row>
    <row r="388" spans="2:44" ht="18.95" customHeight="1" x14ac:dyDescent="0.25">
      <c r="B388" s="42" t="str">
        <f>IF(C388="","",COUNT($C$8:C388))</f>
        <v/>
      </c>
      <c r="C388" s="43"/>
      <c r="D388" s="44"/>
      <c r="E388" s="45" t="str">
        <f>IF($Z388="","",IF($F388=ApportCouvert,INDEX(Îlots!$I$8:$I$57,$Z388)&amp;"",INDEX(Îlots!$N$8:$N$57,$Z388)&amp;""))</f>
        <v/>
      </c>
      <c r="F388" s="44"/>
      <c r="G388" s="44"/>
      <c r="H388" s="46" t="str">
        <f>IF($AA388="","",INDEX(Fertilisants!$D$8:$D$47,$AA388)&amp;"")</f>
        <v/>
      </c>
      <c r="I388" s="47"/>
      <c r="J388" s="48"/>
      <c r="K388" s="46" t="str">
        <f>IF($AA388="","",INDEX(Fertilisants!$E$8:$E$47,$AA388)&amp;"")</f>
        <v/>
      </c>
      <c r="L388" s="49" t="str">
        <f t="shared" si="70"/>
        <v/>
      </c>
      <c r="M388" s="50" t="str">
        <f>IF(OR($J388="",$AA388=""),"",$J388*N(INDEX(Fertilisants!$G$8:$G$47,$AA388)))</f>
        <v/>
      </c>
      <c r="N388" s="50" t="str">
        <f>IF(OR($J388="",$AA388=""),"",$J388*N(INDEX(Fertilisants!$I$8:$I$47,$AA388)))</f>
        <v/>
      </c>
      <c r="O388" s="50" t="str">
        <f>IF(OR($J388="",$AA388=""),"",$J388*N(INDEX(Fertilisants!$J$8:$J$47,$AA388)))</f>
        <v/>
      </c>
      <c r="P388" s="50" t="str">
        <f>IF(OR($J388="",$AA388=""),"",$J388*N(INDEX(Fertilisants!$K$8:$K$47,$AA388)))</f>
        <v/>
      </c>
      <c r="Q388" s="50" t="str">
        <f t="shared" si="71"/>
        <v/>
      </c>
      <c r="R388" s="44"/>
      <c r="S388" s="44"/>
      <c r="T388" s="51"/>
      <c r="U388" s="44"/>
      <c r="V388" s="43"/>
      <c r="W388" s="52" t="str">
        <f t="shared" si="72"/>
        <v/>
      </c>
      <c r="X388" s="44"/>
      <c r="Z388" s="53" t="str">
        <f>IF($D388="","",IFERROR(MATCH($D388,Îlots!$D$8:$D$57,0),""))</f>
        <v/>
      </c>
      <c r="AA388" s="53" t="str">
        <f>IF($G388="","",IFERROR(MATCH($G388,Fertilisants!$B$8:$B$47,0),""))</f>
        <v/>
      </c>
      <c r="AB388" s="53" t="str">
        <f>IF($Z388="","",INDEX(Îlots!$E$8:$E$57,$Z388))</f>
        <v/>
      </c>
      <c r="AC388" s="53" t="str">
        <f>IF($Z388="","",INDEX(Îlots!$G$8:$G$57,$Z388)&amp;"")</f>
        <v/>
      </c>
      <c r="AD388" s="53" t="str">
        <f>IF($Z388="","",IF($F388=ApportCouvert,OccCouvert,INDEX(Îlots!$O$8:$O$57,$Z388)&amp;""))</f>
        <v/>
      </c>
      <c r="AE388" s="53" t="str">
        <f t="shared" si="73"/>
        <v/>
      </c>
      <c r="AF388" s="53" t="str">
        <f t="shared" si="74"/>
        <v/>
      </c>
      <c r="AG388" s="53" t="str">
        <f t="shared" si="75"/>
        <v/>
      </c>
      <c r="AH388" s="53">
        <f t="shared" si="76"/>
        <v>0</v>
      </c>
      <c r="AI388" s="53">
        <f t="shared" si="77"/>
        <v>0</v>
      </c>
      <c r="AJ388" s="53">
        <f t="shared" si="78"/>
        <v>0</v>
      </c>
      <c r="AK388" s="53">
        <f t="shared" si="79"/>
        <v>0</v>
      </c>
      <c r="AL388" s="53">
        <f t="shared" si="80"/>
        <v>0</v>
      </c>
      <c r="AM388" s="53">
        <f>IF($AA388="",0,IF(INDEX(Fertilisants!$C$8:$C$47,$AA388)="Effluent d'élevage",1,0))</f>
        <v>0</v>
      </c>
      <c r="AN388" s="53" t="str">
        <f>IF($AA388="","",IF(INDEX(Fertilisants!$C$8:$C$47,$AA388)="Engrais minéral","Minéral","Organique"))</f>
        <v/>
      </c>
      <c r="AO388" s="53" t="str">
        <f t="shared" si="81"/>
        <v/>
      </c>
      <c r="AP388" s="53" t="str">
        <f t="shared" si="82"/>
        <v/>
      </c>
      <c r="AQ388" s="53" t="str">
        <f t="shared" si="83"/>
        <v/>
      </c>
      <c r="AR388" s="53" t="str">
        <f>IF(AND($D388&lt;&gt;"",$D388=FicheIlot),COUNTIF($D$8:$D388,FicheIlot),"")</f>
        <v/>
      </c>
    </row>
    <row r="389" spans="2:44" ht="18.95" customHeight="1" x14ac:dyDescent="0.25">
      <c r="B389" s="42" t="str">
        <f>IF(C389="","",COUNT($C$8:C389))</f>
        <v/>
      </c>
      <c r="C389" s="43"/>
      <c r="D389" s="44"/>
      <c r="E389" s="45" t="str">
        <f>IF($Z389="","",IF($F389=ApportCouvert,INDEX(Îlots!$I$8:$I$57,$Z389)&amp;"",INDEX(Îlots!$N$8:$N$57,$Z389)&amp;""))</f>
        <v/>
      </c>
      <c r="F389" s="44"/>
      <c r="G389" s="44"/>
      <c r="H389" s="46" t="str">
        <f>IF($AA389="","",INDEX(Fertilisants!$D$8:$D$47,$AA389)&amp;"")</f>
        <v/>
      </c>
      <c r="I389" s="47"/>
      <c r="J389" s="48"/>
      <c r="K389" s="46" t="str">
        <f>IF($AA389="","",INDEX(Fertilisants!$E$8:$E$47,$AA389)&amp;"")</f>
        <v/>
      </c>
      <c r="L389" s="49" t="str">
        <f t="shared" si="70"/>
        <v/>
      </c>
      <c r="M389" s="50" t="str">
        <f>IF(OR($J389="",$AA389=""),"",$J389*N(INDEX(Fertilisants!$G$8:$G$47,$AA389)))</f>
        <v/>
      </c>
      <c r="N389" s="50" t="str">
        <f>IF(OR($J389="",$AA389=""),"",$J389*N(INDEX(Fertilisants!$I$8:$I$47,$AA389)))</f>
        <v/>
      </c>
      <c r="O389" s="50" t="str">
        <f>IF(OR($J389="",$AA389=""),"",$J389*N(INDEX(Fertilisants!$J$8:$J$47,$AA389)))</f>
        <v/>
      </c>
      <c r="P389" s="50" t="str">
        <f>IF(OR($J389="",$AA389=""),"",$J389*N(INDEX(Fertilisants!$K$8:$K$47,$AA389)))</f>
        <v/>
      </c>
      <c r="Q389" s="50" t="str">
        <f t="shared" si="71"/>
        <v/>
      </c>
      <c r="R389" s="44"/>
      <c r="S389" s="44"/>
      <c r="T389" s="51"/>
      <c r="U389" s="44"/>
      <c r="V389" s="43"/>
      <c r="W389" s="52" t="str">
        <f t="shared" si="72"/>
        <v/>
      </c>
      <c r="X389" s="44"/>
      <c r="Z389" s="53" t="str">
        <f>IF($D389="","",IFERROR(MATCH($D389,Îlots!$D$8:$D$57,0),""))</f>
        <v/>
      </c>
      <c r="AA389" s="53" t="str">
        <f>IF($G389="","",IFERROR(MATCH($G389,Fertilisants!$B$8:$B$47,0),""))</f>
        <v/>
      </c>
      <c r="AB389" s="53" t="str">
        <f>IF($Z389="","",INDEX(Îlots!$E$8:$E$57,$Z389))</f>
        <v/>
      </c>
      <c r="AC389" s="53" t="str">
        <f>IF($Z389="","",INDEX(Îlots!$G$8:$G$57,$Z389)&amp;"")</f>
        <v/>
      </c>
      <c r="AD389" s="53" t="str">
        <f>IF($Z389="","",IF($F389=ApportCouvert,OccCouvert,INDEX(Îlots!$O$8:$O$57,$Z389)&amp;""))</f>
        <v/>
      </c>
      <c r="AE389" s="53" t="str">
        <f t="shared" si="73"/>
        <v/>
      </c>
      <c r="AF389" s="53" t="str">
        <f t="shared" si="74"/>
        <v/>
      </c>
      <c r="AG389" s="53" t="str">
        <f t="shared" si="75"/>
        <v/>
      </c>
      <c r="AH389" s="53">
        <f t="shared" si="76"/>
        <v>0</v>
      </c>
      <c r="AI389" s="53">
        <f t="shared" si="77"/>
        <v>0</v>
      </c>
      <c r="AJ389" s="53">
        <f t="shared" si="78"/>
        <v>0</v>
      </c>
      <c r="AK389" s="53">
        <f t="shared" si="79"/>
        <v>0</v>
      </c>
      <c r="AL389" s="53">
        <f t="shared" si="80"/>
        <v>0</v>
      </c>
      <c r="AM389" s="53">
        <f>IF($AA389="",0,IF(INDEX(Fertilisants!$C$8:$C$47,$AA389)="Effluent d'élevage",1,0))</f>
        <v>0</v>
      </c>
      <c r="AN389" s="53" t="str">
        <f>IF($AA389="","",IF(INDEX(Fertilisants!$C$8:$C$47,$AA389)="Engrais minéral","Minéral","Organique"))</f>
        <v/>
      </c>
      <c r="AO389" s="53" t="str">
        <f t="shared" si="81"/>
        <v/>
      </c>
      <c r="AP389" s="53" t="str">
        <f t="shared" si="82"/>
        <v/>
      </c>
      <c r="AQ389" s="53" t="str">
        <f t="shared" si="83"/>
        <v/>
      </c>
      <c r="AR389" s="53" t="str">
        <f>IF(AND($D389&lt;&gt;"",$D389=FicheIlot),COUNTIF($D$8:$D389,FicheIlot),"")</f>
        <v/>
      </c>
    </row>
    <row r="390" spans="2:44" ht="18.95" customHeight="1" x14ac:dyDescent="0.25">
      <c r="B390" s="42" t="str">
        <f>IF(C390="","",COUNT($C$8:C390))</f>
        <v/>
      </c>
      <c r="C390" s="43"/>
      <c r="D390" s="44"/>
      <c r="E390" s="45" t="str">
        <f>IF($Z390="","",IF($F390=ApportCouvert,INDEX(Îlots!$I$8:$I$57,$Z390)&amp;"",INDEX(Îlots!$N$8:$N$57,$Z390)&amp;""))</f>
        <v/>
      </c>
      <c r="F390" s="44"/>
      <c r="G390" s="44"/>
      <c r="H390" s="46" t="str">
        <f>IF($AA390="","",INDEX(Fertilisants!$D$8:$D$47,$AA390)&amp;"")</f>
        <v/>
      </c>
      <c r="I390" s="47"/>
      <c r="J390" s="48"/>
      <c r="K390" s="46" t="str">
        <f>IF($AA390="","",INDEX(Fertilisants!$E$8:$E$47,$AA390)&amp;"")</f>
        <v/>
      </c>
      <c r="L390" s="49" t="str">
        <f t="shared" si="70"/>
        <v/>
      </c>
      <c r="M390" s="50" t="str">
        <f>IF(OR($J390="",$AA390=""),"",$J390*N(INDEX(Fertilisants!$G$8:$G$47,$AA390)))</f>
        <v/>
      </c>
      <c r="N390" s="50" t="str">
        <f>IF(OR($J390="",$AA390=""),"",$J390*N(INDEX(Fertilisants!$I$8:$I$47,$AA390)))</f>
        <v/>
      </c>
      <c r="O390" s="50" t="str">
        <f>IF(OR($J390="",$AA390=""),"",$J390*N(INDEX(Fertilisants!$J$8:$J$47,$AA390)))</f>
        <v/>
      </c>
      <c r="P390" s="50" t="str">
        <f>IF(OR($J390="",$AA390=""),"",$J390*N(INDEX(Fertilisants!$K$8:$K$47,$AA390)))</f>
        <v/>
      </c>
      <c r="Q390" s="50" t="str">
        <f t="shared" si="71"/>
        <v/>
      </c>
      <c r="R390" s="44"/>
      <c r="S390" s="44"/>
      <c r="T390" s="51"/>
      <c r="U390" s="44"/>
      <c r="V390" s="43"/>
      <c r="W390" s="52" t="str">
        <f t="shared" si="72"/>
        <v/>
      </c>
      <c r="X390" s="44"/>
      <c r="Z390" s="53" t="str">
        <f>IF($D390="","",IFERROR(MATCH($D390,Îlots!$D$8:$D$57,0),""))</f>
        <v/>
      </c>
      <c r="AA390" s="53" t="str">
        <f>IF($G390="","",IFERROR(MATCH($G390,Fertilisants!$B$8:$B$47,0),""))</f>
        <v/>
      </c>
      <c r="AB390" s="53" t="str">
        <f>IF($Z390="","",INDEX(Îlots!$E$8:$E$57,$Z390))</f>
        <v/>
      </c>
      <c r="AC390" s="53" t="str">
        <f>IF($Z390="","",INDEX(Îlots!$G$8:$G$57,$Z390)&amp;"")</f>
        <v/>
      </c>
      <c r="AD390" s="53" t="str">
        <f>IF($Z390="","",IF($F390=ApportCouvert,OccCouvert,INDEX(Îlots!$O$8:$O$57,$Z390)&amp;""))</f>
        <v/>
      </c>
      <c r="AE390" s="53" t="str">
        <f t="shared" si="73"/>
        <v/>
      </c>
      <c r="AF390" s="53" t="str">
        <f t="shared" si="74"/>
        <v/>
      </c>
      <c r="AG390" s="53" t="str">
        <f t="shared" si="75"/>
        <v/>
      </c>
      <c r="AH390" s="53">
        <f t="shared" si="76"/>
        <v>0</v>
      </c>
      <c r="AI390" s="53">
        <f t="shared" si="77"/>
        <v>0</v>
      </c>
      <c r="AJ390" s="53">
        <f t="shared" si="78"/>
        <v>0</v>
      </c>
      <c r="AK390" s="53">
        <f t="shared" si="79"/>
        <v>0</v>
      </c>
      <c r="AL390" s="53">
        <f t="shared" si="80"/>
        <v>0</v>
      </c>
      <c r="AM390" s="53">
        <f>IF($AA390="",0,IF(INDEX(Fertilisants!$C$8:$C$47,$AA390)="Effluent d'élevage",1,0))</f>
        <v>0</v>
      </c>
      <c r="AN390" s="53" t="str">
        <f>IF($AA390="","",IF(INDEX(Fertilisants!$C$8:$C$47,$AA390)="Engrais minéral","Minéral","Organique"))</f>
        <v/>
      </c>
      <c r="AO390" s="53" t="str">
        <f t="shared" si="81"/>
        <v/>
      </c>
      <c r="AP390" s="53" t="str">
        <f t="shared" si="82"/>
        <v/>
      </c>
      <c r="AQ390" s="53" t="str">
        <f t="shared" si="83"/>
        <v/>
      </c>
      <c r="AR390" s="53" t="str">
        <f>IF(AND($D390&lt;&gt;"",$D390=FicheIlot),COUNTIF($D$8:$D390,FicheIlot),"")</f>
        <v/>
      </c>
    </row>
    <row r="391" spans="2:44" ht="18.95" customHeight="1" x14ac:dyDescent="0.25">
      <c r="B391" s="42" t="str">
        <f>IF(C391="","",COUNT($C$8:C391))</f>
        <v/>
      </c>
      <c r="C391" s="43"/>
      <c r="D391" s="44"/>
      <c r="E391" s="45" t="str">
        <f>IF($Z391="","",IF($F391=ApportCouvert,INDEX(Îlots!$I$8:$I$57,$Z391)&amp;"",INDEX(Îlots!$N$8:$N$57,$Z391)&amp;""))</f>
        <v/>
      </c>
      <c r="F391" s="44"/>
      <c r="G391" s="44"/>
      <c r="H391" s="46" t="str">
        <f>IF($AA391="","",INDEX(Fertilisants!$D$8:$D$47,$AA391)&amp;"")</f>
        <v/>
      </c>
      <c r="I391" s="47"/>
      <c r="J391" s="48"/>
      <c r="K391" s="46" t="str">
        <f>IF($AA391="","",INDEX(Fertilisants!$E$8:$E$47,$AA391)&amp;"")</f>
        <v/>
      </c>
      <c r="L391" s="49" t="str">
        <f t="shared" si="70"/>
        <v/>
      </c>
      <c r="M391" s="50" t="str">
        <f>IF(OR($J391="",$AA391=""),"",$J391*N(INDEX(Fertilisants!$G$8:$G$47,$AA391)))</f>
        <v/>
      </c>
      <c r="N391" s="50" t="str">
        <f>IF(OR($J391="",$AA391=""),"",$J391*N(INDEX(Fertilisants!$I$8:$I$47,$AA391)))</f>
        <v/>
      </c>
      <c r="O391" s="50" t="str">
        <f>IF(OR($J391="",$AA391=""),"",$J391*N(INDEX(Fertilisants!$J$8:$J$47,$AA391)))</f>
        <v/>
      </c>
      <c r="P391" s="50" t="str">
        <f>IF(OR($J391="",$AA391=""),"",$J391*N(INDEX(Fertilisants!$K$8:$K$47,$AA391)))</f>
        <v/>
      </c>
      <c r="Q391" s="50" t="str">
        <f t="shared" si="71"/>
        <v/>
      </c>
      <c r="R391" s="44"/>
      <c r="S391" s="44"/>
      <c r="T391" s="51"/>
      <c r="U391" s="44"/>
      <c r="V391" s="43"/>
      <c r="W391" s="52" t="str">
        <f t="shared" si="72"/>
        <v/>
      </c>
      <c r="X391" s="44"/>
      <c r="Z391" s="53" t="str">
        <f>IF($D391="","",IFERROR(MATCH($D391,Îlots!$D$8:$D$57,0),""))</f>
        <v/>
      </c>
      <c r="AA391" s="53" t="str">
        <f>IF($G391="","",IFERROR(MATCH($G391,Fertilisants!$B$8:$B$47,0),""))</f>
        <v/>
      </c>
      <c r="AB391" s="53" t="str">
        <f>IF($Z391="","",INDEX(Îlots!$E$8:$E$57,$Z391))</f>
        <v/>
      </c>
      <c r="AC391" s="53" t="str">
        <f>IF($Z391="","",INDEX(Îlots!$G$8:$G$57,$Z391)&amp;"")</f>
        <v/>
      </c>
      <c r="AD391" s="53" t="str">
        <f>IF($Z391="","",IF($F391=ApportCouvert,OccCouvert,INDEX(Îlots!$O$8:$O$57,$Z391)&amp;""))</f>
        <v/>
      </c>
      <c r="AE391" s="53" t="str">
        <f t="shared" si="73"/>
        <v/>
      </c>
      <c r="AF391" s="53" t="str">
        <f t="shared" si="74"/>
        <v/>
      </c>
      <c r="AG391" s="53" t="str">
        <f t="shared" si="75"/>
        <v/>
      </c>
      <c r="AH391" s="53">
        <f t="shared" si="76"/>
        <v>0</v>
      </c>
      <c r="AI391" s="53">
        <f t="shared" si="77"/>
        <v>0</v>
      </c>
      <c r="AJ391" s="53">
        <f t="shared" si="78"/>
        <v>0</v>
      </c>
      <c r="AK391" s="53">
        <f t="shared" si="79"/>
        <v>0</v>
      </c>
      <c r="AL391" s="53">
        <f t="shared" si="80"/>
        <v>0</v>
      </c>
      <c r="AM391" s="53">
        <f>IF($AA391="",0,IF(INDEX(Fertilisants!$C$8:$C$47,$AA391)="Effluent d'élevage",1,0))</f>
        <v>0</v>
      </c>
      <c r="AN391" s="53" t="str">
        <f>IF($AA391="","",IF(INDEX(Fertilisants!$C$8:$C$47,$AA391)="Engrais minéral","Minéral","Organique"))</f>
        <v/>
      </c>
      <c r="AO391" s="53" t="str">
        <f t="shared" si="81"/>
        <v/>
      </c>
      <c r="AP391" s="53" t="str">
        <f t="shared" si="82"/>
        <v/>
      </c>
      <c r="AQ391" s="53" t="str">
        <f t="shared" si="83"/>
        <v/>
      </c>
      <c r="AR391" s="53" t="str">
        <f>IF(AND($D391&lt;&gt;"",$D391=FicheIlot),COUNTIF($D$8:$D391,FicheIlot),"")</f>
        <v/>
      </c>
    </row>
    <row r="392" spans="2:44" ht="18.95" customHeight="1" x14ac:dyDescent="0.25">
      <c r="B392" s="42" t="str">
        <f>IF(C392="","",COUNT($C$8:C392))</f>
        <v/>
      </c>
      <c r="C392" s="43"/>
      <c r="D392" s="44"/>
      <c r="E392" s="45" t="str">
        <f>IF($Z392="","",IF($F392=ApportCouvert,INDEX(Îlots!$I$8:$I$57,$Z392)&amp;"",INDEX(Îlots!$N$8:$N$57,$Z392)&amp;""))</f>
        <v/>
      </c>
      <c r="F392" s="44"/>
      <c r="G392" s="44"/>
      <c r="H392" s="46" t="str">
        <f>IF($AA392="","",INDEX(Fertilisants!$D$8:$D$47,$AA392)&amp;"")</f>
        <v/>
      </c>
      <c r="I392" s="47"/>
      <c r="J392" s="48"/>
      <c r="K392" s="46" t="str">
        <f>IF($AA392="","",INDEX(Fertilisants!$E$8:$E$47,$AA392)&amp;"")</f>
        <v/>
      </c>
      <c r="L392" s="49" t="str">
        <f t="shared" ref="L392:L455" si="84">IF(OR($I392="",$J392=""),"",$I392*$J392)</f>
        <v/>
      </c>
      <c r="M392" s="50" t="str">
        <f>IF(OR($J392="",$AA392=""),"",$J392*N(INDEX(Fertilisants!$G$8:$G$47,$AA392)))</f>
        <v/>
      </c>
      <c r="N392" s="50" t="str">
        <f>IF(OR($J392="",$AA392=""),"",$J392*N(INDEX(Fertilisants!$I$8:$I$47,$AA392)))</f>
        <v/>
      </c>
      <c r="O392" s="50" t="str">
        <f>IF(OR($J392="",$AA392=""),"",$J392*N(INDEX(Fertilisants!$J$8:$J$47,$AA392)))</f>
        <v/>
      </c>
      <c r="P392" s="50" t="str">
        <f>IF(OR($J392="",$AA392=""),"",$J392*N(INDEX(Fertilisants!$K$8:$K$47,$AA392)))</f>
        <v/>
      </c>
      <c r="Q392" s="50" t="str">
        <f t="shared" ref="Q392:Q455" si="85">IF(OR($I392="",$M392=""),"",$I392*$M392)</f>
        <v/>
      </c>
      <c r="R392" s="44"/>
      <c r="S392" s="44"/>
      <c r="T392" s="51"/>
      <c r="U392" s="44"/>
      <c r="V392" s="43"/>
      <c r="W392" s="52" t="str">
        <f t="shared" ref="W392:W455" si="86">IF($C392="","",IF(OR($D392="",$G392="",$I392="",$J392=""),"Incomplet",IF(OR($R392="Enneigé",$R392="Détrempé",$R392="Inondé",AND($R392="Gelé",$H392&lt;&gt;"Type 0",$H392&lt;&gt;"Type Ia")),"Sol interdit",IF($AL392=1,"Période interdite",IF(AND(ISNUMBER($AB392),$I392&gt;$AB392+0.001),"Surface &gt; îlot",IF(OR($C392&lt;DebutCampagne,$C392&gt;FinCampagne),"Hors campagne",IF(AND(ISNUMBER($V392),$V392-$C392&gt;DelaiSaisie),"Saisie tardive","Conforme")))))))</f>
        <v/>
      </c>
      <c r="X392" s="44"/>
      <c r="Z392" s="53" t="str">
        <f>IF($D392="","",IFERROR(MATCH($D392,Îlots!$D$8:$D$57,0),""))</f>
        <v/>
      </c>
      <c r="AA392" s="53" t="str">
        <f>IF($G392="","",IFERROR(MATCH($G392,Fertilisants!$B$8:$B$47,0),""))</f>
        <v/>
      </c>
      <c r="AB392" s="53" t="str">
        <f>IF($Z392="","",INDEX(Îlots!$E$8:$E$57,$Z392))</f>
        <v/>
      </c>
      <c r="AC392" s="53" t="str">
        <f>IF($Z392="","",INDEX(Îlots!$G$8:$G$57,$Z392)&amp;"")</f>
        <v/>
      </c>
      <c r="AD392" s="53" t="str">
        <f>IF($Z392="","",IF($F392=ApportCouvert,OccCouvert,INDEX(Îlots!$O$8:$O$57,$Z392)&amp;""))</f>
        <v/>
      </c>
      <c r="AE392" s="53" t="str">
        <f t="shared" ref="AE392:AE455" si="87">IF(OR($AD392="",$AC392="Non",ZoneVulnerable="Non"),"",IFERROR(MATCH($AD392,CalOccupations,0),""))</f>
        <v/>
      </c>
      <c r="AF392" s="53" t="str">
        <f t="shared" ref="AF392:AF455" si="88">IF($H392="","",IFERROR(MATCH($H392,CalTypes,0),""))</f>
        <v/>
      </c>
      <c r="AG392" s="53" t="str">
        <f t="shared" ref="AG392:AG455" si="89">IF(ISNUMBER($C392),MONTH($C392)*100+DAY($C392),"")</f>
        <v/>
      </c>
      <c r="AH392" s="53">
        <f t="shared" ref="AH392:AH455" si="90">IF(OR($AE392="",$AF392=""),0,IF(N(INDEX(CalPrincipal,$AE392,$AF392+0))=0,0,MONTH(INDEX(CalPrincipal,$AE392,$AF392+0))*100+DAY(INDEX(CalPrincipal,$AE392,$AF392+0))))</f>
        <v>0</v>
      </c>
      <c r="AI392" s="53">
        <f t="shared" ref="AI392:AI455" si="91">IF(OR($AE392="",$AF392=""),0,IF(N(INDEX(CalPrincipal,$AE392,$AF392+1))=0,0,MONTH(INDEX(CalPrincipal,$AE392,$AF392+1))*100+DAY(INDEX(CalPrincipal,$AE392,$AF392+1))))</f>
        <v>0</v>
      </c>
      <c r="AJ392" s="53">
        <f t="shared" ref="AJ392:AJ455" si="92">IF(OR($AE392="",$AF392=""),0,IF(N(INDEX(CalComplement,$AE392,$AF392+0))=0,0,MONTH(INDEX(CalComplement,$AE392,$AF392+0))*100+DAY(INDEX(CalComplement,$AE392,$AF392+0))))</f>
        <v>0</v>
      </c>
      <c r="AK392" s="53">
        <f t="shared" ref="AK392:AK455" si="93">IF(OR($AE392="",$AF392=""),0,IF(N(INDEX(CalComplement,$AE392,$AF392+1))=0,0,MONTH(INDEX(CalComplement,$AE392,$AF392+1))*100+DAY(INDEX(CalComplement,$AE392,$AF392+1))))</f>
        <v>0</v>
      </c>
      <c r="AL392" s="53">
        <f t="shared" ref="AL392:AL455" si="94">IF(OR($AE392="",$AF392="",$AG392=""),0,IF(OR(AND($AH392&gt;0,IF($AH392&lt;=$AI392,AND($AG392&gt;=$AH392,$AG392&lt;=$AI392),OR($AG392&gt;=$AH392,$AG392&lt;=$AI392))),AND($AJ392&gt;0,IF($AJ392&lt;=$AK392,AND($AG392&gt;=$AJ392,$AG392&lt;=$AK392),OR($AG392&gt;=$AJ392,$AG392&lt;=$AK392)))),1,0))</f>
        <v>0</v>
      </c>
      <c r="AM392" s="53">
        <f>IF($AA392="",0,IF(INDEX(Fertilisants!$C$8:$C$47,$AA392)="Effluent d'élevage",1,0))</f>
        <v>0</v>
      </c>
      <c r="AN392" s="53" t="str">
        <f>IF($AA392="","",IF(INDEX(Fertilisants!$C$8:$C$47,$AA392)="Engrais minéral","Minéral","Organique"))</f>
        <v/>
      </c>
      <c r="AO392" s="53" t="str">
        <f t="shared" ref="AO392:AO455" si="95">IF(OR($I392="",$N392=""),"",$I392*$N392)</f>
        <v/>
      </c>
      <c r="AP392" s="53" t="str">
        <f t="shared" ref="AP392:AP455" si="96">IF(OR($I392="",$O392=""),"",$I392*$O392)</f>
        <v/>
      </c>
      <c r="AQ392" s="53" t="str">
        <f t="shared" ref="AQ392:AQ455" si="97">IF(OR($I392="",$P392=""),"",$I392*$P392)</f>
        <v/>
      </c>
      <c r="AR392" s="53" t="str">
        <f>IF(AND($D392&lt;&gt;"",$D392=FicheIlot),COUNTIF($D$8:$D392,FicheIlot),"")</f>
        <v/>
      </c>
    </row>
    <row r="393" spans="2:44" ht="18.95" customHeight="1" x14ac:dyDescent="0.25">
      <c r="B393" s="42" t="str">
        <f>IF(C393="","",COUNT($C$8:C393))</f>
        <v/>
      </c>
      <c r="C393" s="43"/>
      <c r="D393" s="44"/>
      <c r="E393" s="45" t="str">
        <f>IF($Z393="","",IF($F393=ApportCouvert,INDEX(Îlots!$I$8:$I$57,$Z393)&amp;"",INDEX(Îlots!$N$8:$N$57,$Z393)&amp;""))</f>
        <v/>
      </c>
      <c r="F393" s="44"/>
      <c r="G393" s="44"/>
      <c r="H393" s="46" t="str">
        <f>IF($AA393="","",INDEX(Fertilisants!$D$8:$D$47,$AA393)&amp;"")</f>
        <v/>
      </c>
      <c r="I393" s="47"/>
      <c r="J393" s="48"/>
      <c r="K393" s="46" t="str">
        <f>IF($AA393="","",INDEX(Fertilisants!$E$8:$E$47,$AA393)&amp;"")</f>
        <v/>
      </c>
      <c r="L393" s="49" t="str">
        <f t="shared" si="84"/>
        <v/>
      </c>
      <c r="M393" s="50" t="str">
        <f>IF(OR($J393="",$AA393=""),"",$J393*N(INDEX(Fertilisants!$G$8:$G$47,$AA393)))</f>
        <v/>
      </c>
      <c r="N393" s="50" t="str">
        <f>IF(OR($J393="",$AA393=""),"",$J393*N(INDEX(Fertilisants!$I$8:$I$47,$AA393)))</f>
        <v/>
      </c>
      <c r="O393" s="50" t="str">
        <f>IF(OR($J393="",$AA393=""),"",$J393*N(INDEX(Fertilisants!$J$8:$J$47,$AA393)))</f>
        <v/>
      </c>
      <c r="P393" s="50" t="str">
        <f>IF(OR($J393="",$AA393=""),"",$J393*N(INDEX(Fertilisants!$K$8:$K$47,$AA393)))</f>
        <v/>
      </c>
      <c r="Q393" s="50" t="str">
        <f t="shared" si="85"/>
        <v/>
      </c>
      <c r="R393" s="44"/>
      <c r="S393" s="44"/>
      <c r="T393" s="51"/>
      <c r="U393" s="44"/>
      <c r="V393" s="43"/>
      <c r="W393" s="52" t="str">
        <f t="shared" si="86"/>
        <v/>
      </c>
      <c r="X393" s="44"/>
      <c r="Z393" s="53" t="str">
        <f>IF($D393="","",IFERROR(MATCH($D393,Îlots!$D$8:$D$57,0),""))</f>
        <v/>
      </c>
      <c r="AA393" s="53" t="str">
        <f>IF($G393="","",IFERROR(MATCH($G393,Fertilisants!$B$8:$B$47,0),""))</f>
        <v/>
      </c>
      <c r="AB393" s="53" t="str">
        <f>IF($Z393="","",INDEX(Îlots!$E$8:$E$57,$Z393))</f>
        <v/>
      </c>
      <c r="AC393" s="53" t="str">
        <f>IF($Z393="","",INDEX(Îlots!$G$8:$G$57,$Z393)&amp;"")</f>
        <v/>
      </c>
      <c r="AD393" s="53" t="str">
        <f>IF($Z393="","",IF($F393=ApportCouvert,OccCouvert,INDEX(Îlots!$O$8:$O$57,$Z393)&amp;""))</f>
        <v/>
      </c>
      <c r="AE393" s="53" t="str">
        <f t="shared" si="87"/>
        <v/>
      </c>
      <c r="AF393" s="53" t="str">
        <f t="shared" si="88"/>
        <v/>
      </c>
      <c r="AG393" s="53" t="str">
        <f t="shared" si="89"/>
        <v/>
      </c>
      <c r="AH393" s="53">
        <f t="shared" si="90"/>
        <v>0</v>
      </c>
      <c r="AI393" s="53">
        <f t="shared" si="91"/>
        <v>0</v>
      </c>
      <c r="AJ393" s="53">
        <f t="shared" si="92"/>
        <v>0</v>
      </c>
      <c r="AK393" s="53">
        <f t="shared" si="93"/>
        <v>0</v>
      </c>
      <c r="AL393" s="53">
        <f t="shared" si="94"/>
        <v>0</v>
      </c>
      <c r="AM393" s="53">
        <f>IF($AA393="",0,IF(INDEX(Fertilisants!$C$8:$C$47,$AA393)="Effluent d'élevage",1,0))</f>
        <v>0</v>
      </c>
      <c r="AN393" s="53" t="str">
        <f>IF($AA393="","",IF(INDEX(Fertilisants!$C$8:$C$47,$AA393)="Engrais minéral","Minéral","Organique"))</f>
        <v/>
      </c>
      <c r="AO393" s="53" t="str">
        <f t="shared" si="95"/>
        <v/>
      </c>
      <c r="AP393" s="53" t="str">
        <f t="shared" si="96"/>
        <v/>
      </c>
      <c r="AQ393" s="53" t="str">
        <f t="shared" si="97"/>
        <v/>
      </c>
      <c r="AR393" s="53" t="str">
        <f>IF(AND($D393&lt;&gt;"",$D393=FicheIlot),COUNTIF($D$8:$D393,FicheIlot),"")</f>
        <v/>
      </c>
    </row>
    <row r="394" spans="2:44" ht="18.95" customHeight="1" x14ac:dyDescent="0.25">
      <c r="B394" s="42" t="str">
        <f>IF(C394="","",COUNT($C$8:C394))</f>
        <v/>
      </c>
      <c r="C394" s="43"/>
      <c r="D394" s="44"/>
      <c r="E394" s="45" t="str">
        <f>IF($Z394="","",IF($F394=ApportCouvert,INDEX(Îlots!$I$8:$I$57,$Z394)&amp;"",INDEX(Îlots!$N$8:$N$57,$Z394)&amp;""))</f>
        <v/>
      </c>
      <c r="F394" s="44"/>
      <c r="G394" s="44"/>
      <c r="H394" s="46" t="str">
        <f>IF($AA394="","",INDEX(Fertilisants!$D$8:$D$47,$AA394)&amp;"")</f>
        <v/>
      </c>
      <c r="I394" s="47"/>
      <c r="J394" s="48"/>
      <c r="K394" s="46" t="str">
        <f>IF($AA394="","",INDEX(Fertilisants!$E$8:$E$47,$AA394)&amp;"")</f>
        <v/>
      </c>
      <c r="L394" s="49" t="str">
        <f t="shared" si="84"/>
        <v/>
      </c>
      <c r="M394" s="50" t="str">
        <f>IF(OR($J394="",$AA394=""),"",$J394*N(INDEX(Fertilisants!$G$8:$G$47,$AA394)))</f>
        <v/>
      </c>
      <c r="N394" s="50" t="str">
        <f>IF(OR($J394="",$AA394=""),"",$J394*N(INDEX(Fertilisants!$I$8:$I$47,$AA394)))</f>
        <v/>
      </c>
      <c r="O394" s="50" t="str">
        <f>IF(OR($J394="",$AA394=""),"",$J394*N(INDEX(Fertilisants!$J$8:$J$47,$AA394)))</f>
        <v/>
      </c>
      <c r="P394" s="50" t="str">
        <f>IF(OR($J394="",$AA394=""),"",$J394*N(INDEX(Fertilisants!$K$8:$K$47,$AA394)))</f>
        <v/>
      </c>
      <c r="Q394" s="50" t="str">
        <f t="shared" si="85"/>
        <v/>
      </c>
      <c r="R394" s="44"/>
      <c r="S394" s="44"/>
      <c r="T394" s="51"/>
      <c r="U394" s="44"/>
      <c r="V394" s="43"/>
      <c r="W394" s="52" t="str">
        <f t="shared" si="86"/>
        <v/>
      </c>
      <c r="X394" s="44"/>
      <c r="Z394" s="53" t="str">
        <f>IF($D394="","",IFERROR(MATCH($D394,Îlots!$D$8:$D$57,0),""))</f>
        <v/>
      </c>
      <c r="AA394" s="53" t="str">
        <f>IF($G394="","",IFERROR(MATCH($G394,Fertilisants!$B$8:$B$47,0),""))</f>
        <v/>
      </c>
      <c r="AB394" s="53" t="str">
        <f>IF($Z394="","",INDEX(Îlots!$E$8:$E$57,$Z394))</f>
        <v/>
      </c>
      <c r="AC394" s="53" t="str">
        <f>IF($Z394="","",INDEX(Îlots!$G$8:$G$57,$Z394)&amp;"")</f>
        <v/>
      </c>
      <c r="AD394" s="53" t="str">
        <f>IF($Z394="","",IF($F394=ApportCouvert,OccCouvert,INDEX(Îlots!$O$8:$O$57,$Z394)&amp;""))</f>
        <v/>
      </c>
      <c r="AE394" s="53" t="str">
        <f t="shared" si="87"/>
        <v/>
      </c>
      <c r="AF394" s="53" t="str">
        <f t="shared" si="88"/>
        <v/>
      </c>
      <c r="AG394" s="53" t="str">
        <f t="shared" si="89"/>
        <v/>
      </c>
      <c r="AH394" s="53">
        <f t="shared" si="90"/>
        <v>0</v>
      </c>
      <c r="AI394" s="53">
        <f t="shared" si="91"/>
        <v>0</v>
      </c>
      <c r="AJ394" s="53">
        <f t="shared" si="92"/>
        <v>0</v>
      </c>
      <c r="AK394" s="53">
        <f t="shared" si="93"/>
        <v>0</v>
      </c>
      <c r="AL394" s="53">
        <f t="shared" si="94"/>
        <v>0</v>
      </c>
      <c r="AM394" s="53">
        <f>IF($AA394="",0,IF(INDEX(Fertilisants!$C$8:$C$47,$AA394)="Effluent d'élevage",1,0))</f>
        <v>0</v>
      </c>
      <c r="AN394" s="53" t="str">
        <f>IF($AA394="","",IF(INDEX(Fertilisants!$C$8:$C$47,$AA394)="Engrais minéral","Minéral","Organique"))</f>
        <v/>
      </c>
      <c r="AO394" s="53" t="str">
        <f t="shared" si="95"/>
        <v/>
      </c>
      <c r="AP394" s="53" t="str">
        <f t="shared" si="96"/>
        <v/>
      </c>
      <c r="AQ394" s="53" t="str">
        <f t="shared" si="97"/>
        <v/>
      </c>
      <c r="AR394" s="53" t="str">
        <f>IF(AND($D394&lt;&gt;"",$D394=FicheIlot),COUNTIF($D$8:$D394,FicheIlot),"")</f>
        <v/>
      </c>
    </row>
    <row r="395" spans="2:44" ht="18.95" customHeight="1" x14ac:dyDescent="0.25">
      <c r="B395" s="42" t="str">
        <f>IF(C395="","",COUNT($C$8:C395))</f>
        <v/>
      </c>
      <c r="C395" s="43"/>
      <c r="D395" s="44"/>
      <c r="E395" s="45" t="str">
        <f>IF($Z395="","",IF($F395=ApportCouvert,INDEX(Îlots!$I$8:$I$57,$Z395)&amp;"",INDEX(Îlots!$N$8:$N$57,$Z395)&amp;""))</f>
        <v/>
      </c>
      <c r="F395" s="44"/>
      <c r="G395" s="44"/>
      <c r="H395" s="46" t="str">
        <f>IF($AA395="","",INDEX(Fertilisants!$D$8:$D$47,$AA395)&amp;"")</f>
        <v/>
      </c>
      <c r="I395" s="47"/>
      <c r="J395" s="48"/>
      <c r="K395" s="46" t="str">
        <f>IF($AA395="","",INDEX(Fertilisants!$E$8:$E$47,$AA395)&amp;"")</f>
        <v/>
      </c>
      <c r="L395" s="49" t="str">
        <f t="shared" si="84"/>
        <v/>
      </c>
      <c r="M395" s="50" t="str">
        <f>IF(OR($J395="",$AA395=""),"",$J395*N(INDEX(Fertilisants!$G$8:$G$47,$AA395)))</f>
        <v/>
      </c>
      <c r="N395" s="50" t="str">
        <f>IF(OR($J395="",$AA395=""),"",$J395*N(INDEX(Fertilisants!$I$8:$I$47,$AA395)))</f>
        <v/>
      </c>
      <c r="O395" s="50" t="str">
        <f>IF(OR($J395="",$AA395=""),"",$J395*N(INDEX(Fertilisants!$J$8:$J$47,$AA395)))</f>
        <v/>
      </c>
      <c r="P395" s="50" t="str">
        <f>IF(OR($J395="",$AA395=""),"",$J395*N(INDEX(Fertilisants!$K$8:$K$47,$AA395)))</f>
        <v/>
      </c>
      <c r="Q395" s="50" t="str">
        <f t="shared" si="85"/>
        <v/>
      </c>
      <c r="R395" s="44"/>
      <c r="S395" s="44"/>
      <c r="T395" s="51"/>
      <c r="U395" s="44"/>
      <c r="V395" s="43"/>
      <c r="W395" s="52" t="str">
        <f t="shared" si="86"/>
        <v/>
      </c>
      <c r="X395" s="44"/>
      <c r="Z395" s="53" t="str">
        <f>IF($D395="","",IFERROR(MATCH($D395,Îlots!$D$8:$D$57,0),""))</f>
        <v/>
      </c>
      <c r="AA395" s="53" t="str">
        <f>IF($G395="","",IFERROR(MATCH($G395,Fertilisants!$B$8:$B$47,0),""))</f>
        <v/>
      </c>
      <c r="AB395" s="53" t="str">
        <f>IF($Z395="","",INDEX(Îlots!$E$8:$E$57,$Z395))</f>
        <v/>
      </c>
      <c r="AC395" s="53" t="str">
        <f>IF($Z395="","",INDEX(Îlots!$G$8:$G$57,$Z395)&amp;"")</f>
        <v/>
      </c>
      <c r="AD395" s="53" t="str">
        <f>IF($Z395="","",IF($F395=ApportCouvert,OccCouvert,INDEX(Îlots!$O$8:$O$57,$Z395)&amp;""))</f>
        <v/>
      </c>
      <c r="AE395" s="53" t="str">
        <f t="shared" si="87"/>
        <v/>
      </c>
      <c r="AF395" s="53" t="str">
        <f t="shared" si="88"/>
        <v/>
      </c>
      <c r="AG395" s="53" t="str">
        <f t="shared" si="89"/>
        <v/>
      </c>
      <c r="AH395" s="53">
        <f t="shared" si="90"/>
        <v>0</v>
      </c>
      <c r="AI395" s="53">
        <f t="shared" si="91"/>
        <v>0</v>
      </c>
      <c r="AJ395" s="53">
        <f t="shared" si="92"/>
        <v>0</v>
      </c>
      <c r="AK395" s="53">
        <f t="shared" si="93"/>
        <v>0</v>
      </c>
      <c r="AL395" s="53">
        <f t="shared" si="94"/>
        <v>0</v>
      </c>
      <c r="AM395" s="53">
        <f>IF($AA395="",0,IF(INDEX(Fertilisants!$C$8:$C$47,$AA395)="Effluent d'élevage",1,0))</f>
        <v>0</v>
      </c>
      <c r="AN395" s="53" t="str">
        <f>IF($AA395="","",IF(INDEX(Fertilisants!$C$8:$C$47,$AA395)="Engrais minéral","Minéral","Organique"))</f>
        <v/>
      </c>
      <c r="AO395" s="53" t="str">
        <f t="shared" si="95"/>
        <v/>
      </c>
      <c r="AP395" s="53" t="str">
        <f t="shared" si="96"/>
        <v/>
      </c>
      <c r="AQ395" s="53" t="str">
        <f t="shared" si="97"/>
        <v/>
      </c>
      <c r="AR395" s="53" t="str">
        <f>IF(AND($D395&lt;&gt;"",$D395=FicheIlot),COUNTIF($D$8:$D395,FicheIlot),"")</f>
        <v/>
      </c>
    </row>
    <row r="396" spans="2:44" ht="18.95" customHeight="1" x14ac:dyDescent="0.25">
      <c r="B396" s="42" t="str">
        <f>IF(C396="","",COUNT($C$8:C396))</f>
        <v/>
      </c>
      <c r="C396" s="43"/>
      <c r="D396" s="44"/>
      <c r="E396" s="45" t="str">
        <f>IF($Z396="","",IF($F396=ApportCouvert,INDEX(Îlots!$I$8:$I$57,$Z396)&amp;"",INDEX(Îlots!$N$8:$N$57,$Z396)&amp;""))</f>
        <v/>
      </c>
      <c r="F396" s="44"/>
      <c r="G396" s="44"/>
      <c r="H396" s="46" t="str">
        <f>IF($AA396="","",INDEX(Fertilisants!$D$8:$D$47,$AA396)&amp;"")</f>
        <v/>
      </c>
      <c r="I396" s="47"/>
      <c r="J396" s="48"/>
      <c r="K396" s="46" t="str">
        <f>IF($AA396="","",INDEX(Fertilisants!$E$8:$E$47,$AA396)&amp;"")</f>
        <v/>
      </c>
      <c r="L396" s="49" t="str">
        <f t="shared" si="84"/>
        <v/>
      </c>
      <c r="M396" s="50" t="str">
        <f>IF(OR($J396="",$AA396=""),"",$J396*N(INDEX(Fertilisants!$G$8:$G$47,$AA396)))</f>
        <v/>
      </c>
      <c r="N396" s="50" t="str">
        <f>IF(OR($J396="",$AA396=""),"",$J396*N(INDEX(Fertilisants!$I$8:$I$47,$AA396)))</f>
        <v/>
      </c>
      <c r="O396" s="50" t="str">
        <f>IF(OR($J396="",$AA396=""),"",$J396*N(INDEX(Fertilisants!$J$8:$J$47,$AA396)))</f>
        <v/>
      </c>
      <c r="P396" s="50" t="str">
        <f>IF(OR($J396="",$AA396=""),"",$J396*N(INDEX(Fertilisants!$K$8:$K$47,$AA396)))</f>
        <v/>
      </c>
      <c r="Q396" s="50" t="str">
        <f t="shared" si="85"/>
        <v/>
      </c>
      <c r="R396" s="44"/>
      <c r="S396" s="44"/>
      <c r="T396" s="51"/>
      <c r="U396" s="44"/>
      <c r="V396" s="43"/>
      <c r="W396" s="52" t="str">
        <f t="shared" si="86"/>
        <v/>
      </c>
      <c r="X396" s="44"/>
      <c r="Z396" s="53" t="str">
        <f>IF($D396="","",IFERROR(MATCH($D396,Îlots!$D$8:$D$57,0),""))</f>
        <v/>
      </c>
      <c r="AA396" s="53" t="str">
        <f>IF($G396="","",IFERROR(MATCH($G396,Fertilisants!$B$8:$B$47,0),""))</f>
        <v/>
      </c>
      <c r="AB396" s="53" t="str">
        <f>IF($Z396="","",INDEX(Îlots!$E$8:$E$57,$Z396))</f>
        <v/>
      </c>
      <c r="AC396" s="53" t="str">
        <f>IF($Z396="","",INDEX(Îlots!$G$8:$G$57,$Z396)&amp;"")</f>
        <v/>
      </c>
      <c r="AD396" s="53" t="str">
        <f>IF($Z396="","",IF($F396=ApportCouvert,OccCouvert,INDEX(Îlots!$O$8:$O$57,$Z396)&amp;""))</f>
        <v/>
      </c>
      <c r="AE396" s="53" t="str">
        <f t="shared" si="87"/>
        <v/>
      </c>
      <c r="AF396" s="53" t="str">
        <f t="shared" si="88"/>
        <v/>
      </c>
      <c r="AG396" s="53" t="str">
        <f t="shared" si="89"/>
        <v/>
      </c>
      <c r="AH396" s="53">
        <f t="shared" si="90"/>
        <v>0</v>
      </c>
      <c r="AI396" s="53">
        <f t="shared" si="91"/>
        <v>0</v>
      </c>
      <c r="AJ396" s="53">
        <f t="shared" si="92"/>
        <v>0</v>
      </c>
      <c r="AK396" s="53">
        <f t="shared" si="93"/>
        <v>0</v>
      </c>
      <c r="AL396" s="53">
        <f t="shared" si="94"/>
        <v>0</v>
      </c>
      <c r="AM396" s="53">
        <f>IF($AA396="",0,IF(INDEX(Fertilisants!$C$8:$C$47,$AA396)="Effluent d'élevage",1,0))</f>
        <v>0</v>
      </c>
      <c r="AN396" s="53" t="str">
        <f>IF($AA396="","",IF(INDEX(Fertilisants!$C$8:$C$47,$AA396)="Engrais minéral","Minéral","Organique"))</f>
        <v/>
      </c>
      <c r="AO396" s="53" t="str">
        <f t="shared" si="95"/>
        <v/>
      </c>
      <c r="AP396" s="53" t="str">
        <f t="shared" si="96"/>
        <v/>
      </c>
      <c r="AQ396" s="53" t="str">
        <f t="shared" si="97"/>
        <v/>
      </c>
      <c r="AR396" s="53" t="str">
        <f>IF(AND($D396&lt;&gt;"",$D396=FicheIlot),COUNTIF($D$8:$D396,FicheIlot),"")</f>
        <v/>
      </c>
    </row>
    <row r="397" spans="2:44" ht="18.95" customHeight="1" x14ac:dyDescent="0.25">
      <c r="B397" s="42" t="str">
        <f>IF(C397="","",COUNT($C$8:C397))</f>
        <v/>
      </c>
      <c r="C397" s="43"/>
      <c r="D397" s="44"/>
      <c r="E397" s="45" t="str">
        <f>IF($Z397="","",IF($F397=ApportCouvert,INDEX(Îlots!$I$8:$I$57,$Z397)&amp;"",INDEX(Îlots!$N$8:$N$57,$Z397)&amp;""))</f>
        <v/>
      </c>
      <c r="F397" s="44"/>
      <c r="G397" s="44"/>
      <c r="H397" s="46" t="str">
        <f>IF($AA397="","",INDEX(Fertilisants!$D$8:$D$47,$AA397)&amp;"")</f>
        <v/>
      </c>
      <c r="I397" s="47"/>
      <c r="J397" s="48"/>
      <c r="K397" s="46" t="str">
        <f>IF($AA397="","",INDEX(Fertilisants!$E$8:$E$47,$AA397)&amp;"")</f>
        <v/>
      </c>
      <c r="L397" s="49" t="str">
        <f t="shared" si="84"/>
        <v/>
      </c>
      <c r="M397" s="50" t="str">
        <f>IF(OR($J397="",$AA397=""),"",$J397*N(INDEX(Fertilisants!$G$8:$G$47,$AA397)))</f>
        <v/>
      </c>
      <c r="N397" s="50" t="str">
        <f>IF(OR($J397="",$AA397=""),"",$J397*N(INDEX(Fertilisants!$I$8:$I$47,$AA397)))</f>
        <v/>
      </c>
      <c r="O397" s="50" t="str">
        <f>IF(OR($J397="",$AA397=""),"",$J397*N(INDEX(Fertilisants!$J$8:$J$47,$AA397)))</f>
        <v/>
      </c>
      <c r="P397" s="50" t="str">
        <f>IF(OR($J397="",$AA397=""),"",$J397*N(INDEX(Fertilisants!$K$8:$K$47,$AA397)))</f>
        <v/>
      </c>
      <c r="Q397" s="50" t="str">
        <f t="shared" si="85"/>
        <v/>
      </c>
      <c r="R397" s="44"/>
      <c r="S397" s="44"/>
      <c r="T397" s="51"/>
      <c r="U397" s="44"/>
      <c r="V397" s="43"/>
      <c r="W397" s="52" t="str">
        <f t="shared" si="86"/>
        <v/>
      </c>
      <c r="X397" s="44"/>
      <c r="Z397" s="53" t="str">
        <f>IF($D397="","",IFERROR(MATCH($D397,Îlots!$D$8:$D$57,0),""))</f>
        <v/>
      </c>
      <c r="AA397" s="53" t="str">
        <f>IF($G397="","",IFERROR(MATCH($G397,Fertilisants!$B$8:$B$47,0),""))</f>
        <v/>
      </c>
      <c r="AB397" s="53" t="str">
        <f>IF($Z397="","",INDEX(Îlots!$E$8:$E$57,$Z397))</f>
        <v/>
      </c>
      <c r="AC397" s="53" t="str">
        <f>IF($Z397="","",INDEX(Îlots!$G$8:$G$57,$Z397)&amp;"")</f>
        <v/>
      </c>
      <c r="AD397" s="53" t="str">
        <f>IF($Z397="","",IF($F397=ApportCouvert,OccCouvert,INDEX(Îlots!$O$8:$O$57,$Z397)&amp;""))</f>
        <v/>
      </c>
      <c r="AE397" s="53" t="str">
        <f t="shared" si="87"/>
        <v/>
      </c>
      <c r="AF397" s="53" t="str">
        <f t="shared" si="88"/>
        <v/>
      </c>
      <c r="AG397" s="53" t="str">
        <f t="shared" si="89"/>
        <v/>
      </c>
      <c r="AH397" s="53">
        <f t="shared" si="90"/>
        <v>0</v>
      </c>
      <c r="AI397" s="53">
        <f t="shared" si="91"/>
        <v>0</v>
      </c>
      <c r="AJ397" s="53">
        <f t="shared" si="92"/>
        <v>0</v>
      </c>
      <c r="AK397" s="53">
        <f t="shared" si="93"/>
        <v>0</v>
      </c>
      <c r="AL397" s="53">
        <f t="shared" si="94"/>
        <v>0</v>
      </c>
      <c r="AM397" s="53">
        <f>IF($AA397="",0,IF(INDEX(Fertilisants!$C$8:$C$47,$AA397)="Effluent d'élevage",1,0))</f>
        <v>0</v>
      </c>
      <c r="AN397" s="53" t="str">
        <f>IF($AA397="","",IF(INDEX(Fertilisants!$C$8:$C$47,$AA397)="Engrais minéral","Minéral","Organique"))</f>
        <v/>
      </c>
      <c r="AO397" s="53" t="str">
        <f t="shared" si="95"/>
        <v/>
      </c>
      <c r="AP397" s="53" t="str">
        <f t="shared" si="96"/>
        <v/>
      </c>
      <c r="AQ397" s="53" t="str">
        <f t="shared" si="97"/>
        <v/>
      </c>
      <c r="AR397" s="53" t="str">
        <f>IF(AND($D397&lt;&gt;"",$D397=FicheIlot),COUNTIF($D$8:$D397,FicheIlot),"")</f>
        <v/>
      </c>
    </row>
    <row r="398" spans="2:44" ht="18.95" customHeight="1" x14ac:dyDescent="0.25">
      <c r="B398" s="42" t="str">
        <f>IF(C398="","",COUNT($C$8:C398))</f>
        <v/>
      </c>
      <c r="C398" s="43"/>
      <c r="D398" s="44"/>
      <c r="E398" s="45" t="str">
        <f>IF($Z398="","",IF($F398=ApportCouvert,INDEX(Îlots!$I$8:$I$57,$Z398)&amp;"",INDEX(Îlots!$N$8:$N$57,$Z398)&amp;""))</f>
        <v/>
      </c>
      <c r="F398" s="44"/>
      <c r="G398" s="44"/>
      <c r="H398" s="46" t="str">
        <f>IF($AA398="","",INDEX(Fertilisants!$D$8:$D$47,$AA398)&amp;"")</f>
        <v/>
      </c>
      <c r="I398" s="47"/>
      <c r="J398" s="48"/>
      <c r="K398" s="46" t="str">
        <f>IF($AA398="","",INDEX(Fertilisants!$E$8:$E$47,$AA398)&amp;"")</f>
        <v/>
      </c>
      <c r="L398" s="49" t="str">
        <f t="shared" si="84"/>
        <v/>
      </c>
      <c r="M398" s="50" t="str">
        <f>IF(OR($J398="",$AA398=""),"",$J398*N(INDEX(Fertilisants!$G$8:$G$47,$AA398)))</f>
        <v/>
      </c>
      <c r="N398" s="50" t="str">
        <f>IF(OR($J398="",$AA398=""),"",$J398*N(INDEX(Fertilisants!$I$8:$I$47,$AA398)))</f>
        <v/>
      </c>
      <c r="O398" s="50" t="str">
        <f>IF(OR($J398="",$AA398=""),"",$J398*N(INDEX(Fertilisants!$J$8:$J$47,$AA398)))</f>
        <v/>
      </c>
      <c r="P398" s="50" t="str">
        <f>IF(OR($J398="",$AA398=""),"",$J398*N(INDEX(Fertilisants!$K$8:$K$47,$AA398)))</f>
        <v/>
      </c>
      <c r="Q398" s="50" t="str">
        <f t="shared" si="85"/>
        <v/>
      </c>
      <c r="R398" s="44"/>
      <c r="S398" s="44"/>
      <c r="T398" s="51"/>
      <c r="U398" s="44"/>
      <c r="V398" s="43"/>
      <c r="W398" s="52" t="str">
        <f t="shared" si="86"/>
        <v/>
      </c>
      <c r="X398" s="44"/>
      <c r="Z398" s="53" t="str">
        <f>IF($D398="","",IFERROR(MATCH($D398,Îlots!$D$8:$D$57,0),""))</f>
        <v/>
      </c>
      <c r="AA398" s="53" t="str">
        <f>IF($G398="","",IFERROR(MATCH($G398,Fertilisants!$B$8:$B$47,0),""))</f>
        <v/>
      </c>
      <c r="AB398" s="53" t="str">
        <f>IF($Z398="","",INDEX(Îlots!$E$8:$E$57,$Z398))</f>
        <v/>
      </c>
      <c r="AC398" s="53" t="str">
        <f>IF($Z398="","",INDEX(Îlots!$G$8:$G$57,$Z398)&amp;"")</f>
        <v/>
      </c>
      <c r="AD398" s="53" t="str">
        <f>IF($Z398="","",IF($F398=ApportCouvert,OccCouvert,INDEX(Îlots!$O$8:$O$57,$Z398)&amp;""))</f>
        <v/>
      </c>
      <c r="AE398" s="53" t="str">
        <f t="shared" si="87"/>
        <v/>
      </c>
      <c r="AF398" s="53" t="str">
        <f t="shared" si="88"/>
        <v/>
      </c>
      <c r="AG398" s="53" t="str">
        <f t="shared" si="89"/>
        <v/>
      </c>
      <c r="AH398" s="53">
        <f t="shared" si="90"/>
        <v>0</v>
      </c>
      <c r="AI398" s="53">
        <f t="shared" si="91"/>
        <v>0</v>
      </c>
      <c r="AJ398" s="53">
        <f t="shared" si="92"/>
        <v>0</v>
      </c>
      <c r="AK398" s="53">
        <f t="shared" si="93"/>
        <v>0</v>
      </c>
      <c r="AL398" s="53">
        <f t="shared" si="94"/>
        <v>0</v>
      </c>
      <c r="AM398" s="53">
        <f>IF($AA398="",0,IF(INDEX(Fertilisants!$C$8:$C$47,$AA398)="Effluent d'élevage",1,0))</f>
        <v>0</v>
      </c>
      <c r="AN398" s="53" t="str">
        <f>IF($AA398="","",IF(INDEX(Fertilisants!$C$8:$C$47,$AA398)="Engrais minéral","Minéral","Organique"))</f>
        <v/>
      </c>
      <c r="AO398" s="53" t="str">
        <f t="shared" si="95"/>
        <v/>
      </c>
      <c r="AP398" s="53" t="str">
        <f t="shared" si="96"/>
        <v/>
      </c>
      <c r="AQ398" s="53" t="str">
        <f t="shared" si="97"/>
        <v/>
      </c>
      <c r="AR398" s="53" t="str">
        <f>IF(AND($D398&lt;&gt;"",$D398=FicheIlot),COUNTIF($D$8:$D398,FicheIlot),"")</f>
        <v/>
      </c>
    </row>
    <row r="399" spans="2:44" ht="18.95" customHeight="1" x14ac:dyDescent="0.25">
      <c r="B399" s="42" t="str">
        <f>IF(C399="","",COUNT($C$8:C399))</f>
        <v/>
      </c>
      <c r="C399" s="43"/>
      <c r="D399" s="44"/>
      <c r="E399" s="45" t="str">
        <f>IF($Z399="","",IF($F399=ApportCouvert,INDEX(Îlots!$I$8:$I$57,$Z399)&amp;"",INDEX(Îlots!$N$8:$N$57,$Z399)&amp;""))</f>
        <v/>
      </c>
      <c r="F399" s="44"/>
      <c r="G399" s="44"/>
      <c r="H399" s="46" t="str">
        <f>IF($AA399="","",INDEX(Fertilisants!$D$8:$D$47,$AA399)&amp;"")</f>
        <v/>
      </c>
      <c r="I399" s="47"/>
      <c r="J399" s="48"/>
      <c r="K399" s="46" t="str">
        <f>IF($AA399="","",INDEX(Fertilisants!$E$8:$E$47,$AA399)&amp;"")</f>
        <v/>
      </c>
      <c r="L399" s="49" t="str">
        <f t="shared" si="84"/>
        <v/>
      </c>
      <c r="M399" s="50" t="str">
        <f>IF(OR($J399="",$AA399=""),"",$J399*N(INDEX(Fertilisants!$G$8:$G$47,$AA399)))</f>
        <v/>
      </c>
      <c r="N399" s="50" t="str">
        <f>IF(OR($J399="",$AA399=""),"",$J399*N(INDEX(Fertilisants!$I$8:$I$47,$AA399)))</f>
        <v/>
      </c>
      <c r="O399" s="50" t="str">
        <f>IF(OR($J399="",$AA399=""),"",$J399*N(INDEX(Fertilisants!$J$8:$J$47,$AA399)))</f>
        <v/>
      </c>
      <c r="P399" s="50" t="str">
        <f>IF(OR($J399="",$AA399=""),"",$J399*N(INDEX(Fertilisants!$K$8:$K$47,$AA399)))</f>
        <v/>
      </c>
      <c r="Q399" s="50" t="str">
        <f t="shared" si="85"/>
        <v/>
      </c>
      <c r="R399" s="44"/>
      <c r="S399" s="44"/>
      <c r="T399" s="51"/>
      <c r="U399" s="44"/>
      <c r="V399" s="43"/>
      <c r="W399" s="52" t="str">
        <f t="shared" si="86"/>
        <v/>
      </c>
      <c r="X399" s="44"/>
      <c r="Z399" s="53" t="str">
        <f>IF($D399="","",IFERROR(MATCH($D399,Îlots!$D$8:$D$57,0),""))</f>
        <v/>
      </c>
      <c r="AA399" s="53" t="str">
        <f>IF($G399="","",IFERROR(MATCH($G399,Fertilisants!$B$8:$B$47,0),""))</f>
        <v/>
      </c>
      <c r="AB399" s="53" t="str">
        <f>IF($Z399="","",INDEX(Îlots!$E$8:$E$57,$Z399))</f>
        <v/>
      </c>
      <c r="AC399" s="53" t="str">
        <f>IF($Z399="","",INDEX(Îlots!$G$8:$G$57,$Z399)&amp;"")</f>
        <v/>
      </c>
      <c r="AD399" s="53" t="str">
        <f>IF($Z399="","",IF($F399=ApportCouvert,OccCouvert,INDEX(Îlots!$O$8:$O$57,$Z399)&amp;""))</f>
        <v/>
      </c>
      <c r="AE399" s="53" t="str">
        <f t="shared" si="87"/>
        <v/>
      </c>
      <c r="AF399" s="53" t="str">
        <f t="shared" si="88"/>
        <v/>
      </c>
      <c r="AG399" s="53" t="str">
        <f t="shared" si="89"/>
        <v/>
      </c>
      <c r="AH399" s="53">
        <f t="shared" si="90"/>
        <v>0</v>
      </c>
      <c r="AI399" s="53">
        <f t="shared" si="91"/>
        <v>0</v>
      </c>
      <c r="AJ399" s="53">
        <f t="shared" si="92"/>
        <v>0</v>
      </c>
      <c r="AK399" s="53">
        <f t="shared" si="93"/>
        <v>0</v>
      </c>
      <c r="AL399" s="53">
        <f t="shared" si="94"/>
        <v>0</v>
      </c>
      <c r="AM399" s="53">
        <f>IF($AA399="",0,IF(INDEX(Fertilisants!$C$8:$C$47,$AA399)="Effluent d'élevage",1,0))</f>
        <v>0</v>
      </c>
      <c r="AN399" s="53" t="str">
        <f>IF($AA399="","",IF(INDEX(Fertilisants!$C$8:$C$47,$AA399)="Engrais minéral","Minéral","Organique"))</f>
        <v/>
      </c>
      <c r="AO399" s="53" t="str">
        <f t="shared" si="95"/>
        <v/>
      </c>
      <c r="AP399" s="53" t="str">
        <f t="shared" si="96"/>
        <v/>
      </c>
      <c r="AQ399" s="53" t="str">
        <f t="shared" si="97"/>
        <v/>
      </c>
      <c r="AR399" s="53" t="str">
        <f>IF(AND($D399&lt;&gt;"",$D399=FicheIlot),COUNTIF($D$8:$D399,FicheIlot),"")</f>
        <v/>
      </c>
    </row>
    <row r="400" spans="2:44" ht="18.95" customHeight="1" x14ac:dyDescent="0.25">
      <c r="B400" s="42" t="str">
        <f>IF(C400="","",COUNT($C$8:C400))</f>
        <v/>
      </c>
      <c r="C400" s="43"/>
      <c r="D400" s="44"/>
      <c r="E400" s="45" t="str">
        <f>IF($Z400="","",IF($F400=ApportCouvert,INDEX(Îlots!$I$8:$I$57,$Z400)&amp;"",INDEX(Îlots!$N$8:$N$57,$Z400)&amp;""))</f>
        <v/>
      </c>
      <c r="F400" s="44"/>
      <c r="G400" s="44"/>
      <c r="H400" s="46" t="str">
        <f>IF($AA400="","",INDEX(Fertilisants!$D$8:$D$47,$AA400)&amp;"")</f>
        <v/>
      </c>
      <c r="I400" s="47"/>
      <c r="J400" s="48"/>
      <c r="K400" s="46" t="str">
        <f>IF($AA400="","",INDEX(Fertilisants!$E$8:$E$47,$AA400)&amp;"")</f>
        <v/>
      </c>
      <c r="L400" s="49" t="str">
        <f t="shared" si="84"/>
        <v/>
      </c>
      <c r="M400" s="50" t="str">
        <f>IF(OR($J400="",$AA400=""),"",$J400*N(INDEX(Fertilisants!$G$8:$G$47,$AA400)))</f>
        <v/>
      </c>
      <c r="N400" s="50" t="str">
        <f>IF(OR($J400="",$AA400=""),"",$J400*N(INDEX(Fertilisants!$I$8:$I$47,$AA400)))</f>
        <v/>
      </c>
      <c r="O400" s="50" t="str">
        <f>IF(OR($J400="",$AA400=""),"",$J400*N(INDEX(Fertilisants!$J$8:$J$47,$AA400)))</f>
        <v/>
      </c>
      <c r="P400" s="50" t="str">
        <f>IF(OR($J400="",$AA400=""),"",$J400*N(INDEX(Fertilisants!$K$8:$K$47,$AA400)))</f>
        <v/>
      </c>
      <c r="Q400" s="50" t="str">
        <f t="shared" si="85"/>
        <v/>
      </c>
      <c r="R400" s="44"/>
      <c r="S400" s="44"/>
      <c r="T400" s="51"/>
      <c r="U400" s="44"/>
      <c r="V400" s="43"/>
      <c r="W400" s="52" t="str">
        <f t="shared" si="86"/>
        <v/>
      </c>
      <c r="X400" s="44"/>
      <c r="Z400" s="53" t="str">
        <f>IF($D400="","",IFERROR(MATCH($D400,Îlots!$D$8:$D$57,0),""))</f>
        <v/>
      </c>
      <c r="AA400" s="53" t="str">
        <f>IF($G400="","",IFERROR(MATCH($G400,Fertilisants!$B$8:$B$47,0),""))</f>
        <v/>
      </c>
      <c r="AB400" s="53" t="str">
        <f>IF($Z400="","",INDEX(Îlots!$E$8:$E$57,$Z400))</f>
        <v/>
      </c>
      <c r="AC400" s="53" t="str">
        <f>IF($Z400="","",INDEX(Îlots!$G$8:$G$57,$Z400)&amp;"")</f>
        <v/>
      </c>
      <c r="AD400" s="53" t="str">
        <f>IF($Z400="","",IF($F400=ApportCouvert,OccCouvert,INDEX(Îlots!$O$8:$O$57,$Z400)&amp;""))</f>
        <v/>
      </c>
      <c r="AE400" s="53" t="str">
        <f t="shared" si="87"/>
        <v/>
      </c>
      <c r="AF400" s="53" t="str">
        <f t="shared" si="88"/>
        <v/>
      </c>
      <c r="AG400" s="53" t="str">
        <f t="shared" si="89"/>
        <v/>
      </c>
      <c r="AH400" s="53">
        <f t="shared" si="90"/>
        <v>0</v>
      </c>
      <c r="AI400" s="53">
        <f t="shared" si="91"/>
        <v>0</v>
      </c>
      <c r="AJ400" s="53">
        <f t="shared" si="92"/>
        <v>0</v>
      </c>
      <c r="AK400" s="53">
        <f t="shared" si="93"/>
        <v>0</v>
      </c>
      <c r="AL400" s="53">
        <f t="shared" si="94"/>
        <v>0</v>
      </c>
      <c r="AM400" s="53">
        <f>IF($AA400="",0,IF(INDEX(Fertilisants!$C$8:$C$47,$AA400)="Effluent d'élevage",1,0))</f>
        <v>0</v>
      </c>
      <c r="AN400" s="53" t="str">
        <f>IF($AA400="","",IF(INDEX(Fertilisants!$C$8:$C$47,$AA400)="Engrais minéral","Minéral","Organique"))</f>
        <v/>
      </c>
      <c r="AO400" s="53" t="str">
        <f t="shared" si="95"/>
        <v/>
      </c>
      <c r="AP400" s="53" t="str">
        <f t="shared" si="96"/>
        <v/>
      </c>
      <c r="AQ400" s="53" t="str">
        <f t="shared" si="97"/>
        <v/>
      </c>
      <c r="AR400" s="53" t="str">
        <f>IF(AND($D400&lt;&gt;"",$D400=FicheIlot),COUNTIF($D$8:$D400,FicheIlot),"")</f>
        <v/>
      </c>
    </row>
    <row r="401" spans="2:44" ht="18.95" customHeight="1" x14ac:dyDescent="0.25">
      <c r="B401" s="42" t="str">
        <f>IF(C401="","",COUNT($C$8:C401))</f>
        <v/>
      </c>
      <c r="C401" s="43"/>
      <c r="D401" s="44"/>
      <c r="E401" s="45" t="str">
        <f>IF($Z401="","",IF($F401=ApportCouvert,INDEX(Îlots!$I$8:$I$57,$Z401)&amp;"",INDEX(Îlots!$N$8:$N$57,$Z401)&amp;""))</f>
        <v/>
      </c>
      <c r="F401" s="44"/>
      <c r="G401" s="44"/>
      <c r="H401" s="46" t="str">
        <f>IF($AA401="","",INDEX(Fertilisants!$D$8:$D$47,$AA401)&amp;"")</f>
        <v/>
      </c>
      <c r="I401" s="47"/>
      <c r="J401" s="48"/>
      <c r="K401" s="46" t="str">
        <f>IF($AA401="","",INDEX(Fertilisants!$E$8:$E$47,$AA401)&amp;"")</f>
        <v/>
      </c>
      <c r="L401" s="49" t="str">
        <f t="shared" si="84"/>
        <v/>
      </c>
      <c r="M401" s="50" t="str">
        <f>IF(OR($J401="",$AA401=""),"",$J401*N(INDEX(Fertilisants!$G$8:$G$47,$AA401)))</f>
        <v/>
      </c>
      <c r="N401" s="50" t="str">
        <f>IF(OR($J401="",$AA401=""),"",$J401*N(INDEX(Fertilisants!$I$8:$I$47,$AA401)))</f>
        <v/>
      </c>
      <c r="O401" s="50" t="str">
        <f>IF(OR($J401="",$AA401=""),"",$J401*N(INDEX(Fertilisants!$J$8:$J$47,$AA401)))</f>
        <v/>
      </c>
      <c r="P401" s="50" t="str">
        <f>IF(OR($J401="",$AA401=""),"",$J401*N(INDEX(Fertilisants!$K$8:$K$47,$AA401)))</f>
        <v/>
      </c>
      <c r="Q401" s="50" t="str">
        <f t="shared" si="85"/>
        <v/>
      </c>
      <c r="R401" s="44"/>
      <c r="S401" s="44"/>
      <c r="T401" s="51"/>
      <c r="U401" s="44"/>
      <c r="V401" s="43"/>
      <c r="W401" s="52" t="str">
        <f t="shared" si="86"/>
        <v/>
      </c>
      <c r="X401" s="44"/>
      <c r="Z401" s="53" t="str">
        <f>IF($D401="","",IFERROR(MATCH($D401,Îlots!$D$8:$D$57,0),""))</f>
        <v/>
      </c>
      <c r="AA401" s="53" t="str">
        <f>IF($G401="","",IFERROR(MATCH($G401,Fertilisants!$B$8:$B$47,0),""))</f>
        <v/>
      </c>
      <c r="AB401" s="53" t="str">
        <f>IF($Z401="","",INDEX(Îlots!$E$8:$E$57,$Z401))</f>
        <v/>
      </c>
      <c r="AC401" s="53" t="str">
        <f>IF($Z401="","",INDEX(Îlots!$G$8:$G$57,$Z401)&amp;"")</f>
        <v/>
      </c>
      <c r="AD401" s="53" t="str">
        <f>IF($Z401="","",IF($F401=ApportCouvert,OccCouvert,INDEX(Îlots!$O$8:$O$57,$Z401)&amp;""))</f>
        <v/>
      </c>
      <c r="AE401" s="53" t="str">
        <f t="shared" si="87"/>
        <v/>
      </c>
      <c r="AF401" s="53" t="str">
        <f t="shared" si="88"/>
        <v/>
      </c>
      <c r="AG401" s="53" t="str">
        <f t="shared" si="89"/>
        <v/>
      </c>
      <c r="AH401" s="53">
        <f t="shared" si="90"/>
        <v>0</v>
      </c>
      <c r="AI401" s="53">
        <f t="shared" si="91"/>
        <v>0</v>
      </c>
      <c r="AJ401" s="53">
        <f t="shared" si="92"/>
        <v>0</v>
      </c>
      <c r="AK401" s="53">
        <f t="shared" si="93"/>
        <v>0</v>
      </c>
      <c r="AL401" s="53">
        <f t="shared" si="94"/>
        <v>0</v>
      </c>
      <c r="AM401" s="53">
        <f>IF($AA401="",0,IF(INDEX(Fertilisants!$C$8:$C$47,$AA401)="Effluent d'élevage",1,0))</f>
        <v>0</v>
      </c>
      <c r="AN401" s="53" t="str">
        <f>IF($AA401="","",IF(INDEX(Fertilisants!$C$8:$C$47,$AA401)="Engrais minéral","Minéral","Organique"))</f>
        <v/>
      </c>
      <c r="AO401" s="53" t="str">
        <f t="shared" si="95"/>
        <v/>
      </c>
      <c r="AP401" s="53" t="str">
        <f t="shared" si="96"/>
        <v/>
      </c>
      <c r="AQ401" s="53" t="str">
        <f t="shared" si="97"/>
        <v/>
      </c>
      <c r="AR401" s="53" t="str">
        <f>IF(AND($D401&lt;&gt;"",$D401=FicheIlot),COUNTIF($D$8:$D401,FicheIlot),"")</f>
        <v/>
      </c>
    </row>
    <row r="402" spans="2:44" ht="18.95" customHeight="1" x14ac:dyDescent="0.25">
      <c r="B402" s="42" t="str">
        <f>IF(C402="","",COUNT($C$8:C402))</f>
        <v/>
      </c>
      <c r="C402" s="43"/>
      <c r="D402" s="44"/>
      <c r="E402" s="45" t="str">
        <f>IF($Z402="","",IF($F402=ApportCouvert,INDEX(Îlots!$I$8:$I$57,$Z402)&amp;"",INDEX(Îlots!$N$8:$N$57,$Z402)&amp;""))</f>
        <v/>
      </c>
      <c r="F402" s="44"/>
      <c r="G402" s="44"/>
      <c r="H402" s="46" t="str">
        <f>IF($AA402="","",INDEX(Fertilisants!$D$8:$D$47,$AA402)&amp;"")</f>
        <v/>
      </c>
      <c r="I402" s="47"/>
      <c r="J402" s="48"/>
      <c r="K402" s="46" t="str">
        <f>IF($AA402="","",INDEX(Fertilisants!$E$8:$E$47,$AA402)&amp;"")</f>
        <v/>
      </c>
      <c r="L402" s="49" t="str">
        <f t="shared" si="84"/>
        <v/>
      </c>
      <c r="M402" s="50" t="str">
        <f>IF(OR($J402="",$AA402=""),"",$J402*N(INDEX(Fertilisants!$G$8:$G$47,$AA402)))</f>
        <v/>
      </c>
      <c r="N402" s="50" t="str">
        <f>IF(OR($J402="",$AA402=""),"",$J402*N(INDEX(Fertilisants!$I$8:$I$47,$AA402)))</f>
        <v/>
      </c>
      <c r="O402" s="50" t="str">
        <f>IF(OR($J402="",$AA402=""),"",$J402*N(INDEX(Fertilisants!$J$8:$J$47,$AA402)))</f>
        <v/>
      </c>
      <c r="P402" s="50" t="str">
        <f>IF(OR($J402="",$AA402=""),"",$J402*N(INDEX(Fertilisants!$K$8:$K$47,$AA402)))</f>
        <v/>
      </c>
      <c r="Q402" s="50" t="str">
        <f t="shared" si="85"/>
        <v/>
      </c>
      <c r="R402" s="44"/>
      <c r="S402" s="44"/>
      <c r="T402" s="51"/>
      <c r="U402" s="44"/>
      <c r="V402" s="43"/>
      <c r="W402" s="52" t="str">
        <f t="shared" si="86"/>
        <v/>
      </c>
      <c r="X402" s="44"/>
      <c r="Z402" s="53" t="str">
        <f>IF($D402="","",IFERROR(MATCH($D402,Îlots!$D$8:$D$57,0),""))</f>
        <v/>
      </c>
      <c r="AA402" s="53" t="str">
        <f>IF($G402="","",IFERROR(MATCH($G402,Fertilisants!$B$8:$B$47,0),""))</f>
        <v/>
      </c>
      <c r="AB402" s="53" t="str">
        <f>IF($Z402="","",INDEX(Îlots!$E$8:$E$57,$Z402))</f>
        <v/>
      </c>
      <c r="AC402" s="53" t="str">
        <f>IF($Z402="","",INDEX(Îlots!$G$8:$G$57,$Z402)&amp;"")</f>
        <v/>
      </c>
      <c r="AD402" s="53" t="str">
        <f>IF($Z402="","",IF($F402=ApportCouvert,OccCouvert,INDEX(Îlots!$O$8:$O$57,$Z402)&amp;""))</f>
        <v/>
      </c>
      <c r="AE402" s="53" t="str">
        <f t="shared" si="87"/>
        <v/>
      </c>
      <c r="AF402" s="53" t="str">
        <f t="shared" si="88"/>
        <v/>
      </c>
      <c r="AG402" s="53" t="str">
        <f t="shared" si="89"/>
        <v/>
      </c>
      <c r="AH402" s="53">
        <f t="shared" si="90"/>
        <v>0</v>
      </c>
      <c r="AI402" s="53">
        <f t="shared" si="91"/>
        <v>0</v>
      </c>
      <c r="AJ402" s="53">
        <f t="shared" si="92"/>
        <v>0</v>
      </c>
      <c r="AK402" s="53">
        <f t="shared" si="93"/>
        <v>0</v>
      </c>
      <c r="AL402" s="53">
        <f t="shared" si="94"/>
        <v>0</v>
      </c>
      <c r="AM402" s="53">
        <f>IF($AA402="",0,IF(INDEX(Fertilisants!$C$8:$C$47,$AA402)="Effluent d'élevage",1,0))</f>
        <v>0</v>
      </c>
      <c r="AN402" s="53" t="str">
        <f>IF($AA402="","",IF(INDEX(Fertilisants!$C$8:$C$47,$AA402)="Engrais minéral","Minéral","Organique"))</f>
        <v/>
      </c>
      <c r="AO402" s="53" t="str">
        <f t="shared" si="95"/>
        <v/>
      </c>
      <c r="AP402" s="53" t="str">
        <f t="shared" si="96"/>
        <v/>
      </c>
      <c r="AQ402" s="53" t="str">
        <f t="shared" si="97"/>
        <v/>
      </c>
      <c r="AR402" s="53" t="str">
        <f>IF(AND($D402&lt;&gt;"",$D402=FicheIlot),COUNTIF($D$8:$D402,FicheIlot),"")</f>
        <v/>
      </c>
    </row>
    <row r="403" spans="2:44" ht="18.95" customHeight="1" x14ac:dyDescent="0.25">
      <c r="B403" s="42" t="str">
        <f>IF(C403="","",COUNT($C$8:C403))</f>
        <v/>
      </c>
      <c r="C403" s="43"/>
      <c r="D403" s="44"/>
      <c r="E403" s="45" t="str">
        <f>IF($Z403="","",IF($F403=ApportCouvert,INDEX(Îlots!$I$8:$I$57,$Z403)&amp;"",INDEX(Îlots!$N$8:$N$57,$Z403)&amp;""))</f>
        <v/>
      </c>
      <c r="F403" s="44"/>
      <c r="G403" s="44"/>
      <c r="H403" s="46" t="str">
        <f>IF($AA403="","",INDEX(Fertilisants!$D$8:$D$47,$AA403)&amp;"")</f>
        <v/>
      </c>
      <c r="I403" s="47"/>
      <c r="J403" s="48"/>
      <c r="K403" s="46" t="str">
        <f>IF($AA403="","",INDEX(Fertilisants!$E$8:$E$47,$AA403)&amp;"")</f>
        <v/>
      </c>
      <c r="L403" s="49" t="str">
        <f t="shared" si="84"/>
        <v/>
      </c>
      <c r="M403" s="50" t="str">
        <f>IF(OR($J403="",$AA403=""),"",$J403*N(INDEX(Fertilisants!$G$8:$G$47,$AA403)))</f>
        <v/>
      </c>
      <c r="N403" s="50" t="str">
        <f>IF(OR($J403="",$AA403=""),"",$J403*N(INDEX(Fertilisants!$I$8:$I$47,$AA403)))</f>
        <v/>
      </c>
      <c r="O403" s="50" t="str">
        <f>IF(OR($J403="",$AA403=""),"",$J403*N(INDEX(Fertilisants!$J$8:$J$47,$AA403)))</f>
        <v/>
      </c>
      <c r="P403" s="50" t="str">
        <f>IF(OR($J403="",$AA403=""),"",$J403*N(INDEX(Fertilisants!$K$8:$K$47,$AA403)))</f>
        <v/>
      </c>
      <c r="Q403" s="50" t="str">
        <f t="shared" si="85"/>
        <v/>
      </c>
      <c r="R403" s="44"/>
      <c r="S403" s="44"/>
      <c r="T403" s="51"/>
      <c r="U403" s="44"/>
      <c r="V403" s="43"/>
      <c r="W403" s="52" t="str">
        <f t="shared" si="86"/>
        <v/>
      </c>
      <c r="X403" s="44"/>
      <c r="Z403" s="53" t="str">
        <f>IF($D403="","",IFERROR(MATCH($D403,Îlots!$D$8:$D$57,0),""))</f>
        <v/>
      </c>
      <c r="AA403" s="53" t="str">
        <f>IF($G403="","",IFERROR(MATCH($G403,Fertilisants!$B$8:$B$47,0),""))</f>
        <v/>
      </c>
      <c r="AB403" s="53" t="str">
        <f>IF($Z403="","",INDEX(Îlots!$E$8:$E$57,$Z403))</f>
        <v/>
      </c>
      <c r="AC403" s="53" t="str">
        <f>IF($Z403="","",INDEX(Îlots!$G$8:$G$57,$Z403)&amp;"")</f>
        <v/>
      </c>
      <c r="AD403" s="53" t="str">
        <f>IF($Z403="","",IF($F403=ApportCouvert,OccCouvert,INDEX(Îlots!$O$8:$O$57,$Z403)&amp;""))</f>
        <v/>
      </c>
      <c r="AE403" s="53" t="str">
        <f t="shared" si="87"/>
        <v/>
      </c>
      <c r="AF403" s="53" t="str">
        <f t="shared" si="88"/>
        <v/>
      </c>
      <c r="AG403" s="53" t="str">
        <f t="shared" si="89"/>
        <v/>
      </c>
      <c r="AH403" s="53">
        <f t="shared" si="90"/>
        <v>0</v>
      </c>
      <c r="AI403" s="53">
        <f t="shared" si="91"/>
        <v>0</v>
      </c>
      <c r="AJ403" s="53">
        <f t="shared" si="92"/>
        <v>0</v>
      </c>
      <c r="AK403" s="53">
        <f t="shared" si="93"/>
        <v>0</v>
      </c>
      <c r="AL403" s="53">
        <f t="shared" si="94"/>
        <v>0</v>
      </c>
      <c r="AM403" s="53">
        <f>IF($AA403="",0,IF(INDEX(Fertilisants!$C$8:$C$47,$AA403)="Effluent d'élevage",1,0))</f>
        <v>0</v>
      </c>
      <c r="AN403" s="53" t="str">
        <f>IF($AA403="","",IF(INDEX(Fertilisants!$C$8:$C$47,$AA403)="Engrais minéral","Minéral","Organique"))</f>
        <v/>
      </c>
      <c r="AO403" s="53" t="str">
        <f t="shared" si="95"/>
        <v/>
      </c>
      <c r="AP403" s="53" t="str">
        <f t="shared" si="96"/>
        <v/>
      </c>
      <c r="AQ403" s="53" t="str">
        <f t="shared" si="97"/>
        <v/>
      </c>
      <c r="AR403" s="53" t="str">
        <f>IF(AND($D403&lt;&gt;"",$D403=FicheIlot),COUNTIF($D$8:$D403,FicheIlot),"")</f>
        <v/>
      </c>
    </row>
    <row r="404" spans="2:44" ht="18.95" customHeight="1" x14ac:dyDescent="0.25">
      <c r="B404" s="42" t="str">
        <f>IF(C404="","",COUNT($C$8:C404))</f>
        <v/>
      </c>
      <c r="C404" s="43"/>
      <c r="D404" s="44"/>
      <c r="E404" s="45" t="str">
        <f>IF($Z404="","",IF($F404=ApportCouvert,INDEX(Îlots!$I$8:$I$57,$Z404)&amp;"",INDEX(Îlots!$N$8:$N$57,$Z404)&amp;""))</f>
        <v/>
      </c>
      <c r="F404" s="44"/>
      <c r="G404" s="44"/>
      <c r="H404" s="46" t="str">
        <f>IF($AA404="","",INDEX(Fertilisants!$D$8:$D$47,$AA404)&amp;"")</f>
        <v/>
      </c>
      <c r="I404" s="47"/>
      <c r="J404" s="48"/>
      <c r="K404" s="46" t="str">
        <f>IF($AA404="","",INDEX(Fertilisants!$E$8:$E$47,$AA404)&amp;"")</f>
        <v/>
      </c>
      <c r="L404" s="49" t="str">
        <f t="shared" si="84"/>
        <v/>
      </c>
      <c r="M404" s="50" t="str">
        <f>IF(OR($J404="",$AA404=""),"",$J404*N(INDEX(Fertilisants!$G$8:$G$47,$AA404)))</f>
        <v/>
      </c>
      <c r="N404" s="50" t="str">
        <f>IF(OR($J404="",$AA404=""),"",$J404*N(INDEX(Fertilisants!$I$8:$I$47,$AA404)))</f>
        <v/>
      </c>
      <c r="O404" s="50" t="str">
        <f>IF(OR($J404="",$AA404=""),"",$J404*N(INDEX(Fertilisants!$J$8:$J$47,$AA404)))</f>
        <v/>
      </c>
      <c r="P404" s="50" t="str">
        <f>IF(OR($J404="",$AA404=""),"",$J404*N(INDEX(Fertilisants!$K$8:$K$47,$AA404)))</f>
        <v/>
      </c>
      <c r="Q404" s="50" t="str">
        <f t="shared" si="85"/>
        <v/>
      </c>
      <c r="R404" s="44"/>
      <c r="S404" s="44"/>
      <c r="T404" s="51"/>
      <c r="U404" s="44"/>
      <c r="V404" s="43"/>
      <c r="W404" s="52" t="str">
        <f t="shared" si="86"/>
        <v/>
      </c>
      <c r="X404" s="44"/>
      <c r="Z404" s="53" t="str">
        <f>IF($D404="","",IFERROR(MATCH($D404,Îlots!$D$8:$D$57,0),""))</f>
        <v/>
      </c>
      <c r="AA404" s="53" t="str">
        <f>IF($G404="","",IFERROR(MATCH($G404,Fertilisants!$B$8:$B$47,0),""))</f>
        <v/>
      </c>
      <c r="AB404" s="53" t="str">
        <f>IF($Z404="","",INDEX(Îlots!$E$8:$E$57,$Z404))</f>
        <v/>
      </c>
      <c r="AC404" s="53" t="str">
        <f>IF($Z404="","",INDEX(Îlots!$G$8:$G$57,$Z404)&amp;"")</f>
        <v/>
      </c>
      <c r="AD404" s="53" t="str">
        <f>IF($Z404="","",IF($F404=ApportCouvert,OccCouvert,INDEX(Îlots!$O$8:$O$57,$Z404)&amp;""))</f>
        <v/>
      </c>
      <c r="AE404" s="53" t="str">
        <f t="shared" si="87"/>
        <v/>
      </c>
      <c r="AF404" s="53" t="str">
        <f t="shared" si="88"/>
        <v/>
      </c>
      <c r="AG404" s="53" t="str">
        <f t="shared" si="89"/>
        <v/>
      </c>
      <c r="AH404" s="53">
        <f t="shared" si="90"/>
        <v>0</v>
      </c>
      <c r="AI404" s="53">
        <f t="shared" si="91"/>
        <v>0</v>
      </c>
      <c r="AJ404" s="53">
        <f t="shared" si="92"/>
        <v>0</v>
      </c>
      <c r="AK404" s="53">
        <f t="shared" si="93"/>
        <v>0</v>
      </c>
      <c r="AL404" s="53">
        <f t="shared" si="94"/>
        <v>0</v>
      </c>
      <c r="AM404" s="53">
        <f>IF($AA404="",0,IF(INDEX(Fertilisants!$C$8:$C$47,$AA404)="Effluent d'élevage",1,0))</f>
        <v>0</v>
      </c>
      <c r="AN404" s="53" t="str">
        <f>IF($AA404="","",IF(INDEX(Fertilisants!$C$8:$C$47,$AA404)="Engrais minéral","Minéral","Organique"))</f>
        <v/>
      </c>
      <c r="AO404" s="53" t="str">
        <f t="shared" si="95"/>
        <v/>
      </c>
      <c r="AP404" s="53" t="str">
        <f t="shared" si="96"/>
        <v/>
      </c>
      <c r="AQ404" s="53" t="str">
        <f t="shared" si="97"/>
        <v/>
      </c>
      <c r="AR404" s="53" t="str">
        <f>IF(AND($D404&lt;&gt;"",$D404=FicheIlot),COUNTIF($D$8:$D404,FicheIlot),"")</f>
        <v/>
      </c>
    </row>
    <row r="405" spans="2:44" ht="18.95" customHeight="1" x14ac:dyDescent="0.25">
      <c r="B405" s="42" t="str">
        <f>IF(C405="","",COUNT($C$8:C405))</f>
        <v/>
      </c>
      <c r="C405" s="43"/>
      <c r="D405" s="44"/>
      <c r="E405" s="45" t="str">
        <f>IF($Z405="","",IF($F405=ApportCouvert,INDEX(Îlots!$I$8:$I$57,$Z405)&amp;"",INDEX(Îlots!$N$8:$N$57,$Z405)&amp;""))</f>
        <v/>
      </c>
      <c r="F405" s="44"/>
      <c r="G405" s="44"/>
      <c r="H405" s="46" t="str">
        <f>IF($AA405="","",INDEX(Fertilisants!$D$8:$D$47,$AA405)&amp;"")</f>
        <v/>
      </c>
      <c r="I405" s="47"/>
      <c r="J405" s="48"/>
      <c r="K405" s="46" t="str">
        <f>IF($AA405="","",INDEX(Fertilisants!$E$8:$E$47,$AA405)&amp;"")</f>
        <v/>
      </c>
      <c r="L405" s="49" t="str">
        <f t="shared" si="84"/>
        <v/>
      </c>
      <c r="M405" s="50" t="str">
        <f>IF(OR($J405="",$AA405=""),"",$J405*N(INDEX(Fertilisants!$G$8:$G$47,$AA405)))</f>
        <v/>
      </c>
      <c r="N405" s="50" t="str">
        <f>IF(OR($J405="",$AA405=""),"",$J405*N(INDEX(Fertilisants!$I$8:$I$47,$AA405)))</f>
        <v/>
      </c>
      <c r="O405" s="50" t="str">
        <f>IF(OR($J405="",$AA405=""),"",$J405*N(INDEX(Fertilisants!$J$8:$J$47,$AA405)))</f>
        <v/>
      </c>
      <c r="P405" s="50" t="str">
        <f>IF(OR($J405="",$AA405=""),"",$J405*N(INDEX(Fertilisants!$K$8:$K$47,$AA405)))</f>
        <v/>
      </c>
      <c r="Q405" s="50" t="str">
        <f t="shared" si="85"/>
        <v/>
      </c>
      <c r="R405" s="44"/>
      <c r="S405" s="44"/>
      <c r="T405" s="51"/>
      <c r="U405" s="44"/>
      <c r="V405" s="43"/>
      <c r="W405" s="52" t="str">
        <f t="shared" si="86"/>
        <v/>
      </c>
      <c r="X405" s="44"/>
      <c r="Z405" s="53" t="str">
        <f>IF($D405="","",IFERROR(MATCH($D405,Îlots!$D$8:$D$57,0),""))</f>
        <v/>
      </c>
      <c r="AA405" s="53" t="str">
        <f>IF($G405="","",IFERROR(MATCH($G405,Fertilisants!$B$8:$B$47,0),""))</f>
        <v/>
      </c>
      <c r="AB405" s="53" t="str">
        <f>IF($Z405="","",INDEX(Îlots!$E$8:$E$57,$Z405))</f>
        <v/>
      </c>
      <c r="AC405" s="53" t="str">
        <f>IF($Z405="","",INDEX(Îlots!$G$8:$G$57,$Z405)&amp;"")</f>
        <v/>
      </c>
      <c r="AD405" s="53" t="str">
        <f>IF($Z405="","",IF($F405=ApportCouvert,OccCouvert,INDEX(Îlots!$O$8:$O$57,$Z405)&amp;""))</f>
        <v/>
      </c>
      <c r="AE405" s="53" t="str">
        <f t="shared" si="87"/>
        <v/>
      </c>
      <c r="AF405" s="53" t="str">
        <f t="shared" si="88"/>
        <v/>
      </c>
      <c r="AG405" s="53" t="str">
        <f t="shared" si="89"/>
        <v/>
      </c>
      <c r="AH405" s="53">
        <f t="shared" si="90"/>
        <v>0</v>
      </c>
      <c r="AI405" s="53">
        <f t="shared" si="91"/>
        <v>0</v>
      </c>
      <c r="AJ405" s="53">
        <f t="shared" si="92"/>
        <v>0</v>
      </c>
      <c r="AK405" s="53">
        <f t="shared" si="93"/>
        <v>0</v>
      </c>
      <c r="AL405" s="53">
        <f t="shared" si="94"/>
        <v>0</v>
      </c>
      <c r="AM405" s="53">
        <f>IF($AA405="",0,IF(INDEX(Fertilisants!$C$8:$C$47,$AA405)="Effluent d'élevage",1,0))</f>
        <v>0</v>
      </c>
      <c r="AN405" s="53" t="str">
        <f>IF($AA405="","",IF(INDEX(Fertilisants!$C$8:$C$47,$AA405)="Engrais minéral","Minéral","Organique"))</f>
        <v/>
      </c>
      <c r="AO405" s="53" t="str">
        <f t="shared" si="95"/>
        <v/>
      </c>
      <c r="AP405" s="53" t="str">
        <f t="shared" si="96"/>
        <v/>
      </c>
      <c r="AQ405" s="53" t="str">
        <f t="shared" si="97"/>
        <v/>
      </c>
      <c r="AR405" s="53" t="str">
        <f>IF(AND($D405&lt;&gt;"",$D405=FicheIlot),COUNTIF($D$8:$D405,FicheIlot),"")</f>
        <v/>
      </c>
    </row>
    <row r="406" spans="2:44" ht="18.95" customHeight="1" x14ac:dyDescent="0.25">
      <c r="B406" s="42" t="str">
        <f>IF(C406="","",COUNT($C$8:C406))</f>
        <v/>
      </c>
      <c r="C406" s="43"/>
      <c r="D406" s="44"/>
      <c r="E406" s="45" t="str">
        <f>IF($Z406="","",IF($F406=ApportCouvert,INDEX(Îlots!$I$8:$I$57,$Z406)&amp;"",INDEX(Îlots!$N$8:$N$57,$Z406)&amp;""))</f>
        <v/>
      </c>
      <c r="F406" s="44"/>
      <c r="G406" s="44"/>
      <c r="H406" s="46" t="str">
        <f>IF($AA406="","",INDEX(Fertilisants!$D$8:$D$47,$AA406)&amp;"")</f>
        <v/>
      </c>
      <c r="I406" s="47"/>
      <c r="J406" s="48"/>
      <c r="K406" s="46" t="str">
        <f>IF($AA406="","",INDEX(Fertilisants!$E$8:$E$47,$AA406)&amp;"")</f>
        <v/>
      </c>
      <c r="L406" s="49" t="str">
        <f t="shared" si="84"/>
        <v/>
      </c>
      <c r="M406" s="50" t="str">
        <f>IF(OR($J406="",$AA406=""),"",$J406*N(INDEX(Fertilisants!$G$8:$G$47,$AA406)))</f>
        <v/>
      </c>
      <c r="N406" s="50" t="str">
        <f>IF(OR($J406="",$AA406=""),"",$J406*N(INDEX(Fertilisants!$I$8:$I$47,$AA406)))</f>
        <v/>
      </c>
      <c r="O406" s="50" t="str">
        <f>IF(OR($J406="",$AA406=""),"",$J406*N(INDEX(Fertilisants!$J$8:$J$47,$AA406)))</f>
        <v/>
      </c>
      <c r="P406" s="50" t="str">
        <f>IF(OR($J406="",$AA406=""),"",$J406*N(INDEX(Fertilisants!$K$8:$K$47,$AA406)))</f>
        <v/>
      </c>
      <c r="Q406" s="50" t="str">
        <f t="shared" si="85"/>
        <v/>
      </c>
      <c r="R406" s="44"/>
      <c r="S406" s="44"/>
      <c r="T406" s="51"/>
      <c r="U406" s="44"/>
      <c r="V406" s="43"/>
      <c r="W406" s="52" t="str">
        <f t="shared" si="86"/>
        <v/>
      </c>
      <c r="X406" s="44"/>
      <c r="Z406" s="53" t="str">
        <f>IF($D406="","",IFERROR(MATCH($D406,Îlots!$D$8:$D$57,0),""))</f>
        <v/>
      </c>
      <c r="AA406" s="53" t="str">
        <f>IF($G406="","",IFERROR(MATCH($G406,Fertilisants!$B$8:$B$47,0),""))</f>
        <v/>
      </c>
      <c r="AB406" s="53" t="str">
        <f>IF($Z406="","",INDEX(Îlots!$E$8:$E$57,$Z406))</f>
        <v/>
      </c>
      <c r="AC406" s="53" t="str">
        <f>IF($Z406="","",INDEX(Îlots!$G$8:$G$57,$Z406)&amp;"")</f>
        <v/>
      </c>
      <c r="AD406" s="53" t="str">
        <f>IF($Z406="","",IF($F406=ApportCouvert,OccCouvert,INDEX(Îlots!$O$8:$O$57,$Z406)&amp;""))</f>
        <v/>
      </c>
      <c r="AE406" s="53" t="str">
        <f t="shared" si="87"/>
        <v/>
      </c>
      <c r="AF406" s="53" t="str">
        <f t="shared" si="88"/>
        <v/>
      </c>
      <c r="AG406" s="53" t="str">
        <f t="shared" si="89"/>
        <v/>
      </c>
      <c r="AH406" s="53">
        <f t="shared" si="90"/>
        <v>0</v>
      </c>
      <c r="AI406" s="53">
        <f t="shared" si="91"/>
        <v>0</v>
      </c>
      <c r="AJ406" s="53">
        <f t="shared" si="92"/>
        <v>0</v>
      </c>
      <c r="AK406" s="53">
        <f t="shared" si="93"/>
        <v>0</v>
      </c>
      <c r="AL406" s="53">
        <f t="shared" si="94"/>
        <v>0</v>
      </c>
      <c r="AM406" s="53">
        <f>IF($AA406="",0,IF(INDEX(Fertilisants!$C$8:$C$47,$AA406)="Effluent d'élevage",1,0))</f>
        <v>0</v>
      </c>
      <c r="AN406" s="53" t="str">
        <f>IF($AA406="","",IF(INDEX(Fertilisants!$C$8:$C$47,$AA406)="Engrais minéral","Minéral","Organique"))</f>
        <v/>
      </c>
      <c r="AO406" s="53" t="str">
        <f t="shared" si="95"/>
        <v/>
      </c>
      <c r="AP406" s="53" t="str">
        <f t="shared" si="96"/>
        <v/>
      </c>
      <c r="AQ406" s="53" t="str">
        <f t="shared" si="97"/>
        <v/>
      </c>
      <c r="AR406" s="53" t="str">
        <f>IF(AND($D406&lt;&gt;"",$D406=FicheIlot),COUNTIF($D$8:$D406,FicheIlot),"")</f>
        <v/>
      </c>
    </row>
    <row r="407" spans="2:44" ht="18.95" customHeight="1" x14ac:dyDescent="0.25">
      <c r="B407" s="42" t="str">
        <f>IF(C407="","",COUNT($C$8:C407))</f>
        <v/>
      </c>
      <c r="C407" s="43"/>
      <c r="D407" s="44"/>
      <c r="E407" s="45" t="str">
        <f>IF($Z407="","",IF($F407=ApportCouvert,INDEX(Îlots!$I$8:$I$57,$Z407)&amp;"",INDEX(Îlots!$N$8:$N$57,$Z407)&amp;""))</f>
        <v/>
      </c>
      <c r="F407" s="44"/>
      <c r="G407" s="44"/>
      <c r="H407" s="46" t="str">
        <f>IF($AA407="","",INDEX(Fertilisants!$D$8:$D$47,$AA407)&amp;"")</f>
        <v/>
      </c>
      <c r="I407" s="47"/>
      <c r="J407" s="48"/>
      <c r="K407" s="46" t="str">
        <f>IF($AA407="","",INDEX(Fertilisants!$E$8:$E$47,$AA407)&amp;"")</f>
        <v/>
      </c>
      <c r="L407" s="49" t="str">
        <f t="shared" si="84"/>
        <v/>
      </c>
      <c r="M407" s="50" t="str">
        <f>IF(OR($J407="",$AA407=""),"",$J407*N(INDEX(Fertilisants!$G$8:$G$47,$AA407)))</f>
        <v/>
      </c>
      <c r="N407" s="50" t="str">
        <f>IF(OR($J407="",$AA407=""),"",$J407*N(INDEX(Fertilisants!$I$8:$I$47,$AA407)))</f>
        <v/>
      </c>
      <c r="O407" s="50" t="str">
        <f>IF(OR($J407="",$AA407=""),"",$J407*N(INDEX(Fertilisants!$J$8:$J$47,$AA407)))</f>
        <v/>
      </c>
      <c r="P407" s="50" t="str">
        <f>IF(OR($J407="",$AA407=""),"",$J407*N(INDEX(Fertilisants!$K$8:$K$47,$AA407)))</f>
        <v/>
      </c>
      <c r="Q407" s="50" t="str">
        <f t="shared" si="85"/>
        <v/>
      </c>
      <c r="R407" s="44"/>
      <c r="S407" s="44"/>
      <c r="T407" s="51"/>
      <c r="U407" s="44"/>
      <c r="V407" s="43"/>
      <c r="W407" s="52" t="str">
        <f t="shared" si="86"/>
        <v/>
      </c>
      <c r="X407" s="44"/>
      <c r="Z407" s="53" t="str">
        <f>IF($D407="","",IFERROR(MATCH($D407,Îlots!$D$8:$D$57,0),""))</f>
        <v/>
      </c>
      <c r="AA407" s="53" t="str">
        <f>IF($G407="","",IFERROR(MATCH($G407,Fertilisants!$B$8:$B$47,0),""))</f>
        <v/>
      </c>
      <c r="AB407" s="53" t="str">
        <f>IF($Z407="","",INDEX(Îlots!$E$8:$E$57,$Z407))</f>
        <v/>
      </c>
      <c r="AC407" s="53" t="str">
        <f>IF($Z407="","",INDEX(Îlots!$G$8:$G$57,$Z407)&amp;"")</f>
        <v/>
      </c>
      <c r="AD407" s="53" t="str">
        <f>IF($Z407="","",IF($F407=ApportCouvert,OccCouvert,INDEX(Îlots!$O$8:$O$57,$Z407)&amp;""))</f>
        <v/>
      </c>
      <c r="AE407" s="53" t="str">
        <f t="shared" si="87"/>
        <v/>
      </c>
      <c r="AF407" s="53" t="str">
        <f t="shared" si="88"/>
        <v/>
      </c>
      <c r="AG407" s="53" t="str">
        <f t="shared" si="89"/>
        <v/>
      </c>
      <c r="AH407" s="53">
        <f t="shared" si="90"/>
        <v>0</v>
      </c>
      <c r="AI407" s="53">
        <f t="shared" si="91"/>
        <v>0</v>
      </c>
      <c r="AJ407" s="53">
        <f t="shared" si="92"/>
        <v>0</v>
      </c>
      <c r="AK407" s="53">
        <f t="shared" si="93"/>
        <v>0</v>
      </c>
      <c r="AL407" s="53">
        <f t="shared" si="94"/>
        <v>0</v>
      </c>
      <c r="AM407" s="53">
        <f>IF($AA407="",0,IF(INDEX(Fertilisants!$C$8:$C$47,$AA407)="Effluent d'élevage",1,0))</f>
        <v>0</v>
      </c>
      <c r="AN407" s="53" t="str">
        <f>IF($AA407="","",IF(INDEX(Fertilisants!$C$8:$C$47,$AA407)="Engrais minéral","Minéral","Organique"))</f>
        <v/>
      </c>
      <c r="AO407" s="53" t="str">
        <f t="shared" si="95"/>
        <v/>
      </c>
      <c r="AP407" s="53" t="str">
        <f t="shared" si="96"/>
        <v/>
      </c>
      <c r="AQ407" s="53" t="str">
        <f t="shared" si="97"/>
        <v/>
      </c>
      <c r="AR407" s="53" t="str">
        <f>IF(AND($D407&lt;&gt;"",$D407=FicheIlot),COUNTIF($D$8:$D407,FicheIlot),"")</f>
        <v/>
      </c>
    </row>
    <row r="408" spans="2:44" ht="18.95" customHeight="1" x14ac:dyDescent="0.25">
      <c r="B408" s="42" t="str">
        <f>IF(C408="","",COUNT($C$8:C408))</f>
        <v/>
      </c>
      <c r="C408" s="43"/>
      <c r="D408" s="44"/>
      <c r="E408" s="45" t="str">
        <f>IF($Z408="","",IF($F408=ApportCouvert,INDEX(Îlots!$I$8:$I$57,$Z408)&amp;"",INDEX(Îlots!$N$8:$N$57,$Z408)&amp;""))</f>
        <v/>
      </c>
      <c r="F408" s="44"/>
      <c r="G408" s="44"/>
      <c r="H408" s="46" t="str">
        <f>IF($AA408="","",INDEX(Fertilisants!$D$8:$D$47,$AA408)&amp;"")</f>
        <v/>
      </c>
      <c r="I408" s="47"/>
      <c r="J408" s="48"/>
      <c r="K408" s="46" t="str">
        <f>IF($AA408="","",INDEX(Fertilisants!$E$8:$E$47,$AA408)&amp;"")</f>
        <v/>
      </c>
      <c r="L408" s="49" t="str">
        <f t="shared" si="84"/>
        <v/>
      </c>
      <c r="M408" s="50" t="str">
        <f>IF(OR($J408="",$AA408=""),"",$J408*N(INDEX(Fertilisants!$G$8:$G$47,$AA408)))</f>
        <v/>
      </c>
      <c r="N408" s="50" t="str">
        <f>IF(OR($J408="",$AA408=""),"",$J408*N(INDEX(Fertilisants!$I$8:$I$47,$AA408)))</f>
        <v/>
      </c>
      <c r="O408" s="50" t="str">
        <f>IF(OR($J408="",$AA408=""),"",$J408*N(INDEX(Fertilisants!$J$8:$J$47,$AA408)))</f>
        <v/>
      </c>
      <c r="P408" s="50" t="str">
        <f>IF(OR($J408="",$AA408=""),"",$J408*N(INDEX(Fertilisants!$K$8:$K$47,$AA408)))</f>
        <v/>
      </c>
      <c r="Q408" s="50" t="str">
        <f t="shared" si="85"/>
        <v/>
      </c>
      <c r="R408" s="44"/>
      <c r="S408" s="44"/>
      <c r="T408" s="51"/>
      <c r="U408" s="44"/>
      <c r="V408" s="43"/>
      <c r="W408" s="52" t="str">
        <f t="shared" si="86"/>
        <v/>
      </c>
      <c r="X408" s="44"/>
      <c r="Z408" s="53" t="str">
        <f>IF($D408="","",IFERROR(MATCH($D408,Îlots!$D$8:$D$57,0),""))</f>
        <v/>
      </c>
      <c r="AA408" s="53" t="str">
        <f>IF($G408="","",IFERROR(MATCH($G408,Fertilisants!$B$8:$B$47,0),""))</f>
        <v/>
      </c>
      <c r="AB408" s="53" t="str">
        <f>IF($Z408="","",INDEX(Îlots!$E$8:$E$57,$Z408))</f>
        <v/>
      </c>
      <c r="AC408" s="53" t="str">
        <f>IF($Z408="","",INDEX(Îlots!$G$8:$G$57,$Z408)&amp;"")</f>
        <v/>
      </c>
      <c r="AD408" s="53" t="str">
        <f>IF($Z408="","",IF($F408=ApportCouvert,OccCouvert,INDEX(Îlots!$O$8:$O$57,$Z408)&amp;""))</f>
        <v/>
      </c>
      <c r="AE408" s="53" t="str">
        <f t="shared" si="87"/>
        <v/>
      </c>
      <c r="AF408" s="53" t="str">
        <f t="shared" si="88"/>
        <v/>
      </c>
      <c r="AG408" s="53" t="str">
        <f t="shared" si="89"/>
        <v/>
      </c>
      <c r="AH408" s="53">
        <f t="shared" si="90"/>
        <v>0</v>
      </c>
      <c r="AI408" s="53">
        <f t="shared" si="91"/>
        <v>0</v>
      </c>
      <c r="AJ408" s="53">
        <f t="shared" si="92"/>
        <v>0</v>
      </c>
      <c r="AK408" s="53">
        <f t="shared" si="93"/>
        <v>0</v>
      </c>
      <c r="AL408" s="53">
        <f t="shared" si="94"/>
        <v>0</v>
      </c>
      <c r="AM408" s="53">
        <f>IF($AA408="",0,IF(INDEX(Fertilisants!$C$8:$C$47,$AA408)="Effluent d'élevage",1,0))</f>
        <v>0</v>
      </c>
      <c r="AN408" s="53" t="str">
        <f>IF($AA408="","",IF(INDEX(Fertilisants!$C$8:$C$47,$AA408)="Engrais minéral","Minéral","Organique"))</f>
        <v/>
      </c>
      <c r="AO408" s="53" t="str">
        <f t="shared" si="95"/>
        <v/>
      </c>
      <c r="AP408" s="53" t="str">
        <f t="shared" si="96"/>
        <v/>
      </c>
      <c r="AQ408" s="53" t="str">
        <f t="shared" si="97"/>
        <v/>
      </c>
      <c r="AR408" s="53" t="str">
        <f>IF(AND($D408&lt;&gt;"",$D408=FicheIlot),COUNTIF($D$8:$D408,FicheIlot),"")</f>
        <v/>
      </c>
    </row>
    <row r="409" spans="2:44" ht="18.95" customHeight="1" x14ac:dyDescent="0.25">
      <c r="B409" s="42" t="str">
        <f>IF(C409="","",COUNT($C$8:C409))</f>
        <v/>
      </c>
      <c r="C409" s="43"/>
      <c r="D409" s="44"/>
      <c r="E409" s="45" t="str">
        <f>IF($Z409="","",IF($F409=ApportCouvert,INDEX(Îlots!$I$8:$I$57,$Z409)&amp;"",INDEX(Îlots!$N$8:$N$57,$Z409)&amp;""))</f>
        <v/>
      </c>
      <c r="F409" s="44"/>
      <c r="G409" s="44"/>
      <c r="H409" s="46" t="str">
        <f>IF($AA409="","",INDEX(Fertilisants!$D$8:$D$47,$AA409)&amp;"")</f>
        <v/>
      </c>
      <c r="I409" s="47"/>
      <c r="J409" s="48"/>
      <c r="K409" s="46" t="str">
        <f>IF($AA409="","",INDEX(Fertilisants!$E$8:$E$47,$AA409)&amp;"")</f>
        <v/>
      </c>
      <c r="L409" s="49" t="str">
        <f t="shared" si="84"/>
        <v/>
      </c>
      <c r="M409" s="50" t="str">
        <f>IF(OR($J409="",$AA409=""),"",$J409*N(INDEX(Fertilisants!$G$8:$G$47,$AA409)))</f>
        <v/>
      </c>
      <c r="N409" s="50" t="str">
        <f>IF(OR($J409="",$AA409=""),"",$J409*N(INDEX(Fertilisants!$I$8:$I$47,$AA409)))</f>
        <v/>
      </c>
      <c r="O409" s="50" t="str">
        <f>IF(OR($J409="",$AA409=""),"",$J409*N(INDEX(Fertilisants!$J$8:$J$47,$AA409)))</f>
        <v/>
      </c>
      <c r="P409" s="50" t="str">
        <f>IF(OR($J409="",$AA409=""),"",$J409*N(INDEX(Fertilisants!$K$8:$K$47,$AA409)))</f>
        <v/>
      </c>
      <c r="Q409" s="50" t="str">
        <f t="shared" si="85"/>
        <v/>
      </c>
      <c r="R409" s="44"/>
      <c r="S409" s="44"/>
      <c r="T409" s="51"/>
      <c r="U409" s="44"/>
      <c r="V409" s="43"/>
      <c r="W409" s="52" t="str">
        <f t="shared" si="86"/>
        <v/>
      </c>
      <c r="X409" s="44"/>
      <c r="Z409" s="53" t="str">
        <f>IF($D409="","",IFERROR(MATCH($D409,Îlots!$D$8:$D$57,0),""))</f>
        <v/>
      </c>
      <c r="AA409" s="53" t="str">
        <f>IF($G409="","",IFERROR(MATCH($G409,Fertilisants!$B$8:$B$47,0),""))</f>
        <v/>
      </c>
      <c r="AB409" s="53" t="str">
        <f>IF($Z409="","",INDEX(Îlots!$E$8:$E$57,$Z409))</f>
        <v/>
      </c>
      <c r="AC409" s="53" t="str">
        <f>IF($Z409="","",INDEX(Îlots!$G$8:$G$57,$Z409)&amp;"")</f>
        <v/>
      </c>
      <c r="AD409" s="53" t="str">
        <f>IF($Z409="","",IF($F409=ApportCouvert,OccCouvert,INDEX(Îlots!$O$8:$O$57,$Z409)&amp;""))</f>
        <v/>
      </c>
      <c r="AE409" s="53" t="str">
        <f t="shared" si="87"/>
        <v/>
      </c>
      <c r="AF409" s="53" t="str">
        <f t="shared" si="88"/>
        <v/>
      </c>
      <c r="AG409" s="53" t="str">
        <f t="shared" si="89"/>
        <v/>
      </c>
      <c r="AH409" s="53">
        <f t="shared" si="90"/>
        <v>0</v>
      </c>
      <c r="AI409" s="53">
        <f t="shared" si="91"/>
        <v>0</v>
      </c>
      <c r="AJ409" s="53">
        <f t="shared" si="92"/>
        <v>0</v>
      </c>
      <c r="AK409" s="53">
        <f t="shared" si="93"/>
        <v>0</v>
      </c>
      <c r="AL409" s="53">
        <f t="shared" si="94"/>
        <v>0</v>
      </c>
      <c r="AM409" s="53">
        <f>IF($AA409="",0,IF(INDEX(Fertilisants!$C$8:$C$47,$AA409)="Effluent d'élevage",1,0))</f>
        <v>0</v>
      </c>
      <c r="AN409" s="53" t="str">
        <f>IF($AA409="","",IF(INDEX(Fertilisants!$C$8:$C$47,$AA409)="Engrais minéral","Minéral","Organique"))</f>
        <v/>
      </c>
      <c r="AO409" s="53" t="str">
        <f t="shared" si="95"/>
        <v/>
      </c>
      <c r="AP409" s="53" t="str">
        <f t="shared" si="96"/>
        <v/>
      </c>
      <c r="AQ409" s="53" t="str">
        <f t="shared" si="97"/>
        <v/>
      </c>
      <c r="AR409" s="53" t="str">
        <f>IF(AND($D409&lt;&gt;"",$D409=FicheIlot),COUNTIF($D$8:$D409,FicheIlot),"")</f>
        <v/>
      </c>
    </row>
    <row r="410" spans="2:44" ht="18.95" customHeight="1" x14ac:dyDescent="0.25">
      <c r="B410" s="42" t="str">
        <f>IF(C410="","",COUNT($C$8:C410))</f>
        <v/>
      </c>
      <c r="C410" s="43"/>
      <c r="D410" s="44"/>
      <c r="E410" s="45" t="str">
        <f>IF($Z410="","",IF($F410=ApportCouvert,INDEX(Îlots!$I$8:$I$57,$Z410)&amp;"",INDEX(Îlots!$N$8:$N$57,$Z410)&amp;""))</f>
        <v/>
      </c>
      <c r="F410" s="44"/>
      <c r="G410" s="44"/>
      <c r="H410" s="46" t="str">
        <f>IF($AA410="","",INDEX(Fertilisants!$D$8:$D$47,$AA410)&amp;"")</f>
        <v/>
      </c>
      <c r="I410" s="47"/>
      <c r="J410" s="48"/>
      <c r="K410" s="46" t="str">
        <f>IF($AA410="","",INDEX(Fertilisants!$E$8:$E$47,$AA410)&amp;"")</f>
        <v/>
      </c>
      <c r="L410" s="49" t="str">
        <f t="shared" si="84"/>
        <v/>
      </c>
      <c r="M410" s="50" t="str">
        <f>IF(OR($J410="",$AA410=""),"",$J410*N(INDEX(Fertilisants!$G$8:$G$47,$AA410)))</f>
        <v/>
      </c>
      <c r="N410" s="50" t="str">
        <f>IF(OR($J410="",$AA410=""),"",$J410*N(INDEX(Fertilisants!$I$8:$I$47,$AA410)))</f>
        <v/>
      </c>
      <c r="O410" s="50" t="str">
        <f>IF(OR($J410="",$AA410=""),"",$J410*N(INDEX(Fertilisants!$J$8:$J$47,$AA410)))</f>
        <v/>
      </c>
      <c r="P410" s="50" t="str">
        <f>IF(OR($J410="",$AA410=""),"",$J410*N(INDEX(Fertilisants!$K$8:$K$47,$AA410)))</f>
        <v/>
      </c>
      <c r="Q410" s="50" t="str">
        <f t="shared" si="85"/>
        <v/>
      </c>
      <c r="R410" s="44"/>
      <c r="S410" s="44"/>
      <c r="T410" s="51"/>
      <c r="U410" s="44"/>
      <c r="V410" s="43"/>
      <c r="W410" s="52" t="str">
        <f t="shared" si="86"/>
        <v/>
      </c>
      <c r="X410" s="44"/>
      <c r="Z410" s="53" t="str">
        <f>IF($D410="","",IFERROR(MATCH($D410,Îlots!$D$8:$D$57,0),""))</f>
        <v/>
      </c>
      <c r="AA410" s="53" t="str">
        <f>IF($G410="","",IFERROR(MATCH($G410,Fertilisants!$B$8:$B$47,0),""))</f>
        <v/>
      </c>
      <c r="AB410" s="53" t="str">
        <f>IF($Z410="","",INDEX(Îlots!$E$8:$E$57,$Z410))</f>
        <v/>
      </c>
      <c r="AC410" s="53" t="str">
        <f>IF($Z410="","",INDEX(Îlots!$G$8:$G$57,$Z410)&amp;"")</f>
        <v/>
      </c>
      <c r="AD410" s="53" t="str">
        <f>IF($Z410="","",IF($F410=ApportCouvert,OccCouvert,INDEX(Îlots!$O$8:$O$57,$Z410)&amp;""))</f>
        <v/>
      </c>
      <c r="AE410" s="53" t="str">
        <f t="shared" si="87"/>
        <v/>
      </c>
      <c r="AF410" s="53" t="str">
        <f t="shared" si="88"/>
        <v/>
      </c>
      <c r="AG410" s="53" t="str">
        <f t="shared" si="89"/>
        <v/>
      </c>
      <c r="AH410" s="53">
        <f t="shared" si="90"/>
        <v>0</v>
      </c>
      <c r="AI410" s="53">
        <f t="shared" si="91"/>
        <v>0</v>
      </c>
      <c r="AJ410" s="53">
        <f t="shared" si="92"/>
        <v>0</v>
      </c>
      <c r="AK410" s="53">
        <f t="shared" si="93"/>
        <v>0</v>
      </c>
      <c r="AL410" s="53">
        <f t="shared" si="94"/>
        <v>0</v>
      </c>
      <c r="AM410" s="53">
        <f>IF($AA410="",0,IF(INDEX(Fertilisants!$C$8:$C$47,$AA410)="Effluent d'élevage",1,0))</f>
        <v>0</v>
      </c>
      <c r="AN410" s="53" t="str">
        <f>IF($AA410="","",IF(INDEX(Fertilisants!$C$8:$C$47,$AA410)="Engrais minéral","Minéral","Organique"))</f>
        <v/>
      </c>
      <c r="AO410" s="53" t="str">
        <f t="shared" si="95"/>
        <v/>
      </c>
      <c r="AP410" s="53" t="str">
        <f t="shared" si="96"/>
        <v/>
      </c>
      <c r="AQ410" s="53" t="str">
        <f t="shared" si="97"/>
        <v/>
      </c>
      <c r="AR410" s="53" t="str">
        <f>IF(AND($D410&lt;&gt;"",$D410=FicheIlot),COUNTIF($D$8:$D410,FicheIlot),"")</f>
        <v/>
      </c>
    </row>
    <row r="411" spans="2:44" ht="18.95" customHeight="1" x14ac:dyDescent="0.25">
      <c r="B411" s="42" t="str">
        <f>IF(C411="","",COUNT($C$8:C411))</f>
        <v/>
      </c>
      <c r="C411" s="43"/>
      <c r="D411" s="44"/>
      <c r="E411" s="45" t="str">
        <f>IF($Z411="","",IF($F411=ApportCouvert,INDEX(Îlots!$I$8:$I$57,$Z411)&amp;"",INDEX(Îlots!$N$8:$N$57,$Z411)&amp;""))</f>
        <v/>
      </c>
      <c r="F411" s="44"/>
      <c r="G411" s="44"/>
      <c r="H411" s="46" t="str">
        <f>IF($AA411="","",INDEX(Fertilisants!$D$8:$D$47,$AA411)&amp;"")</f>
        <v/>
      </c>
      <c r="I411" s="47"/>
      <c r="J411" s="48"/>
      <c r="K411" s="46" t="str">
        <f>IF($AA411="","",INDEX(Fertilisants!$E$8:$E$47,$AA411)&amp;"")</f>
        <v/>
      </c>
      <c r="L411" s="49" t="str">
        <f t="shared" si="84"/>
        <v/>
      </c>
      <c r="M411" s="50" t="str">
        <f>IF(OR($J411="",$AA411=""),"",$J411*N(INDEX(Fertilisants!$G$8:$G$47,$AA411)))</f>
        <v/>
      </c>
      <c r="N411" s="50" t="str">
        <f>IF(OR($J411="",$AA411=""),"",$J411*N(INDEX(Fertilisants!$I$8:$I$47,$AA411)))</f>
        <v/>
      </c>
      <c r="O411" s="50" t="str">
        <f>IF(OR($J411="",$AA411=""),"",$J411*N(INDEX(Fertilisants!$J$8:$J$47,$AA411)))</f>
        <v/>
      </c>
      <c r="P411" s="50" t="str">
        <f>IF(OR($J411="",$AA411=""),"",$J411*N(INDEX(Fertilisants!$K$8:$K$47,$AA411)))</f>
        <v/>
      </c>
      <c r="Q411" s="50" t="str">
        <f t="shared" si="85"/>
        <v/>
      </c>
      <c r="R411" s="44"/>
      <c r="S411" s="44"/>
      <c r="T411" s="51"/>
      <c r="U411" s="44"/>
      <c r="V411" s="43"/>
      <c r="W411" s="52" t="str">
        <f t="shared" si="86"/>
        <v/>
      </c>
      <c r="X411" s="44"/>
      <c r="Z411" s="53" t="str">
        <f>IF($D411="","",IFERROR(MATCH($D411,Îlots!$D$8:$D$57,0),""))</f>
        <v/>
      </c>
      <c r="AA411" s="53" t="str">
        <f>IF($G411="","",IFERROR(MATCH($G411,Fertilisants!$B$8:$B$47,0),""))</f>
        <v/>
      </c>
      <c r="AB411" s="53" t="str">
        <f>IF($Z411="","",INDEX(Îlots!$E$8:$E$57,$Z411))</f>
        <v/>
      </c>
      <c r="AC411" s="53" t="str">
        <f>IF($Z411="","",INDEX(Îlots!$G$8:$G$57,$Z411)&amp;"")</f>
        <v/>
      </c>
      <c r="AD411" s="53" t="str">
        <f>IF($Z411="","",IF($F411=ApportCouvert,OccCouvert,INDEX(Îlots!$O$8:$O$57,$Z411)&amp;""))</f>
        <v/>
      </c>
      <c r="AE411" s="53" t="str">
        <f t="shared" si="87"/>
        <v/>
      </c>
      <c r="AF411" s="53" t="str">
        <f t="shared" si="88"/>
        <v/>
      </c>
      <c r="AG411" s="53" t="str">
        <f t="shared" si="89"/>
        <v/>
      </c>
      <c r="AH411" s="53">
        <f t="shared" si="90"/>
        <v>0</v>
      </c>
      <c r="AI411" s="53">
        <f t="shared" si="91"/>
        <v>0</v>
      </c>
      <c r="AJ411" s="53">
        <f t="shared" si="92"/>
        <v>0</v>
      </c>
      <c r="AK411" s="53">
        <f t="shared" si="93"/>
        <v>0</v>
      </c>
      <c r="AL411" s="53">
        <f t="shared" si="94"/>
        <v>0</v>
      </c>
      <c r="AM411" s="53">
        <f>IF($AA411="",0,IF(INDEX(Fertilisants!$C$8:$C$47,$AA411)="Effluent d'élevage",1,0))</f>
        <v>0</v>
      </c>
      <c r="AN411" s="53" t="str">
        <f>IF($AA411="","",IF(INDEX(Fertilisants!$C$8:$C$47,$AA411)="Engrais minéral","Minéral","Organique"))</f>
        <v/>
      </c>
      <c r="AO411" s="53" t="str">
        <f t="shared" si="95"/>
        <v/>
      </c>
      <c r="AP411" s="53" t="str">
        <f t="shared" si="96"/>
        <v/>
      </c>
      <c r="AQ411" s="53" t="str">
        <f t="shared" si="97"/>
        <v/>
      </c>
      <c r="AR411" s="53" t="str">
        <f>IF(AND($D411&lt;&gt;"",$D411=FicheIlot),COUNTIF($D$8:$D411,FicheIlot),"")</f>
        <v/>
      </c>
    </row>
    <row r="412" spans="2:44" ht="18.95" customHeight="1" x14ac:dyDescent="0.25">
      <c r="B412" s="42" t="str">
        <f>IF(C412="","",COUNT($C$8:C412))</f>
        <v/>
      </c>
      <c r="C412" s="43"/>
      <c r="D412" s="44"/>
      <c r="E412" s="45" t="str">
        <f>IF($Z412="","",IF($F412=ApportCouvert,INDEX(Îlots!$I$8:$I$57,$Z412)&amp;"",INDEX(Îlots!$N$8:$N$57,$Z412)&amp;""))</f>
        <v/>
      </c>
      <c r="F412" s="44"/>
      <c r="G412" s="44"/>
      <c r="H412" s="46" t="str">
        <f>IF($AA412="","",INDEX(Fertilisants!$D$8:$D$47,$AA412)&amp;"")</f>
        <v/>
      </c>
      <c r="I412" s="47"/>
      <c r="J412" s="48"/>
      <c r="K412" s="46" t="str">
        <f>IF($AA412="","",INDEX(Fertilisants!$E$8:$E$47,$AA412)&amp;"")</f>
        <v/>
      </c>
      <c r="L412" s="49" t="str">
        <f t="shared" si="84"/>
        <v/>
      </c>
      <c r="M412" s="50" t="str">
        <f>IF(OR($J412="",$AA412=""),"",$J412*N(INDEX(Fertilisants!$G$8:$G$47,$AA412)))</f>
        <v/>
      </c>
      <c r="N412" s="50" t="str">
        <f>IF(OR($J412="",$AA412=""),"",$J412*N(INDEX(Fertilisants!$I$8:$I$47,$AA412)))</f>
        <v/>
      </c>
      <c r="O412" s="50" t="str">
        <f>IF(OR($J412="",$AA412=""),"",$J412*N(INDEX(Fertilisants!$J$8:$J$47,$AA412)))</f>
        <v/>
      </c>
      <c r="P412" s="50" t="str">
        <f>IF(OR($J412="",$AA412=""),"",$J412*N(INDEX(Fertilisants!$K$8:$K$47,$AA412)))</f>
        <v/>
      </c>
      <c r="Q412" s="50" t="str">
        <f t="shared" si="85"/>
        <v/>
      </c>
      <c r="R412" s="44"/>
      <c r="S412" s="44"/>
      <c r="T412" s="51"/>
      <c r="U412" s="44"/>
      <c r="V412" s="43"/>
      <c r="W412" s="52" t="str">
        <f t="shared" si="86"/>
        <v/>
      </c>
      <c r="X412" s="44"/>
      <c r="Z412" s="53" t="str">
        <f>IF($D412="","",IFERROR(MATCH($D412,Îlots!$D$8:$D$57,0),""))</f>
        <v/>
      </c>
      <c r="AA412" s="53" t="str">
        <f>IF($G412="","",IFERROR(MATCH($G412,Fertilisants!$B$8:$B$47,0),""))</f>
        <v/>
      </c>
      <c r="AB412" s="53" t="str">
        <f>IF($Z412="","",INDEX(Îlots!$E$8:$E$57,$Z412))</f>
        <v/>
      </c>
      <c r="AC412" s="53" t="str">
        <f>IF($Z412="","",INDEX(Îlots!$G$8:$G$57,$Z412)&amp;"")</f>
        <v/>
      </c>
      <c r="AD412" s="53" t="str">
        <f>IF($Z412="","",IF($F412=ApportCouvert,OccCouvert,INDEX(Îlots!$O$8:$O$57,$Z412)&amp;""))</f>
        <v/>
      </c>
      <c r="AE412" s="53" t="str">
        <f t="shared" si="87"/>
        <v/>
      </c>
      <c r="AF412" s="53" t="str">
        <f t="shared" si="88"/>
        <v/>
      </c>
      <c r="AG412" s="53" t="str">
        <f t="shared" si="89"/>
        <v/>
      </c>
      <c r="AH412" s="53">
        <f t="shared" si="90"/>
        <v>0</v>
      </c>
      <c r="AI412" s="53">
        <f t="shared" si="91"/>
        <v>0</v>
      </c>
      <c r="AJ412" s="53">
        <f t="shared" si="92"/>
        <v>0</v>
      </c>
      <c r="AK412" s="53">
        <f t="shared" si="93"/>
        <v>0</v>
      </c>
      <c r="AL412" s="53">
        <f t="shared" si="94"/>
        <v>0</v>
      </c>
      <c r="AM412" s="53">
        <f>IF($AA412="",0,IF(INDEX(Fertilisants!$C$8:$C$47,$AA412)="Effluent d'élevage",1,0))</f>
        <v>0</v>
      </c>
      <c r="AN412" s="53" t="str">
        <f>IF($AA412="","",IF(INDEX(Fertilisants!$C$8:$C$47,$AA412)="Engrais minéral","Minéral","Organique"))</f>
        <v/>
      </c>
      <c r="AO412" s="53" t="str">
        <f t="shared" si="95"/>
        <v/>
      </c>
      <c r="AP412" s="53" t="str">
        <f t="shared" si="96"/>
        <v/>
      </c>
      <c r="AQ412" s="53" t="str">
        <f t="shared" si="97"/>
        <v/>
      </c>
      <c r="AR412" s="53" t="str">
        <f>IF(AND($D412&lt;&gt;"",$D412=FicheIlot),COUNTIF($D$8:$D412,FicheIlot),"")</f>
        <v/>
      </c>
    </row>
    <row r="413" spans="2:44" ht="18.95" customHeight="1" x14ac:dyDescent="0.25">
      <c r="B413" s="42" t="str">
        <f>IF(C413="","",COUNT($C$8:C413))</f>
        <v/>
      </c>
      <c r="C413" s="43"/>
      <c r="D413" s="44"/>
      <c r="E413" s="45" t="str">
        <f>IF($Z413="","",IF($F413=ApportCouvert,INDEX(Îlots!$I$8:$I$57,$Z413)&amp;"",INDEX(Îlots!$N$8:$N$57,$Z413)&amp;""))</f>
        <v/>
      </c>
      <c r="F413" s="44"/>
      <c r="G413" s="44"/>
      <c r="H413" s="46" t="str">
        <f>IF($AA413="","",INDEX(Fertilisants!$D$8:$D$47,$AA413)&amp;"")</f>
        <v/>
      </c>
      <c r="I413" s="47"/>
      <c r="J413" s="48"/>
      <c r="K413" s="46" t="str">
        <f>IF($AA413="","",INDEX(Fertilisants!$E$8:$E$47,$AA413)&amp;"")</f>
        <v/>
      </c>
      <c r="L413" s="49" t="str">
        <f t="shared" si="84"/>
        <v/>
      </c>
      <c r="M413" s="50" t="str">
        <f>IF(OR($J413="",$AA413=""),"",$J413*N(INDEX(Fertilisants!$G$8:$G$47,$AA413)))</f>
        <v/>
      </c>
      <c r="N413" s="50" t="str">
        <f>IF(OR($J413="",$AA413=""),"",$J413*N(INDEX(Fertilisants!$I$8:$I$47,$AA413)))</f>
        <v/>
      </c>
      <c r="O413" s="50" t="str">
        <f>IF(OR($J413="",$AA413=""),"",$J413*N(INDEX(Fertilisants!$J$8:$J$47,$AA413)))</f>
        <v/>
      </c>
      <c r="P413" s="50" t="str">
        <f>IF(OR($J413="",$AA413=""),"",$J413*N(INDEX(Fertilisants!$K$8:$K$47,$AA413)))</f>
        <v/>
      </c>
      <c r="Q413" s="50" t="str">
        <f t="shared" si="85"/>
        <v/>
      </c>
      <c r="R413" s="44"/>
      <c r="S413" s="44"/>
      <c r="T413" s="51"/>
      <c r="U413" s="44"/>
      <c r="V413" s="43"/>
      <c r="W413" s="52" t="str">
        <f t="shared" si="86"/>
        <v/>
      </c>
      <c r="X413" s="44"/>
      <c r="Z413" s="53" t="str">
        <f>IF($D413="","",IFERROR(MATCH($D413,Îlots!$D$8:$D$57,0),""))</f>
        <v/>
      </c>
      <c r="AA413" s="53" t="str">
        <f>IF($G413="","",IFERROR(MATCH($G413,Fertilisants!$B$8:$B$47,0),""))</f>
        <v/>
      </c>
      <c r="AB413" s="53" t="str">
        <f>IF($Z413="","",INDEX(Îlots!$E$8:$E$57,$Z413))</f>
        <v/>
      </c>
      <c r="AC413" s="53" t="str">
        <f>IF($Z413="","",INDEX(Îlots!$G$8:$G$57,$Z413)&amp;"")</f>
        <v/>
      </c>
      <c r="AD413" s="53" t="str">
        <f>IF($Z413="","",IF($F413=ApportCouvert,OccCouvert,INDEX(Îlots!$O$8:$O$57,$Z413)&amp;""))</f>
        <v/>
      </c>
      <c r="AE413" s="53" t="str">
        <f t="shared" si="87"/>
        <v/>
      </c>
      <c r="AF413" s="53" t="str">
        <f t="shared" si="88"/>
        <v/>
      </c>
      <c r="AG413" s="53" t="str">
        <f t="shared" si="89"/>
        <v/>
      </c>
      <c r="AH413" s="53">
        <f t="shared" si="90"/>
        <v>0</v>
      </c>
      <c r="AI413" s="53">
        <f t="shared" si="91"/>
        <v>0</v>
      </c>
      <c r="AJ413" s="53">
        <f t="shared" si="92"/>
        <v>0</v>
      </c>
      <c r="AK413" s="53">
        <f t="shared" si="93"/>
        <v>0</v>
      </c>
      <c r="AL413" s="53">
        <f t="shared" si="94"/>
        <v>0</v>
      </c>
      <c r="AM413" s="53">
        <f>IF($AA413="",0,IF(INDEX(Fertilisants!$C$8:$C$47,$AA413)="Effluent d'élevage",1,0))</f>
        <v>0</v>
      </c>
      <c r="AN413" s="53" t="str">
        <f>IF($AA413="","",IF(INDEX(Fertilisants!$C$8:$C$47,$AA413)="Engrais minéral","Minéral","Organique"))</f>
        <v/>
      </c>
      <c r="AO413" s="53" t="str">
        <f t="shared" si="95"/>
        <v/>
      </c>
      <c r="AP413" s="53" t="str">
        <f t="shared" si="96"/>
        <v/>
      </c>
      <c r="AQ413" s="53" t="str">
        <f t="shared" si="97"/>
        <v/>
      </c>
      <c r="AR413" s="53" t="str">
        <f>IF(AND($D413&lt;&gt;"",$D413=FicheIlot),COUNTIF($D$8:$D413,FicheIlot),"")</f>
        <v/>
      </c>
    </row>
    <row r="414" spans="2:44" ht="18.95" customHeight="1" x14ac:dyDescent="0.25">
      <c r="B414" s="42" t="str">
        <f>IF(C414="","",COUNT($C$8:C414))</f>
        <v/>
      </c>
      <c r="C414" s="43"/>
      <c r="D414" s="44"/>
      <c r="E414" s="45" t="str">
        <f>IF($Z414="","",IF($F414=ApportCouvert,INDEX(Îlots!$I$8:$I$57,$Z414)&amp;"",INDEX(Îlots!$N$8:$N$57,$Z414)&amp;""))</f>
        <v/>
      </c>
      <c r="F414" s="44"/>
      <c r="G414" s="44"/>
      <c r="H414" s="46" t="str">
        <f>IF($AA414="","",INDEX(Fertilisants!$D$8:$D$47,$AA414)&amp;"")</f>
        <v/>
      </c>
      <c r="I414" s="47"/>
      <c r="J414" s="48"/>
      <c r="K414" s="46" t="str">
        <f>IF($AA414="","",INDEX(Fertilisants!$E$8:$E$47,$AA414)&amp;"")</f>
        <v/>
      </c>
      <c r="L414" s="49" t="str">
        <f t="shared" si="84"/>
        <v/>
      </c>
      <c r="M414" s="50" t="str">
        <f>IF(OR($J414="",$AA414=""),"",$J414*N(INDEX(Fertilisants!$G$8:$G$47,$AA414)))</f>
        <v/>
      </c>
      <c r="N414" s="50" t="str">
        <f>IF(OR($J414="",$AA414=""),"",$J414*N(INDEX(Fertilisants!$I$8:$I$47,$AA414)))</f>
        <v/>
      </c>
      <c r="O414" s="50" t="str">
        <f>IF(OR($J414="",$AA414=""),"",$J414*N(INDEX(Fertilisants!$J$8:$J$47,$AA414)))</f>
        <v/>
      </c>
      <c r="P414" s="50" t="str">
        <f>IF(OR($J414="",$AA414=""),"",$J414*N(INDEX(Fertilisants!$K$8:$K$47,$AA414)))</f>
        <v/>
      </c>
      <c r="Q414" s="50" t="str">
        <f t="shared" si="85"/>
        <v/>
      </c>
      <c r="R414" s="44"/>
      <c r="S414" s="44"/>
      <c r="T414" s="51"/>
      <c r="U414" s="44"/>
      <c r="V414" s="43"/>
      <c r="W414" s="52" t="str">
        <f t="shared" si="86"/>
        <v/>
      </c>
      <c r="X414" s="44"/>
      <c r="Z414" s="53" t="str">
        <f>IF($D414="","",IFERROR(MATCH($D414,Îlots!$D$8:$D$57,0),""))</f>
        <v/>
      </c>
      <c r="AA414" s="53" t="str">
        <f>IF($G414="","",IFERROR(MATCH($G414,Fertilisants!$B$8:$B$47,0),""))</f>
        <v/>
      </c>
      <c r="AB414" s="53" t="str">
        <f>IF($Z414="","",INDEX(Îlots!$E$8:$E$57,$Z414))</f>
        <v/>
      </c>
      <c r="AC414" s="53" t="str">
        <f>IF($Z414="","",INDEX(Îlots!$G$8:$G$57,$Z414)&amp;"")</f>
        <v/>
      </c>
      <c r="AD414" s="53" t="str">
        <f>IF($Z414="","",IF($F414=ApportCouvert,OccCouvert,INDEX(Îlots!$O$8:$O$57,$Z414)&amp;""))</f>
        <v/>
      </c>
      <c r="AE414" s="53" t="str">
        <f t="shared" si="87"/>
        <v/>
      </c>
      <c r="AF414" s="53" t="str">
        <f t="shared" si="88"/>
        <v/>
      </c>
      <c r="AG414" s="53" t="str">
        <f t="shared" si="89"/>
        <v/>
      </c>
      <c r="AH414" s="53">
        <f t="shared" si="90"/>
        <v>0</v>
      </c>
      <c r="AI414" s="53">
        <f t="shared" si="91"/>
        <v>0</v>
      </c>
      <c r="AJ414" s="53">
        <f t="shared" si="92"/>
        <v>0</v>
      </c>
      <c r="AK414" s="53">
        <f t="shared" si="93"/>
        <v>0</v>
      </c>
      <c r="AL414" s="53">
        <f t="shared" si="94"/>
        <v>0</v>
      </c>
      <c r="AM414" s="53">
        <f>IF($AA414="",0,IF(INDEX(Fertilisants!$C$8:$C$47,$AA414)="Effluent d'élevage",1,0))</f>
        <v>0</v>
      </c>
      <c r="AN414" s="53" t="str">
        <f>IF($AA414="","",IF(INDEX(Fertilisants!$C$8:$C$47,$AA414)="Engrais minéral","Minéral","Organique"))</f>
        <v/>
      </c>
      <c r="AO414" s="53" t="str">
        <f t="shared" si="95"/>
        <v/>
      </c>
      <c r="AP414" s="53" t="str">
        <f t="shared" si="96"/>
        <v/>
      </c>
      <c r="AQ414" s="53" t="str">
        <f t="shared" si="97"/>
        <v/>
      </c>
      <c r="AR414" s="53" t="str">
        <f>IF(AND($D414&lt;&gt;"",$D414=FicheIlot),COUNTIF($D$8:$D414,FicheIlot),"")</f>
        <v/>
      </c>
    </row>
    <row r="415" spans="2:44" ht="18.95" customHeight="1" x14ac:dyDescent="0.25">
      <c r="B415" s="42" t="str">
        <f>IF(C415="","",COUNT($C$8:C415))</f>
        <v/>
      </c>
      <c r="C415" s="43"/>
      <c r="D415" s="44"/>
      <c r="E415" s="45" t="str">
        <f>IF($Z415="","",IF($F415=ApportCouvert,INDEX(Îlots!$I$8:$I$57,$Z415)&amp;"",INDEX(Îlots!$N$8:$N$57,$Z415)&amp;""))</f>
        <v/>
      </c>
      <c r="F415" s="44"/>
      <c r="G415" s="44"/>
      <c r="H415" s="46" t="str">
        <f>IF($AA415="","",INDEX(Fertilisants!$D$8:$D$47,$AA415)&amp;"")</f>
        <v/>
      </c>
      <c r="I415" s="47"/>
      <c r="J415" s="48"/>
      <c r="K415" s="46" t="str">
        <f>IF($AA415="","",INDEX(Fertilisants!$E$8:$E$47,$AA415)&amp;"")</f>
        <v/>
      </c>
      <c r="L415" s="49" t="str">
        <f t="shared" si="84"/>
        <v/>
      </c>
      <c r="M415" s="50" t="str">
        <f>IF(OR($J415="",$AA415=""),"",$J415*N(INDEX(Fertilisants!$G$8:$G$47,$AA415)))</f>
        <v/>
      </c>
      <c r="N415" s="50" t="str">
        <f>IF(OR($J415="",$AA415=""),"",$J415*N(INDEX(Fertilisants!$I$8:$I$47,$AA415)))</f>
        <v/>
      </c>
      <c r="O415" s="50" t="str">
        <f>IF(OR($J415="",$AA415=""),"",$J415*N(INDEX(Fertilisants!$J$8:$J$47,$AA415)))</f>
        <v/>
      </c>
      <c r="P415" s="50" t="str">
        <f>IF(OR($J415="",$AA415=""),"",$J415*N(INDEX(Fertilisants!$K$8:$K$47,$AA415)))</f>
        <v/>
      </c>
      <c r="Q415" s="50" t="str">
        <f t="shared" si="85"/>
        <v/>
      </c>
      <c r="R415" s="44"/>
      <c r="S415" s="44"/>
      <c r="T415" s="51"/>
      <c r="U415" s="44"/>
      <c r="V415" s="43"/>
      <c r="W415" s="52" t="str">
        <f t="shared" si="86"/>
        <v/>
      </c>
      <c r="X415" s="44"/>
      <c r="Z415" s="53" t="str">
        <f>IF($D415="","",IFERROR(MATCH($D415,Îlots!$D$8:$D$57,0),""))</f>
        <v/>
      </c>
      <c r="AA415" s="53" t="str">
        <f>IF($G415="","",IFERROR(MATCH($G415,Fertilisants!$B$8:$B$47,0),""))</f>
        <v/>
      </c>
      <c r="AB415" s="53" t="str">
        <f>IF($Z415="","",INDEX(Îlots!$E$8:$E$57,$Z415))</f>
        <v/>
      </c>
      <c r="AC415" s="53" t="str">
        <f>IF($Z415="","",INDEX(Îlots!$G$8:$G$57,$Z415)&amp;"")</f>
        <v/>
      </c>
      <c r="AD415" s="53" t="str">
        <f>IF($Z415="","",IF($F415=ApportCouvert,OccCouvert,INDEX(Îlots!$O$8:$O$57,$Z415)&amp;""))</f>
        <v/>
      </c>
      <c r="AE415" s="53" t="str">
        <f t="shared" si="87"/>
        <v/>
      </c>
      <c r="AF415" s="53" t="str">
        <f t="shared" si="88"/>
        <v/>
      </c>
      <c r="AG415" s="53" t="str">
        <f t="shared" si="89"/>
        <v/>
      </c>
      <c r="AH415" s="53">
        <f t="shared" si="90"/>
        <v>0</v>
      </c>
      <c r="AI415" s="53">
        <f t="shared" si="91"/>
        <v>0</v>
      </c>
      <c r="AJ415" s="53">
        <f t="shared" si="92"/>
        <v>0</v>
      </c>
      <c r="AK415" s="53">
        <f t="shared" si="93"/>
        <v>0</v>
      </c>
      <c r="AL415" s="53">
        <f t="shared" si="94"/>
        <v>0</v>
      </c>
      <c r="AM415" s="53">
        <f>IF($AA415="",0,IF(INDEX(Fertilisants!$C$8:$C$47,$AA415)="Effluent d'élevage",1,0))</f>
        <v>0</v>
      </c>
      <c r="AN415" s="53" t="str">
        <f>IF($AA415="","",IF(INDEX(Fertilisants!$C$8:$C$47,$AA415)="Engrais minéral","Minéral","Organique"))</f>
        <v/>
      </c>
      <c r="AO415" s="53" t="str">
        <f t="shared" si="95"/>
        <v/>
      </c>
      <c r="AP415" s="53" t="str">
        <f t="shared" si="96"/>
        <v/>
      </c>
      <c r="AQ415" s="53" t="str">
        <f t="shared" si="97"/>
        <v/>
      </c>
      <c r="AR415" s="53" t="str">
        <f>IF(AND($D415&lt;&gt;"",$D415=FicheIlot),COUNTIF($D$8:$D415,FicheIlot),"")</f>
        <v/>
      </c>
    </row>
    <row r="416" spans="2:44" ht="18.95" customHeight="1" x14ac:dyDescent="0.25">
      <c r="B416" s="42" t="str">
        <f>IF(C416="","",COUNT($C$8:C416))</f>
        <v/>
      </c>
      <c r="C416" s="43"/>
      <c r="D416" s="44"/>
      <c r="E416" s="45" t="str">
        <f>IF($Z416="","",IF($F416=ApportCouvert,INDEX(Îlots!$I$8:$I$57,$Z416)&amp;"",INDEX(Îlots!$N$8:$N$57,$Z416)&amp;""))</f>
        <v/>
      </c>
      <c r="F416" s="44"/>
      <c r="G416" s="44"/>
      <c r="H416" s="46" t="str">
        <f>IF($AA416="","",INDEX(Fertilisants!$D$8:$D$47,$AA416)&amp;"")</f>
        <v/>
      </c>
      <c r="I416" s="47"/>
      <c r="J416" s="48"/>
      <c r="K416" s="46" t="str">
        <f>IF($AA416="","",INDEX(Fertilisants!$E$8:$E$47,$AA416)&amp;"")</f>
        <v/>
      </c>
      <c r="L416" s="49" t="str">
        <f t="shared" si="84"/>
        <v/>
      </c>
      <c r="M416" s="50" t="str">
        <f>IF(OR($J416="",$AA416=""),"",$J416*N(INDEX(Fertilisants!$G$8:$G$47,$AA416)))</f>
        <v/>
      </c>
      <c r="N416" s="50" t="str">
        <f>IF(OR($J416="",$AA416=""),"",$J416*N(INDEX(Fertilisants!$I$8:$I$47,$AA416)))</f>
        <v/>
      </c>
      <c r="O416" s="50" t="str">
        <f>IF(OR($J416="",$AA416=""),"",$J416*N(INDEX(Fertilisants!$J$8:$J$47,$AA416)))</f>
        <v/>
      </c>
      <c r="P416" s="50" t="str">
        <f>IF(OR($J416="",$AA416=""),"",$J416*N(INDEX(Fertilisants!$K$8:$K$47,$AA416)))</f>
        <v/>
      </c>
      <c r="Q416" s="50" t="str">
        <f t="shared" si="85"/>
        <v/>
      </c>
      <c r="R416" s="44"/>
      <c r="S416" s="44"/>
      <c r="T416" s="51"/>
      <c r="U416" s="44"/>
      <c r="V416" s="43"/>
      <c r="W416" s="52" t="str">
        <f t="shared" si="86"/>
        <v/>
      </c>
      <c r="X416" s="44"/>
      <c r="Z416" s="53" t="str">
        <f>IF($D416="","",IFERROR(MATCH($D416,Îlots!$D$8:$D$57,0),""))</f>
        <v/>
      </c>
      <c r="AA416" s="53" t="str">
        <f>IF($G416="","",IFERROR(MATCH($G416,Fertilisants!$B$8:$B$47,0),""))</f>
        <v/>
      </c>
      <c r="AB416" s="53" t="str">
        <f>IF($Z416="","",INDEX(Îlots!$E$8:$E$57,$Z416))</f>
        <v/>
      </c>
      <c r="AC416" s="53" t="str">
        <f>IF($Z416="","",INDEX(Îlots!$G$8:$G$57,$Z416)&amp;"")</f>
        <v/>
      </c>
      <c r="AD416" s="53" t="str">
        <f>IF($Z416="","",IF($F416=ApportCouvert,OccCouvert,INDEX(Îlots!$O$8:$O$57,$Z416)&amp;""))</f>
        <v/>
      </c>
      <c r="AE416" s="53" t="str">
        <f t="shared" si="87"/>
        <v/>
      </c>
      <c r="AF416" s="53" t="str">
        <f t="shared" si="88"/>
        <v/>
      </c>
      <c r="AG416" s="53" t="str">
        <f t="shared" si="89"/>
        <v/>
      </c>
      <c r="AH416" s="53">
        <f t="shared" si="90"/>
        <v>0</v>
      </c>
      <c r="AI416" s="53">
        <f t="shared" si="91"/>
        <v>0</v>
      </c>
      <c r="AJ416" s="53">
        <f t="shared" si="92"/>
        <v>0</v>
      </c>
      <c r="AK416" s="53">
        <f t="shared" si="93"/>
        <v>0</v>
      </c>
      <c r="AL416" s="53">
        <f t="shared" si="94"/>
        <v>0</v>
      </c>
      <c r="AM416" s="53">
        <f>IF($AA416="",0,IF(INDEX(Fertilisants!$C$8:$C$47,$AA416)="Effluent d'élevage",1,0))</f>
        <v>0</v>
      </c>
      <c r="AN416" s="53" t="str">
        <f>IF($AA416="","",IF(INDEX(Fertilisants!$C$8:$C$47,$AA416)="Engrais minéral","Minéral","Organique"))</f>
        <v/>
      </c>
      <c r="AO416" s="53" t="str">
        <f t="shared" si="95"/>
        <v/>
      </c>
      <c r="AP416" s="53" t="str">
        <f t="shared" si="96"/>
        <v/>
      </c>
      <c r="AQ416" s="53" t="str">
        <f t="shared" si="97"/>
        <v/>
      </c>
      <c r="AR416" s="53" t="str">
        <f>IF(AND($D416&lt;&gt;"",$D416=FicheIlot),COUNTIF($D$8:$D416,FicheIlot),"")</f>
        <v/>
      </c>
    </row>
    <row r="417" spans="2:44" ht="18.95" customHeight="1" x14ac:dyDescent="0.25">
      <c r="B417" s="42" t="str">
        <f>IF(C417="","",COUNT($C$8:C417))</f>
        <v/>
      </c>
      <c r="C417" s="43"/>
      <c r="D417" s="44"/>
      <c r="E417" s="45" t="str">
        <f>IF($Z417="","",IF($F417=ApportCouvert,INDEX(Îlots!$I$8:$I$57,$Z417)&amp;"",INDEX(Îlots!$N$8:$N$57,$Z417)&amp;""))</f>
        <v/>
      </c>
      <c r="F417" s="44"/>
      <c r="G417" s="44"/>
      <c r="H417" s="46" t="str">
        <f>IF($AA417="","",INDEX(Fertilisants!$D$8:$D$47,$AA417)&amp;"")</f>
        <v/>
      </c>
      <c r="I417" s="47"/>
      <c r="J417" s="48"/>
      <c r="K417" s="46" t="str">
        <f>IF($AA417="","",INDEX(Fertilisants!$E$8:$E$47,$AA417)&amp;"")</f>
        <v/>
      </c>
      <c r="L417" s="49" t="str">
        <f t="shared" si="84"/>
        <v/>
      </c>
      <c r="M417" s="50" t="str">
        <f>IF(OR($J417="",$AA417=""),"",$J417*N(INDEX(Fertilisants!$G$8:$G$47,$AA417)))</f>
        <v/>
      </c>
      <c r="N417" s="50" t="str">
        <f>IF(OR($J417="",$AA417=""),"",$J417*N(INDEX(Fertilisants!$I$8:$I$47,$AA417)))</f>
        <v/>
      </c>
      <c r="O417" s="50" t="str">
        <f>IF(OR($J417="",$AA417=""),"",$J417*N(INDEX(Fertilisants!$J$8:$J$47,$AA417)))</f>
        <v/>
      </c>
      <c r="P417" s="50" t="str">
        <f>IF(OR($J417="",$AA417=""),"",$J417*N(INDEX(Fertilisants!$K$8:$K$47,$AA417)))</f>
        <v/>
      </c>
      <c r="Q417" s="50" t="str">
        <f t="shared" si="85"/>
        <v/>
      </c>
      <c r="R417" s="44"/>
      <c r="S417" s="44"/>
      <c r="T417" s="51"/>
      <c r="U417" s="44"/>
      <c r="V417" s="43"/>
      <c r="W417" s="52" t="str">
        <f t="shared" si="86"/>
        <v/>
      </c>
      <c r="X417" s="44"/>
      <c r="Z417" s="53" t="str">
        <f>IF($D417="","",IFERROR(MATCH($D417,Îlots!$D$8:$D$57,0),""))</f>
        <v/>
      </c>
      <c r="AA417" s="53" t="str">
        <f>IF($G417="","",IFERROR(MATCH($G417,Fertilisants!$B$8:$B$47,0),""))</f>
        <v/>
      </c>
      <c r="AB417" s="53" t="str">
        <f>IF($Z417="","",INDEX(Îlots!$E$8:$E$57,$Z417))</f>
        <v/>
      </c>
      <c r="AC417" s="53" t="str">
        <f>IF($Z417="","",INDEX(Îlots!$G$8:$G$57,$Z417)&amp;"")</f>
        <v/>
      </c>
      <c r="AD417" s="53" t="str">
        <f>IF($Z417="","",IF($F417=ApportCouvert,OccCouvert,INDEX(Îlots!$O$8:$O$57,$Z417)&amp;""))</f>
        <v/>
      </c>
      <c r="AE417" s="53" t="str">
        <f t="shared" si="87"/>
        <v/>
      </c>
      <c r="AF417" s="53" t="str">
        <f t="shared" si="88"/>
        <v/>
      </c>
      <c r="AG417" s="53" t="str">
        <f t="shared" si="89"/>
        <v/>
      </c>
      <c r="AH417" s="53">
        <f t="shared" si="90"/>
        <v>0</v>
      </c>
      <c r="AI417" s="53">
        <f t="shared" si="91"/>
        <v>0</v>
      </c>
      <c r="AJ417" s="53">
        <f t="shared" si="92"/>
        <v>0</v>
      </c>
      <c r="AK417" s="53">
        <f t="shared" si="93"/>
        <v>0</v>
      </c>
      <c r="AL417" s="53">
        <f t="shared" si="94"/>
        <v>0</v>
      </c>
      <c r="AM417" s="53">
        <f>IF($AA417="",0,IF(INDEX(Fertilisants!$C$8:$C$47,$AA417)="Effluent d'élevage",1,0))</f>
        <v>0</v>
      </c>
      <c r="AN417" s="53" t="str">
        <f>IF($AA417="","",IF(INDEX(Fertilisants!$C$8:$C$47,$AA417)="Engrais minéral","Minéral","Organique"))</f>
        <v/>
      </c>
      <c r="AO417" s="53" t="str">
        <f t="shared" si="95"/>
        <v/>
      </c>
      <c r="AP417" s="53" t="str">
        <f t="shared" si="96"/>
        <v/>
      </c>
      <c r="AQ417" s="53" t="str">
        <f t="shared" si="97"/>
        <v/>
      </c>
      <c r="AR417" s="53" t="str">
        <f>IF(AND($D417&lt;&gt;"",$D417=FicheIlot),COUNTIF($D$8:$D417,FicheIlot),"")</f>
        <v/>
      </c>
    </row>
    <row r="418" spans="2:44" ht="18.95" customHeight="1" x14ac:dyDescent="0.25">
      <c r="B418" s="42" t="str">
        <f>IF(C418="","",COUNT($C$8:C418))</f>
        <v/>
      </c>
      <c r="C418" s="43"/>
      <c r="D418" s="44"/>
      <c r="E418" s="45" t="str">
        <f>IF($Z418="","",IF($F418=ApportCouvert,INDEX(Îlots!$I$8:$I$57,$Z418)&amp;"",INDEX(Îlots!$N$8:$N$57,$Z418)&amp;""))</f>
        <v/>
      </c>
      <c r="F418" s="44"/>
      <c r="G418" s="44"/>
      <c r="H418" s="46" t="str">
        <f>IF($AA418="","",INDEX(Fertilisants!$D$8:$D$47,$AA418)&amp;"")</f>
        <v/>
      </c>
      <c r="I418" s="47"/>
      <c r="J418" s="48"/>
      <c r="K418" s="46" t="str">
        <f>IF($AA418="","",INDEX(Fertilisants!$E$8:$E$47,$AA418)&amp;"")</f>
        <v/>
      </c>
      <c r="L418" s="49" t="str">
        <f t="shared" si="84"/>
        <v/>
      </c>
      <c r="M418" s="50" t="str">
        <f>IF(OR($J418="",$AA418=""),"",$J418*N(INDEX(Fertilisants!$G$8:$G$47,$AA418)))</f>
        <v/>
      </c>
      <c r="N418" s="50" t="str">
        <f>IF(OR($J418="",$AA418=""),"",$J418*N(INDEX(Fertilisants!$I$8:$I$47,$AA418)))</f>
        <v/>
      </c>
      <c r="O418" s="50" t="str">
        <f>IF(OR($J418="",$AA418=""),"",$J418*N(INDEX(Fertilisants!$J$8:$J$47,$AA418)))</f>
        <v/>
      </c>
      <c r="P418" s="50" t="str">
        <f>IF(OR($J418="",$AA418=""),"",$J418*N(INDEX(Fertilisants!$K$8:$K$47,$AA418)))</f>
        <v/>
      </c>
      <c r="Q418" s="50" t="str">
        <f t="shared" si="85"/>
        <v/>
      </c>
      <c r="R418" s="44"/>
      <c r="S418" s="44"/>
      <c r="T418" s="51"/>
      <c r="U418" s="44"/>
      <c r="V418" s="43"/>
      <c r="W418" s="52" t="str">
        <f t="shared" si="86"/>
        <v/>
      </c>
      <c r="X418" s="44"/>
      <c r="Z418" s="53" t="str">
        <f>IF($D418="","",IFERROR(MATCH($D418,Îlots!$D$8:$D$57,0),""))</f>
        <v/>
      </c>
      <c r="AA418" s="53" t="str">
        <f>IF($G418="","",IFERROR(MATCH($G418,Fertilisants!$B$8:$B$47,0),""))</f>
        <v/>
      </c>
      <c r="AB418" s="53" t="str">
        <f>IF($Z418="","",INDEX(Îlots!$E$8:$E$57,$Z418))</f>
        <v/>
      </c>
      <c r="AC418" s="53" t="str">
        <f>IF($Z418="","",INDEX(Îlots!$G$8:$G$57,$Z418)&amp;"")</f>
        <v/>
      </c>
      <c r="AD418" s="53" t="str">
        <f>IF($Z418="","",IF($F418=ApportCouvert,OccCouvert,INDEX(Îlots!$O$8:$O$57,$Z418)&amp;""))</f>
        <v/>
      </c>
      <c r="AE418" s="53" t="str">
        <f t="shared" si="87"/>
        <v/>
      </c>
      <c r="AF418" s="53" t="str">
        <f t="shared" si="88"/>
        <v/>
      </c>
      <c r="AG418" s="53" t="str">
        <f t="shared" si="89"/>
        <v/>
      </c>
      <c r="AH418" s="53">
        <f t="shared" si="90"/>
        <v>0</v>
      </c>
      <c r="AI418" s="53">
        <f t="shared" si="91"/>
        <v>0</v>
      </c>
      <c r="AJ418" s="53">
        <f t="shared" si="92"/>
        <v>0</v>
      </c>
      <c r="AK418" s="53">
        <f t="shared" si="93"/>
        <v>0</v>
      </c>
      <c r="AL418" s="53">
        <f t="shared" si="94"/>
        <v>0</v>
      </c>
      <c r="AM418" s="53">
        <f>IF($AA418="",0,IF(INDEX(Fertilisants!$C$8:$C$47,$AA418)="Effluent d'élevage",1,0))</f>
        <v>0</v>
      </c>
      <c r="AN418" s="53" t="str">
        <f>IF($AA418="","",IF(INDEX(Fertilisants!$C$8:$C$47,$AA418)="Engrais minéral","Minéral","Organique"))</f>
        <v/>
      </c>
      <c r="AO418" s="53" t="str">
        <f t="shared" si="95"/>
        <v/>
      </c>
      <c r="AP418" s="53" t="str">
        <f t="shared" si="96"/>
        <v/>
      </c>
      <c r="AQ418" s="53" t="str">
        <f t="shared" si="97"/>
        <v/>
      </c>
      <c r="AR418" s="53" t="str">
        <f>IF(AND($D418&lt;&gt;"",$D418=FicheIlot),COUNTIF($D$8:$D418,FicheIlot),"")</f>
        <v/>
      </c>
    </row>
    <row r="419" spans="2:44" ht="18.95" customHeight="1" x14ac:dyDescent="0.25">
      <c r="B419" s="42" t="str">
        <f>IF(C419="","",COUNT($C$8:C419))</f>
        <v/>
      </c>
      <c r="C419" s="43"/>
      <c r="D419" s="44"/>
      <c r="E419" s="45" t="str">
        <f>IF($Z419="","",IF($F419=ApportCouvert,INDEX(Îlots!$I$8:$I$57,$Z419)&amp;"",INDEX(Îlots!$N$8:$N$57,$Z419)&amp;""))</f>
        <v/>
      </c>
      <c r="F419" s="44"/>
      <c r="G419" s="44"/>
      <c r="H419" s="46" t="str">
        <f>IF($AA419="","",INDEX(Fertilisants!$D$8:$D$47,$AA419)&amp;"")</f>
        <v/>
      </c>
      <c r="I419" s="47"/>
      <c r="J419" s="48"/>
      <c r="K419" s="46" t="str">
        <f>IF($AA419="","",INDEX(Fertilisants!$E$8:$E$47,$AA419)&amp;"")</f>
        <v/>
      </c>
      <c r="L419" s="49" t="str">
        <f t="shared" si="84"/>
        <v/>
      </c>
      <c r="M419" s="50" t="str">
        <f>IF(OR($J419="",$AA419=""),"",$J419*N(INDEX(Fertilisants!$G$8:$G$47,$AA419)))</f>
        <v/>
      </c>
      <c r="N419" s="50" t="str">
        <f>IF(OR($J419="",$AA419=""),"",$J419*N(INDEX(Fertilisants!$I$8:$I$47,$AA419)))</f>
        <v/>
      </c>
      <c r="O419" s="50" t="str">
        <f>IF(OR($J419="",$AA419=""),"",$J419*N(INDEX(Fertilisants!$J$8:$J$47,$AA419)))</f>
        <v/>
      </c>
      <c r="P419" s="50" t="str">
        <f>IF(OR($J419="",$AA419=""),"",$J419*N(INDEX(Fertilisants!$K$8:$K$47,$AA419)))</f>
        <v/>
      </c>
      <c r="Q419" s="50" t="str">
        <f t="shared" si="85"/>
        <v/>
      </c>
      <c r="R419" s="44"/>
      <c r="S419" s="44"/>
      <c r="T419" s="51"/>
      <c r="U419" s="44"/>
      <c r="V419" s="43"/>
      <c r="W419" s="52" t="str">
        <f t="shared" si="86"/>
        <v/>
      </c>
      <c r="X419" s="44"/>
      <c r="Z419" s="53" t="str">
        <f>IF($D419="","",IFERROR(MATCH($D419,Îlots!$D$8:$D$57,0),""))</f>
        <v/>
      </c>
      <c r="AA419" s="53" t="str">
        <f>IF($G419="","",IFERROR(MATCH($G419,Fertilisants!$B$8:$B$47,0),""))</f>
        <v/>
      </c>
      <c r="AB419" s="53" t="str">
        <f>IF($Z419="","",INDEX(Îlots!$E$8:$E$57,$Z419))</f>
        <v/>
      </c>
      <c r="AC419" s="53" t="str">
        <f>IF($Z419="","",INDEX(Îlots!$G$8:$G$57,$Z419)&amp;"")</f>
        <v/>
      </c>
      <c r="AD419" s="53" t="str">
        <f>IF($Z419="","",IF($F419=ApportCouvert,OccCouvert,INDEX(Îlots!$O$8:$O$57,$Z419)&amp;""))</f>
        <v/>
      </c>
      <c r="AE419" s="53" t="str">
        <f t="shared" si="87"/>
        <v/>
      </c>
      <c r="AF419" s="53" t="str">
        <f t="shared" si="88"/>
        <v/>
      </c>
      <c r="AG419" s="53" t="str">
        <f t="shared" si="89"/>
        <v/>
      </c>
      <c r="AH419" s="53">
        <f t="shared" si="90"/>
        <v>0</v>
      </c>
      <c r="AI419" s="53">
        <f t="shared" si="91"/>
        <v>0</v>
      </c>
      <c r="AJ419" s="53">
        <f t="shared" si="92"/>
        <v>0</v>
      </c>
      <c r="AK419" s="53">
        <f t="shared" si="93"/>
        <v>0</v>
      </c>
      <c r="AL419" s="53">
        <f t="shared" si="94"/>
        <v>0</v>
      </c>
      <c r="AM419" s="53">
        <f>IF($AA419="",0,IF(INDEX(Fertilisants!$C$8:$C$47,$AA419)="Effluent d'élevage",1,0))</f>
        <v>0</v>
      </c>
      <c r="AN419" s="53" t="str">
        <f>IF($AA419="","",IF(INDEX(Fertilisants!$C$8:$C$47,$AA419)="Engrais minéral","Minéral","Organique"))</f>
        <v/>
      </c>
      <c r="AO419" s="53" t="str">
        <f t="shared" si="95"/>
        <v/>
      </c>
      <c r="AP419" s="53" t="str">
        <f t="shared" si="96"/>
        <v/>
      </c>
      <c r="AQ419" s="53" t="str">
        <f t="shared" si="97"/>
        <v/>
      </c>
      <c r="AR419" s="53" t="str">
        <f>IF(AND($D419&lt;&gt;"",$D419=FicheIlot),COUNTIF($D$8:$D419,FicheIlot),"")</f>
        <v/>
      </c>
    </row>
    <row r="420" spans="2:44" ht="18.95" customHeight="1" x14ac:dyDescent="0.25">
      <c r="B420" s="42" t="str">
        <f>IF(C420="","",COUNT($C$8:C420))</f>
        <v/>
      </c>
      <c r="C420" s="43"/>
      <c r="D420" s="44"/>
      <c r="E420" s="45" t="str">
        <f>IF($Z420="","",IF($F420=ApportCouvert,INDEX(Îlots!$I$8:$I$57,$Z420)&amp;"",INDEX(Îlots!$N$8:$N$57,$Z420)&amp;""))</f>
        <v/>
      </c>
      <c r="F420" s="44"/>
      <c r="G420" s="44"/>
      <c r="H420" s="46" t="str">
        <f>IF($AA420="","",INDEX(Fertilisants!$D$8:$D$47,$AA420)&amp;"")</f>
        <v/>
      </c>
      <c r="I420" s="47"/>
      <c r="J420" s="48"/>
      <c r="K420" s="46" t="str">
        <f>IF($AA420="","",INDEX(Fertilisants!$E$8:$E$47,$AA420)&amp;"")</f>
        <v/>
      </c>
      <c r="L420" s="49" t="str">
        <f t="shared" si="84"/>
        <v/>
      </c>
      <c r="M420" s="50" t="str">
        <f>IF(OR($J420="",$AA420=""),"",$J420*N(INDEX(Fertilisants!$G$8:$G$47,$AA420)))</f>
        <v/>
      </c>
      <c r="N420" s="50" t="str">
        <f>IF(OR($J420="",$AA420=""),"",$J420*N(INDEX(Fertilisants!$I$8:$I$47,$AA420)))</f>
        <v/>
      </c>
      <c r="O420" s="50" t="str">
        <f>IF(OR($J420="",$AA420=""),"",$J420*N(INDEX(Fertilisants!$J$8:$J$47,$AA420)))</f>
        <v/>
      </c>
      <c r="P420" s="50" t="str">
        <f>IF(OR($J420="",$AA420=""),"",$J420*N(INDEX(Fertilisants!$K$8:$K$47,$AA420)))</f>
        <v/>
      </c>
      <c r="Q420" s="50" t="str">
        <f t="shared" si="85"/>
        <v/>
      </c>
      <c r="R420" s="44"/>
      <c r="S420" s="44"/>
      <c r="T420" s="51"/>
      <c r="U420" s="44"/>
      <c r="V420" s="43"/>
      <c r="W420" s="52" t="str">
        <f t="shared" si="86"/>
        <v/>
      </c>
      <c r="X420" s="44"/>
      <c r="Z420" s="53" t="str">
        <f>IF($D420="","",IFERROR(MATCH($D420,Îlots!$D$8:$D$57,0),""))</f>
        <v/>
      </c>
      <c r="AA420" s="53" t="str">
        <f>IF($G420="","",IFERROR(MATCH($G420,Fertilisants!$B$8:$B$47,0),""))</f>
        <v/>
      </c>
      <c r="AB420" s="53" t="str">
        <f>IF($Z420="","",INDEX(Îlots!$E$8:$E$57,$Z420))</f>
        <v/>
      </c>
      <c r="AC420" s="53" t="str">
        <f>IF($Z420="","",INDEX(Îlots!$G$8:$G$57,$Z420)&amp;"")</f>
        <v/>
      </c>
      <c r="AD420" s="53" t="str">
        <f>IF($Z420="","",IF($F420=ApportCouvert,OccCouvert,INDEX(Îlots!$O$8:$O$57,$Z420)&amp;""))</f>
        <v/>
      </c>
      <c r="AE420" s="53" t="str">
        <f t="shared" si="87"/>
        <v/>
      </c>
      <c r="AF420" s="53" t="str">
        <f t="shared" si="88"/>
        <v/>
      </c>
      <c r="AG420" s="53" t="str">
        <f t="shared" si="89"/>
        <v/>
      </c>
      <c r="AH420" s="53">
        <f t="shared" si="90"/>
        <v>0</v>
      </c>
      <c r="AI420" s="53">
        <f t="shared" si="91"/>
        <v>0</v>
      </c>
      <c r="AJ420" s="53">
        <f t="shared" si="92"/>
        <v>0</v>
      </c>
      <c r="AK420" s="53">
        <f t="shared" si="93"/>
        <v>0</v>
      </c>
      <c r="AL420" s="53">
        <f t="shared" si="94"/>
        <v>0</v>
      </c>
      <c r="AM420" s="53">
        <f>IF($AA420="",0,IF(INDEX(Fertilisants!$C$8:$C$47,$AA420)="Effluent d'élevage",1,0))</f>
        <v>0</v>
      </c>
      <c r="AN420" s="53" t="str">
        <f>IF($AA420="","",IF(INDEX(Fertilisants!$C$8:$C$47,$AA420)="Engrais minéral","Minéral","Organique"))</f>
        <v/>
      </c>
      <c r="AO420" s="53" t="str">
        <f t="shared" si="95"/>
        <v/>
      </c>
      <c r="AP420" s="53" t="str">
        <f t="shared" si="96"/>
        <v/>
      </c>
      <c r="AQ420" s="53" t="str">
        <f t="shared" si="97"/>
        <v/>
      </c>
      <c r="AR420" s="53" t="str">
        <f>IF(AND($D420&lt;&gt;"",$D420=FicheIlot),COUNTIF($D$8:$D420,FicheIlot),"")</f>
        <v/>
      </c>
    </row>
    <row r="421" spans="2:44" ht="18.95" customHeight="1" x14ac:dyDescent="0.25">
      <c r="B421" s="42" t="str">
        <f>IF(C421="","",COUNT($C$8:C421))</f>
        <v/>
      </c>
      <c r="C421" s="43"/>
      <c r="D421" s="44"/>
      <c r="E421" s="45" t="str">
        <f>IF($Z421="","",IF($F421=ApportCouvert,INDEX(Îlots!$I$8:$I$57,$Z421)&amp;"",INDEX(Îlots!$N$8:$N$57,$Z421)&amp;""))</f>
        <v/>
      </c>
      <c r="F421" s="44"/>
      <c r="G421" s="44"/>
      <c r="H421" s="46" t="str">
        <f>IF($AA421="","",INDEX(Fertilisants!$D$8:$D$47,$AA421)&amp;"")</f>
        <v/>
      </c>
      <c r="I421" s="47"/>
      <c r="J421" s="48"/>
      <c r="K421" s="46" t="str">
        <f>IF($AA421="","",INDEX(Fertilisants!$E$8:$E$47,$AA421)&amp;"")</f>
        <v/>
      </c>
      <c r="L421" s="49" t="str">
        <f t="shared" si="84"/>
        <v/>
      </c>
      <c r="M421" s="50" t="str">
        <f>IF(OR($J421="",$AA421=""),"",$J421*N(INDEX(Fertilisants!$G$8:$G$47,$AA421)))</f>
        <v/>
      </c>
      <c r="N421" s="50" t="str">
        <f>IF(OR($J421="",$AA421=""),"",$J421*N(INDEX(Fertilisants!$I$8:$I$47,$AA421)))</f>
        <v/>
      </c>
      <c r="O421" s="50" t="str">
        <f>IF(OR($J421="",$AA421=""),"",$J421*N(INDEX(Fertilisants!$J$8:$J$47,$AA421)))</f>
        <v/>
      </c>
      <c r="P421" s="50" t="str">
        <f>IF(OR($J421="",$AA421=""),"",$J421*N(INDEX(Fertilisants!$K$8:$K$47,$AA421)))</f>
        <v/>
      </c>
      <c r="Q421" s="50" t="str">
        <f t="shared" si="85"/>
        <v/>
      </c>
      <c r="R421" s="44"/>
      <c r="S421" s="44"/>
      <c r="T421" s="51"/>
      <c r="U421" s="44"/>
      <c r="V421" s="43"/>
      <c r="W421" s="52" t="str">
        <f t="shared" si="86"/>
        <v/>
      </c>
      <c r="X421" s="44"/>
      <c r="Z421" s="53" t="str">
        <f>IF($D421="","",IFERROR(MATCH($D421,Îlots!$D$8:$D$57,0),""))</f>
        <v/>
      </c>
      <c r="AA421" s="53" t="str">
        <f>IF($G421="","",IFERROR(MATCH($G421,Fertilisants!$B$8:$B$47,0),""))</f>
        <v/>
      </c>
      <c r="AB421" s="53" t="str">
        <f>IF($Z421="","",INDEX(Îlots!$E$8:$E$57,$Z421))</f>
        <v/>
      </c>
      <c r="AC421" s="53" t="str">
        <f>IF($Z421="","",INDEX(Îlots!$G$8:$G$57,$Z421)&amp;"")</f>
        <v/>
      </c>
      <c r="AD421" s="53" t="str">
        <f>IF($Z421="","",IF($F421=ApportCouvert,OccCouvert,INDEX(Îlots!$O$8:$O$57,$Z421)&amp;""))</f>
        <v/>
      </c>
      <c r="AE421" s="53" t="str">
        <f t="shared" si="87"/>
        <v/>
      </c>
      <c r="AF421" s="53" t="str">
        <f t="shared" si="88"/>
        <v/>
      </c>
      <c r="AG421" s="53" t="str">
        <f t="shared" si="89"/>
        <v/>
      </c>
      <c r="AH421" s="53">
        <f t="shared" si="90"/>
        <v>0</v>
      </c>
      <c r="AI421" s="53">
        <f t="shared" si="91"/>
        <v>0</v>
      </c>
      <c r="AJ421" s="53">
        <f t="shared" si="92"/>
        <v>0</v>
      </c>
      <c r="AK421" s="53">
        <f t="shared" si="93"/>
        <v>0</v>
      </c>
      <c r="AL421" s="53">
        <f t="shared" si="94"/>
        <v>0</v>
      </c>
      <c r="AM421" s="53">
        <f>IF($AA421="",0,IF(INDEX(Fertilisants!$C$8:$C$47,$AA421)="Effluent d'élevage",1,0))</f>
        <v>0</v>
      </c>
      <c r="AN421" s="53" t="str">
        <f>IF($AA421="","",IF(INDEX(Fertilisants!$C$8:$C$47,$AA421)="Engrais minéral","Minéral","Organique"))</f>
        <v/>
      </c>
      <c r="AO421" s="53" t="str">
        <f t="shared" si="95"/>
        <v/>
      </c>
      <c r="AP421" s="53" t="str">
        <f t="shared" si="96"/>
        <v/>
      </c>
      <c r="AQ421" s="53" t="str">
        <f t="shared" si="97"/>
        <v/>
      </c>
      <c r="AR421" s="53" t="str">
        <f>IF(AND($D421&lt;&gt;"",$D421=FicheIlot),COUNTIF($D$8:$D421,FicheIlot),"")</f>
        <v/>
      </c>
    </row>
    <row r="422" spans="2:44" ht="18.95" customHeight="1" x14ac:dyDescent="0.25">
      <c r="B422" s="42" t="str">
        <f>IF(C422="","",COUNT($C$8:C422))</f>
        <v/>
      </c>
      <c r="C422" s="43"/>
      <c r="D422" s="44"/>
      <c r="E422" s="45" t="str">
        <f>IF($Z422="","",IF($F422=ApportCouvert,INDEX(Îlots!$I$8:$I$57,$Z422)&amp;"",INDEX(Îlots!$N$8:$N$57,$Z422)&amp;""))</f>
        <v/>
      </c>
      <c r="F422" s="44"/>
      <c r="G422" s="44"/>
      <c r="H422" s="46" t="str">
        <f>IF($AA422="","",INDEX(Fertilisants!$D$8:$D$47,$AA422)&amp;"")</f>
        <v/>
      </c>
      <c r="I422" s="47"/>
      <c r="J422" s="48"/>
      <c r="K422" s="46" t="str">
        <f>IF($AA422="","",INDEX(Fertilisants!$E$8:$E$47,$AA422)&amp;"")</f>
        <v/>
      </c>
      <c r="L422" s="49" t="str">
        <f t="shared" si="84"/>
        <v/>
      </c>
      <c r="M422" s="50" t="str">
        <f>IF(OR($J422="",$AA422=""),"",$J422*N(INDEX(Fertilisants!$G$8:$G$47,$AA422)))</f>
        <v/>
      </c>
      <c r="N422" s="50" t="str">
        <f>IF(OR($J422="",$AA422=""),"",$J422*N(INDEX(Fertilisants!$I$8:$I$47,$AA422)))</f>
        <v/>
      </c>
      <c r="O422" s="50" t="str">
        <f>IF(OR($J422="",$AA422=""),"",$J422*N(INDEX(Fertilisants!$J$8:$J$47,$AA422)))</f>
        <v/>
      </c>
      <c r="P422" s="50" t="str">
        <f>IF(OR($J422="",$AA422=""),"",$J422*N(INDEX(Fertilisants!$K$8:$K$47,$AA422)))</f>
        <v/>
      </c>
      <c r="Q422" s="50" t="str">
        <f t="shared" si="85"/>
        <v/>
      </c>
      <c r="R422" s="44"/>
      <c r="S422" s="44"/>
      <c r="T422" s="51"/>
      <c r="U422" s="44"/>
      <c r="V422" s="43"/>
      <c r="W422" s="52" t="str">
        <f t="shared" si="86"/>
        <v/>
      </c>
      <c r="X422" s="44"/>
      <c r="Z422" s="53" t="str">
        <f>IF($D422="","",IFERROR(MATCH($D422,Îlots!$D$8:$D$57,0),""))</f>
        <v/>
      </c>
      <c r="AA422" s="53" t="str">
        <f>IF($G422="","",IFERROR(MATCH($G422,Fertilisants!$B$8:$B$47,0),""))</f>
        <v/>
      </c>
      <c r="AB422" s="53" t="str">
        <f>IF($Z422="","",INDEX(Îlots!$E$8:$E$57,$Z422))</f>
        <v/>
      </c>
      <c r="AC422" s="53" t="str">
        <f>IF($Z422="","",INDEX(Îlots!$G$8:$G$57,$Z422)&amp;"")</f>
        <v/>
      </c>
      <c r="AD422" s="53" t="str">
        <f>IF($Z422="","",IF($F422=ApportCouvert,OccCouvert,INDEX(Îlots!$O$8:$O$57,$Z422)&amp;""))</f>
        <v/>
      </c>
      <c r="AE422" s="53" t="str">
        <f t="shared" si="87"/>
        <v/>
      </c>
      <c r="AF422" s="53" t="str">
        <f t="shared" si="88"/>
        <v/>
      </c>
      <c r="AG422" s="53" t="str">
        <f t="shared" si="89"/>
        <v/>
      </c>
      <c r="AH422" s="53">
        <f t="shared" si="90"/>
        <v>0</v>
      </c>
      <c r="AI422" s="53">
        <f t="shared" si="91"/>
        <v>0</v>
      </c>
      <c r="AJ422" s="53">
        <f t="shared" si="92"/>
        <v>0</v>
      </c>
      <c r="AK422" s="53">
        <f t="shared" si="93"/>
        <v>0</v>
      </c>
      <c r="AL422" s="53">
        <f t="shared" si="94"/>
        <v>0</v>
      </c>
      <c r="AM422" s="53">
        <f>IF($AA422="",0,IF(INDEX(Fertilisants!$C$8:$C$47,$AA422)="Effluent d'élevage",1,0))</f>
        <v>0</v>
      </c>
      <c r="AN422" s="53" t="str">
        <f>IF($AA422="","",IF(INDEX(Fertilisants!$C$8:$C$47,$AA422)="Engrais minéral","Minéral","Organique"))</f>
        <v/>
      </c>
      <c r="AO422" s="53" t="str">
        <f t="shared" si="95"/>
        <v/>
      </c>
      <c r="AP422" s="53" t="str">
        <f t="shared" si="96"/>
        <v/>
      </c>
      <c r="AQ422" s="53" t="str">
        <f t="shared" si="97"/>
        <v/>
      </c>
      <c r="AR422" s="53" t="str">
        <f>IF(AND($D422&lt;&gt;"",$D422=FicheIlot),COUNTIF($D$8:$D422,FicheIlot),"")</f>
        <v/>
      </c>
    </row>
    <row r="423" spans="2:44" ht="18.95" customHeight="1" x14ac:dyDescent="0.25">
      <c r="B423" s="42" t="str">
        <f>IF(C423="","",COUNT($C$8:C423))</f>
        <v/>
      </c>
      <c r="C423" s="43"/>
      <c r="D423" s="44"/>
      <c r="E423" s="45" t="str">
        <f>IF($Z423="","",IF($F423=ApportCouvert,INDEX(Îlots!$I$8:$I$57,$Z423)&amp;"",INDEX(Îlots!$N$8:$N$57,$Z423)&amp;""))</f>
        <v/>
      </c>
      <c r="F423" s="44"/>
      <c r="G423" s="44"/>
      <c r="H423" s="46" t="str">
        <f>IF($AA423="","",INDEX(Fertilisants!$D$8:$D$47,$AA423)&amp;"")</f>
        <v/>
      </c>
      <c r="I423" s="47"/>
      <c r="J423" s="48"/>
      <c r="K423" s="46" t="str">
        <f>IF($AA423="","",INDEX(Fertilisants!$E$8:$E$47,$AA423)&amp;"")</f>
        <v/>
      </c>
      <c r="L423" s="49" t="str">
        <f t="shared" si="84"/>
        <v/>
      </c>
      <c r="M423" s="50" t="str">
        <f>IF(OR($J423="",$AA423=""),"",$J423*N(INDEX(Fertilisants!$G$8:$G$47,$AA423)))</f>
        <v/>
      </c>
      <c r="N423" s="50" t="str">
        <f>IF(OR($J423="",$AA423=""),"",$J423*N(INDEX(Fertilisants!$I$8:$I$47,$AA423)))</f>
        <v/>
      </c>
      <c r="O423" s="50" t="str">
        <f>IF(OR($J423="",$AA423=""),"",$J423*N(INDEX(Fertilisants!$J$8:$J$47,$AA423)))</f>
        <v/>
      </c>
      <c r="P423" s="50" t="str">
        <f>IF(OR($J423="",$AA423=""),"",$J423*N(INDEX(Fertilisants!$K$8:$K$47,$AA423)))</f>
        <v/>
      </c>
      <c r="Q423" s="50" t="str">
        <f t="shared" si="85"/>
        <v/>
      </c>
      <c r="R423" s="44"/>
      <c r="S423" s="44"/>
      <c r="T423" s="51"/>
      <c r="U423" s="44"/>
      <c r="V423" s="43"/>
      <c r="W423" s="52" t="str">
        <f t="shared" si="86"/>
        <v/>
      </c>
      <c r="X423" s="44"/>
      <c r="Z423" s="53" t="str">
        <f>IF($D423="","",IFERROR(MATCH($D423,Îlots!$D$8:$D$57,0),""))</f>
        <v/>
      </c>
      <c r="AA423" s="53" t="str">
        <f>IF($G423="","",IFERROR(MATCH($G423,Fertilisants!$B$8:$B$47,0),""))</f>
        <v/>
      </c>
      <c r="AB423" s="53" t="str">
        <f>IF($Z423="","",INDEX(Îlots!$E$8:$E$57,$Z423))</f>
        <v/>
      </c>
      <c r="AC423" s="53" t="str">
        <f>IF($Z423="","",INDEX(Îlots!$G$8:$G$57,$Z423)&amp;"")</f>
        <v/>
      </c>
      <c r="AD423" s="53" t="str">
        <f>IF($Z423="","",IF($F423=ApportCouvert,OccCouvert,INDEX(Îlots!$O$8:$O$57,$Z423)&amp;""))</f>
        <v/>
      </c>
      <c r="AE423" s="53" t="str">
        <f t="shared" si="87"/>
        <v/>
      </c>
      <c r="AF423" s="53" t="str">
        <f t="shared" si="88"/>
        <v/>
      </c>
      <c r="AG423" s="53" t="str">
        <f t="shared" si="89"/>
        <v/>
      </c>
      <c r="AH423" s="53">
        <f t="shared" si="90"/>
        <v>0</v>
      </c>
      <c r="AI423" s="53">
        <f t="shared" si="91"/>
        <v>0</v>
      </c>
      <c r="AJ423" s="53">
        <f t="shared" si="92"/>
        <v>0</v>
      </c>
      <c r="AK423" s="53">
        <f t="shared" si="93"/>
        <v>0</v>
      </c>
      <c r="AL423" s="53">
        <f t="shared" si="94"/>
        <v>0</v>
      </c>
      <c r="AM423" s="53">
        <f>IF($AA423="",0,IF(INDEX(Fertilisants!$C$8:$C$47,$AA423)="Effluent d'élevage",1,0))</f>
        <v>0</v>
      </c>
      <c r="AN423" s="53" t="str">
        <f>IF($AA423="","",IF(INDEX(Fertilisants!$C$8:$C$47,$AA423)="Engrais minéral","Minéral","Organique"))</f>
        <v/>
      </c>
      <c r="AO423" s="53" t="str">
        <f t="shared" si="95"/>
        <v/>
      </c>
      <c r="AP423" s="53" t="str">
        <f t="shared" si="96"/>
        <v/>
      </c>
      <c r="AQ423" s="53" t="str">
        <f t="shared" si="97"/>
        <v/>
      </c>
      <c r="AR423" s="53" t="str">
        <f>IF(AND($D423&lt;&gt;"",$D423=FicheIlot),COUNTIF($D$8:$D423,FicheIlot),"")</f>
        <v/>
      </c>
    </row>
    <row r="424" spans="2:44" ht="18.95" customHeight="1" x14ac:dyDescent="0.25">
      <c r="B424" s="42" t="str">
        <f>IF(C424="","",COUNT($C$8:C424))</f>
        <v/>
      </c>
      <c r="C424" s="43"/>
      <c r="D424" s="44"/>
      <c r="E424" s="45" t="str">
        <f>IF($Z424="","",IF($F424=ApportCouvert,INDEX(Îlots!$I$8:$I$57,$Z424)&amp;"",INDEX(Îlots!$N$8:$N$57,$Z424)&amp;""))</f>
        <v/>
      </c>
      <c r="F424" s="44"/>
      <c r="G424" s="44"/>
      <c r="H424" s="46" t="str">
        <f>IF($AA424="","",INDEX(Fertilisants!$D$8:$D$47,$AA424)&amp;"")</f>
        <v/>
      </c>
      <c r="I424" s="47"/>
      <c r="J424" s="48"/>
      <c r="K424" s="46" t="str">
        <f>IF($AA424="","",INDEX(Fertilisants!$E$8:$E$47,$AA424)&amp;"")</f>
        <v/>
      </c>
      <c r="L424" s="49" t="str">
        <f t="shared" si="84"/>
        <v/>
      </c>
      <c r="M424" s="50" t="str">
        <f>IF(OR($J424="",$AA424=""),"",$J424*N(INDEX(Fertilisants!$G$8:$G$47,$AA424)))</f>
        <v/>
      </c>
      <c r="N424" s="50" t="str">
        <f>IF(OR($J424="",$AA424=""),"",$J424*N(INDEX(Fertilisants!$I$8:$I$47,$AA424)))</f>
        <v/>
      </c>
      <c r="O424" s="50" t="str">
        <f>IF(OR($J424="",$AA424=""),"",$J424*N(INDEX(Fertilisants!$J$8:$J$47,$AA424)))</f>
        <v/>
      </c>
      <c r="P424" s="50" t="str">
        <f>IF(OR($J424="",$AA424=""),"",$J424*N(INDEX(Fertilisants!$K$8:$K$47,$AA424)))</f>
        <v/>
      </c>
      <c r="Q424" s="50" t="str">
        <f t="shared" si="85"/>
        <v/>
      </c>
      <c r="R424" s="44"/>
      <c r="S424" s="44"/>
      <c r="T424" s="51"/>
      <c r="U424" s="44"/>
      <c r="V424" s="43"/>
      <c r="W424" s="52" t="str">
        <f t="shared" si="86"/>
        <v/>
      </c>
      <c r="X424" s="44"/>
      <c r="Z424" s="53" t="str">
        <f>IF($D424="","",IFERROR(MATCH($D424,Îlots!$D$8:$D$57,0),""))</f>
        <v/>
      </c>
      <c r="AA424" s="53" t="str">
        <f>IF($G424="","",IFERROR(MATCH($G424,Fertilisants!$B$8:$B$47,0),""))</f>
        <v/>
      </c>
      <c r="AB424" s="53" t="str">
        <f>IF($Z424="","",INDEX(Îlots!$E$8:$E$57,$Z424))</f>
        <v/>
      </c>
      <c r="AC424" s="53" t="str">
        <f>IF($Z424="","",INDEX(Îlots!$G$8:$G$57,$Z424)&amp;"")</f>
        <v/>
      </c>
      <c r="AD424" s="53" t="str">
        <f>IF($Z424="","",IF($F424=ApportCouvert,OccCouvert,INDEX(Îlots!$O$8:$O$57,$Z424)&amp;""))</f>
        <v/>
      </c>
      <c r="AE424" s="53" t="str">
        <f t="shared" si="87"/>
        <v/>
      </c>
      <c r="AF424" s="53" t="str">
        <f t="shared" si="88"/>
        <v/>
      </c>
      <c r="AG424" s="53" t="str">
        <f t="shared" si="89"/>
        <v/>
      </c>
      <c r="AH424" s="53">
        <f t="shared" si="90"/>
        <v>0</v>
      </c>
      <c r="AI424" s="53">
        <f t="shared" si="91"/>
        <v>0</v>
      </c>
      <c r="AJ424" s="53">
        <f t="shared" si="92"/>
        <v>0</v>
      </c>
      <c r="AK424" s="53">
        <f t="shared" si="93"/>
        <v>0</v>
      </c>
      <c r="AL424" s="53">
        <f t="shared" si="94"/>
        <v>0</v>
      </c>
      <c r="AM424" s="53">
        <f>IF($AA424="",0,IF(INDEX(Fertilisants!$C$8:$C$47,$AA424)="Effluent d'élevage",1,0))</f>
        <v>0</v>
      </c>
      <c r="AN424" s="53" t="str">
        <f>IF($AA424="","",IF(INDEX(Fertilisants!$C$8:$C$47,$AA424)="Engrais minéral","Minéral","Organique"))</f>
        <v/>
      </c>
      <c r="AO424" s="53" t="str">
        <f t="shared" si="95"/>
        <v/>
      </c>
      <c r="AP424" s="53" t="str">
        <f t="shared" si="96"/>
        <v/>
      </c>
      <c r="AQ424" s="53" t="str">
        <f t="shared" si="97"/>
        <v/>
      </c>
      <c r="AR424" s="53" t="str">
        <f>IF(AND($D424&lt;&gt;"",$D424=FicheIlot),COUNTIF($D$8:$D424,FicheIlot),"")</f>
        <v/>
      </c>
    </row>
    <row r="425" spans="2:44" ht="18.95" customHeight="1" x14ac:dyDescent="0.25">
      <c r="B425" s="42" t="str">
        <f>IF(C425="","",COUNT($C$8:C425))</f>
        <v/>
      </c>
      <c r="C425" s="43"/>
      <c r="D425" s="44"/>
      <c r="E425" s="45" t="str">
        <f>IF($Z425="","",IF($F425=ApportCouvert,INDEX(Îlots!$I$8:$I$57,$Z425)&amp;"",INDEX(Îlots!$N$8:$N$57,$Z425)&amp;""))</f>
        <v/>
      </c>
      <c r="F425" s="44"/>
      <c r="G425" s="44"/>
      <c r="H425" s="46" t="str">
        <f>IF($AA425="","",INDEX(Fertilisants!$D$8:$D$47,$AA425)&amp;"")</f>
        <v/>
      </c>
      <c r="I425" s="47"/>
      <c r="J425" s="48"/>
      <c r="K425" s="46" t="str">
        <f>IF($AA425="","",INDEX(Fertilisants!$E$8:$E$47,$AA425)&amp;"")</f>
        <v/>
      </c>
      <c r="L425" s="49" t="str">
        <f t="shared" si="84"/>
        <v/>
      </c>
      <c r="M425" s="50" t="str">
        <f>IF(OR($J425="",$AA425=""),"",$J425*N(INDEX(Fertilisants!$G$8:$G$47,$AA425)))</f>
        <v/>
      </c>
      <c r="N425" s="50" t="str">
        <f>IF(OR($J425="",$AA425=""),"",$J425*N(INDEX(Fertilisants!$I$8:$I$47,$AA425)))</f>
        <v/>
      </c>
      <c r="O425" s="50" t="str">
        <f>IF(OR($J425="",$AA425=""),"",$J425*N(INDEX(Fertilisants!$J$8:$J$47,$AA425)))</f>
        <v/>
      </c>
      <c r="P425" s="50" t="str">
        <f>IF(OR($J425="",$AA425=""),"",$J425*N(INDEX(Fertilisants!$K$8:$K$47,$AA425)))</f>
        <v/>
      </c>
      <c r="Q425" s="50" t="str">
        <f t="shared" si="85"/>
        <v/>
      </c>
      <c r="R425" s="44"/>
      <c r="S425" s="44"/>
      <c r="T425" s="51"/>
      <c r="U425" s="44"/>
      <c r="V425" s="43"/>
      <c r="W425" s="52" t="str">
        <f t="shared" si="86"/>
        <v/>
      </c>
      <c r="X425" s="44"/>
      <c r="Z425" s="53" t="str">
        <f>IF($D425="","",IFERROR(MATCH($D425,Îlots!$D$8:$D$57,0),""))</f>
        <v/>
      </c>
      <c r="AA425" s="53" t="str">
        <f>IF($G425="","",IFERROR(MATCH($G425,Fertilisants!$B$8:$B$47,0),""))</f>
        <v/>
      </c>
      <c r="AB425" s="53" t="str">
        <f>IF($Z425="","",INDEX(Îlots!$E$8:$E$57,$Z425))</f>
        <v/>
      </c>
      <c r="AC425" s="53" t="str">
        <f>IF($Z425="","",INDEX(Îlots!$G$8:$G$57,$Z425)&amp;"")</f>
        <v/>
      </c>
      <c r="AD425" s="53" t="str">
        <f>IF($Z425="","",IF($F425=ApportCouvert,OccCouvert,INDEX(Îlots!$O$8:$O$57,$Z425)&amp;""))</f>
        <v/>
      </c>
      <c r="AE425" s="53" t="str">
        <f t="shared" si="87"/>
        <v/>
      </c>
      <c r="AF425" s="53" t="str">
        <f t="shared" si="88"/>
        <v/>
      </c>
      <c r="AG425" s="53" t="str">
        <f t="shared" si="89"/>
        <v/>
      </c>
      <c r="AH425" s="53">
        <f t="shared" si="90"/>
        <v>0</v>
      </c>
      <c r="AI425" s="53">
        <f t="shared" si="91"/>
        <v>0</v>
      </c>
      <c r="AJ425" s="53">
        <f t="shared" si="92"/>
        <v>0</v>
      </c>
      <c r="AK425" s="53">
        <f t="shared" si="93"/>
        <v>0</v>
      </c>
      <c r="AL425" s="53">
        <f t="shared" si="94"/>
        <v>0</v>
      </c>
      <c r="AM425" s="53">
        <f>IF($AA425="",0,IF(INDEX(Fertilisants!$C$8:$C$47,$AA425)="Effluent d'élevage",1,0))</f>
        <v>0</v>
      </c>
      <c r="AN425" s="53" t="str">
        <f>IF($AA425="","",IF(INDEX(Fertilisants!$C$8:$C$47,$AA425)="Engrais minéral","Minéral","Organique"))</f>
        <v/>
      </c>
      <c r="AO425" s="53" t="str">
        <f t="shared" si="95"/>
        <v/>
      </c>
      <c r="AP425" s="53" t="str">
        <f t="shared" si="96"/>
        <v/>
      </c>
      <c r="AQ425" s="53" t="str">
        <f t="shared" si="97"/>
        <v/>
      </c>
      <c r="AR425" s="53" t="str">
        <f>IF(AND($D425&lt;&gt;"",$D425=FicheIlot),COUNTIF($D$8:$D425,FicheIlot),"")</f>
        <v/>
      </c>
    </row>
    <row r="426" spans="2:44" ht="18.95" customHeight="1" x14ac:dyDescent="0.25">
      <c r="B426" s="42" t="str">
        <f>IF(C426="","",COUNT($C$8:C426))</f>
        <v/>
      </c>
      <c r="C426" s="43"/>
      <c r="D426" s="44"/>
      <c r="E426" s="45" t="str">
        <f>IF($Z426="","",IF($F426=ApportCouvert,INDEX(Îlots!$I$8:$I$57,$Z426)&amp;"",INDEX(Îlots!$N$8:$N$57,$Z426)&amp;""))</f>
        <v/>
      </c>
      <c r="F426" s="44"/>
      <c r="G426" s="44"/>
      <c r="H426" s="46" t="str">
        <f>IF($AA426="","",INDEX(Fertilisants!$D$8:$D$47,$AA426)&amp;"")</f>
        <v/>
      </c>
      <c r="I426" s="47"/>
      <c r="J426" s="48"/>
      <c r="K426" s="46" t="str">
        <f>IF($AA426="","",INDEX(Fertilisants!$E$8:$E$47,$AA426)&amp;"")</f>
        <v/>
      </c>
      <c r="L426" s="49" t="str">
        <f t="shared" si="84"/>
        <v/>
      </c>
      <c r="M426" s="50" t="str">
        <f>IF(OR($J426="",$AA426=""),"",$J426*N(INDEX(Fertilisants!$G$8:$G$47,$AA426)))</f>
        <v/>
      </c>
      <c r="N426" s="50" t="str">
        <f>IF(OR($J426="",$AA426=""),"",$J426*N(INDEX(Fertilisants!$I$8:$I$47,$AA426)))</f>
        <v/>
      </c>
      <c r="O426" s="50" t="str">
        <f>IF(OR($J426="",$AA426=""),"",$J426*N(INDEX(Fertilisants!$J$8:$J$47,$AA426)))</f>
        <v/>
      </c>
      <c r="P426" s="50" t="str">
        <f>IF(OR($J426="",$AA426=""),"",$J426*N(INDEX(Fertilisants!$K$8:$K$47,$AA426)))</f>
        <v/>
      </c>
      <c r="Q426" s="50" t="str">
        <f t="shared" si="85"/>
        <v/>
      </c>
      <c r="R426" s="44"/>
      <c r="S426" s="44"/>
      <c r="T426" s="51"/>
      <c r="U426" s="44"/>
      <c r="V426" s="43"/>
      <c r="W426" s="52" t="str">
        <f t="shared" si="86"/>
        <v/>
      </c>
      <c r="X426" s="44"/>
      <c r="Z426" s="53" t="str">
        <f>IF($D426="","",IFERROR(MATCH($D426,Îlots!$D$8:$D$57,0),""))</f>
        <v/>
      </c>
      <c r="AA426" s="53" t="str">
        <f>IF($G426="","",IFERROR(MATCH($G426,Fertilisants!$B$8:$B$47,0),""))</f>
        <v/>
      </c>
      <c r="AB426" s="53" t="str">
        <f>IF($Z426="","",INDEX(Îlots!$E$8:$E$57,$Z426))</f>
        <v/>
      </c>
      <c r="AC426" s="53" t="str">
        <f>IF($Z426="","",INDEX(Îlots!$G$8:$G$57,$Z426)&amp;"")</f>
        <v/>
      </c>
      <c r="AD426" s="53" t="str">
        <f>IF($Z426="","",IF($F426=ApportCouvert,OccCouvert,INDEX(Îlots!$O$8:$O$57,$Z426)&amp;""))</f>
        <v/>
      </c>
      <c r="AE426" s="53" t="str">
        <f t="shared" si="87"/>
        <v/>
      </c>
      <c r="AF426" s="53" t="str">
        <f t="shared" si="88"/>
        <v/>
      </c>
      <c r="AG426" s="53" t="str">
        <f t="shared" si="89"/>
        <v/>
      </c>
      <c r="AH426" s="53">
        <f t="shared" si="90"/>
        <v>0</v>
      </c>
      <c r="AI426" s="53">
        <f t="shared" si="91"/>
        <v>0</v>
      </c>
      <c r="AJ426" s="53">
        <f t="shared" si="92"/>
        <v>0</v>
      </c>
      <c r="AK426" s="53">
        <f t="shared" si="93"/>
        <v>0</v>
      </c>
      <c r="AL426" s="53">
        <f t="shared" si="94"/>
        <v>0</v>
      </c>
      <c r="AM426" s="53">
        <f>IF($AA426="",0,IF(INDEX(Fertilisants!$C$8:$C$47,$AA426)="Effluent d'élevage",1,0))</f>
        <v>0</v>
      </c>
      <c r="AN426" s="53" t="str">
        <f>IF($AA426="","",IF(INDEX(Fertilisants!$C$8:$C$47,$AA426)="Engrais minéral","Minéral","Organique"))</f>
        <v/>
      </c>
      <c r="AO426" s="53" t="str">
        <f t="shared" si="95"/>
        <v/>
      </c>
      <c r="AP426" s="53" t="str">
        <f t="shared" si="96"/>
        <v/>
      </c>
      <c r="AQ426" s="53" t="str">
        <f t="shared" si="97"/>
        <v/>
      </c>
      <c r="AR426" s="53" t="str">
        <f>IF(AND($D426&lt;&gt;"",$D426=FicheIlot),COUNTIF($D$8:$D426,FicheIlot),"")</f>
        <v/>
      </c>
    </row>
    <row r="427" spans="2:44" ht="18.95" customHeight="1" x14ac:dyDescent="0.25">
      <c r="B427" s="42" t="str">
        <f>IF(C427="","",COUNT($C$8:C427))</f>
        <v/>
      </c>
      <c r="C427" s="43"/>
      <c r="D427" s="44"/>
      <c r="E427" s="45" t="str">
        <f>IF($Z427="","",IF($F427=ApportCouvert,INDEX(Îlots!$I$8:$I$57,$Z427)&amp;"",INDEX(Îlots!$N$8:$N$57,$Z427)&amp;""))</f>
        <v/>
      </c>
      <c r="F427" s="44"/>
      <c r="G427" s="44"/>
      <c r="H427" s="46" t="str">
        <f>IF($AA427="","",INDEX(Fertilisants!$D$8:$D$47,$AA427)&amp;"")</f>
        <v/>
      </c>
      <c r="I427" s="47"/>
      <c r="J427" s="48"/>
      <c r="K427" s="46" t="str">
        <f>IF($AA427="","",INDEX(Fertilisants!$E$8:$E$47,$AA427)&amp;"")</f>
        <v/>
      </c>
      <c r="L427" s="49" t="str">
        <f t="shared" si="84"/>
        <v/>
      </c>
      <c r="M427" s="50" t="str">
        <f>IF(OR($J427="",$AA427=""),"",$J427*N(INDEX(Fertilisants!$G$8:$G$47,$AA427)))</f>
        <v/>
      </c>
      <c r="N427" s="50" t="str">
        <f>IF(OR($J427="",$AA427=""),"",$J427*N(INDEX(Fertilisants!$I$8:$I$47,$AA427)))</f>
        <v/>
      </c>
      <c r="O427" s="50" t="str">
        <f>IF(OR($J427="",$AA427=""),"",$J427*N(INDEX(Fertilisants!$J$8:$J$47,$AA427)))</f>
        <v/>
      </c>
      <c r="P427" s="50" t="str">
        <f>IF(OR($J427="",$AA427=""),"",$J427*N(INDEX(Fertilisants!$K$8:$K$47,$AA427)))</f>
        <v/>
      </c>
      <c r="Q427" s="50" t="str">
        <f t="shared" si="85"/>
        <v/>
      </c>
      <c r="R427" s="44"/>
      <c r="S427" s="44"/>
      <c r="T427" s="51"/>
      <c r="U427" s="44"/>
      <c r="V427" s="43"/>
      <c r="W427" s="52" t="str">
        <f t="shared" si="86"/>
        <v/>
      </c>
      <c r="X427" s="44"/>
      <c r="Z427" s="53" t="str">
        <f>IF($D427="","",IFERROR(MATCH($D427,Îlots!$D$8:$D$57,0),""))</f>
        <v/>
      </c>
      <c r="AA427" s="53" t="str">
        <f>IF($G427="","",IFERROR(MATCH($G427,Fertilisants!$B$8:$B$47,0),""))</f>
        <v/>
      </c>
      <c r="AB427" s="53" t="str">
        <f>IF($Z427="","",INDEX(Îlots!$E$8:$E$57,$Z427))</f>
        <v/>
      </c>
      <c r="AC427" s="53" t="str">
        <f>IF($Z427="","",INDEX(Îlots!$G$8:$G$57,$Z427)&amp;"")</f>
        <v/>
      </c>
      <c r="AD427" s="53" t="str">
        <f>IF($Z427="","",IF($F427=ApportCouvert,OccCouvert,INDEX(Îlots!$O$8:$O$57,$Z427)&amp;""))</f>
        <v/>
      </c>
      <c r="AE427" s="53" t="str">
        <f t="shared" si="87"/>
        <v/>
      </c>
      <c r="AF427" s="53" t="str">
        <f t="shared" si="88"/>
        <v/>
      </c>
      <c r="AG427" s="53" t="str">
        <f t="shared" si="89"/>
        <v/>
      </c>
      <c r="AH427" s="53">
        <f t="shared" si="90"/>
        <v>0</v>
      </c>
      <c r="AI427" s="53">
        <f t="shared" si="91"/>
        <v>0</v>
      </c>
      <c r="AJ427" s="53">
        <f t="shared" si="92"/>
        <v>0</v>
      </c>
      <c r="AK427" s="53">
        <f t="shared" si="93"/>
        <v>0</v>
      </c>
      <c r="AL427" s="53">
        <f t="shared" si="94"/>
        <v>0</v>
      </c>
      <c r="AM427" s="53">
        <f>IF($AA427="",0,IF(INDEX(Fertilisants!$C$8:$C$47,$AA427)="Effluent d'élevage",1,0))</f>
        <v>0</v>
      </c>
      <c r="AN427" s="53" t="str">
        <f>IF($AA427="","",IF(INDEX(Fertilisants!$C$8:$C$47,$AA427)="Engrais minéral","Minéral","Organique"))</f>
        <v/>
      </c>
      <c r="AO427" s="53" t="str">
        <f t="shared" si="95"/>
        <v/>
      </c>
      <c r="AP427" s="53" t="str">
        <f t="shared" si="96"/>
        <v/>
      </c>
      <c r="AQ427" s="53" t="str">
        <f t="shared" si="97"/>
        <v/>
      </c>
      <c r="AR427" s="53" t="str">
        <f>IF(AND($D427&lt;&gt;"",$D427=FicheIlot),COUNTIF($D$8:$D427,FicheIlot),"")</f>
        <v/>
      </c>
    </row>
    <row r="428" spans="2:44" ht="18.95" customHeight="1" x14ac:dyDescent="0.25">
      <c r="B428" s="42" t="str">
        <f>IF(C428="","",COUNT($C$8:C428))</f>
        <v/>
      </c>
      <c r="C428" s="43"/>
      <c r="D428" s="44"/>
      <c r="E428" s="45" t="str">
        <f>IF($Z428="","",IF($F428=ApportCouvert,INDEX(Îlots!$I$8:$I$57,$Z428)&amp;"",INDEX(Îlots!$N$8:$N$57,$Z428)&amp;""))</f>
        <v/>
      </c>
      <c r="F428" s="44"/>
      <c r="G428" s="44"/>
      <c r="H428" s="46" t="str">
        <f>IF($AA428="","",INDEX(Fertilisants!$D$8:$D$47,$AA428)&amp;"")</f>
        <v/>
      </c>
      <c r="I428" s="47"/>
      <c r="J428" s="48"/>
      <c r="K428" s="46" t="str">
        <f>IF($AA428="","",INDEX(Fertilisants!$E$8:$E$47,$AA428)&amp;"")</f>
        <v/>
      </c>
      <c r="L428" s="49" t="str">
        <f t="shared" si="84"/>
        <v/>
      </c>
      <c r="M428" s="50" t="str">
        <f>IF(OR($J428="",$AA428=""),"",$J428*N(INDEX(Fertilisants!$G$8:$G$47,$AA428)))</f>
        <v/>
      </c>
      <c r="N428" s="50" t="str">
        <f>IF(OR($J428="",$AA428=""),"",$J428*N(INDEX(Fertilisants!$I$8:$I$47,$AA428)))</f>
        <v/>
      </c>
      <c r="O428" s="50" t="str">
        <f>IF(OR($J428="",$AA428=""),"",$J428*N(INDEX(Fertilisants!$J$8:$J$47,$AA428)))</f>
        <v/>
      </c>
      <c r="P428" s="50" t="str">
        <f>IF(OR($J428="",$AA428=""),"",$J428*N(INDEX(Fertilisants!$K$8:$K$47,$AA428)))</f>
        <v/>
      </c>
      <c r="Q428" s="50" t="str">
        <f t="shared" si="85"/>
        <v/>
      </c>
      <c r="R428" s="44"/>
      <c r="S428" s="44"/>
      <c r="T428" s="51"/>
      <c r="U428" s="44"/>
      <c r="V428" s="43"/>
      <c r="W428" s="52" t="str">
        <f t="shared" si="86"/>
        <v/>
      </c>
      <c r="X428" s="44"/>
      <c r="Z428" s="53" t="str">
        <f>IF($D428="","",IFERROR(MATCH($D428,Îlots!$D$8:$D$57,0),""))</f>
        <v/>
      </c>
      <c r="AA428" s="53" t="str">
        <f>IF($G428="","",IFERROR(MATCH($G428,Fertilisants!$B$8:$B$47,0),""))</f>
        <v/>
      </c>
      <c r="AB428" s="53" t="str">
        <f>IF($Z428="","",INDEX(Îlots!$E$8:$E$57,$Z428))</f>
        <v/>
      </c>
      <c r="AC428" s="53" t="str">
        <f>IF($Z428="","",INDEX(Îlots!$G$8:$G$57,$Z428)&amp;"")</f>
        <v/>
      </c>
      <c r="AD428" s="53" t="str">
        <f>IF($Z428="","",IF($F428=ApportCouvert,OccCouvert,INDEX(Îlots!$O$8:$O$57,$Z428)&amp;""))</f>
        <v/>
      </c>
      <c r="AE428" s="53" t="str">
        <f t="shared" si="87"/>
        <v/>
      </c>
      <c r="AF428" s="53" t="str">
        <f t="shared" si="88"/>
        <v/>
      </c>
      <c r="AG428" s="53" t="str">
        <f t="shared" si="89"/>
        <v/>
      </c>
      <c r="AH428" s="53">
        <f t="shared" si="90"/>
        <v>0</v>
      </c>
      <c r="AI428" s="53">
        <f t="shared" si="91"/>
        <v>0</v>
      </c>
      <c r="AJ428" s="53">
        <f t="shared" si="92"/>
        <v>0</v>
      </c>
      <c r="AK428" s="53">
        <f t="shared" si="93"/>
        <v>0</v>
      </c>
      <c r="AL428" s="53">
        <f t="shared" si="94"/>
        <v>0</v>
      </c>
      <c r="AM428" s="53">
        <f>IF($AA428="",0,IF(INDEX(Fertilisants!$C$8:$C$47,$AA428)="Effluent d'élevage",1,0))</f>
        <v>0</v>
      </c>
      <c r="AN428" s="53" t="str">
        <f>IF($AA428="","",IF(INDEX(Fertilisants!$C$8:$C$47,$AA428)="Engrais minéral","Minéral","Organique"))</f>
        <v/>
      </c>
      <c r="AO428" s="53" t="str">
        <f t="shared" si="95"/>
        <v/>
      </c>
      <c r="AP428" s="53" t="str">
        <f t="shared" si="96"/>
        <v/>
      </c>
      <c r="AQ428" s="53" t="str">
        <f t="shared" si="97"/>
        <v/>
      </c>
      <c r="AR428" s="53" t="str">
        <f>IF(AND($D428&lt;&gt;"",$D428=FicheIlot),COUNTIF($D$8:$D428,FicheIlot),"")</f>
        <v/>
      </c>
    </row>
    <row r="429" spans="2:44" ht="18.95" customHeight="1" x14ac:dyDescent="0.25">
      <c r="B429" s="42" t="str">
        <f>IF(C429="","",COUNT($C$8:C429))</f>
        <v/>
      </c>
      <c r="C429" s="43"/>
      <c r="D429" s="44"/>
      <c r="E429" s="45" t="str">
        <f>IF($Z429="","",IF($F429=ApportCouvert,INDEX(Îlots!$I$8:$I$57,$Z429)&amp;"",INDEX(Îlots!$N$8:$N$57,$Z429)&amp;""))</f>
        <v/>
      </c>
      <c r="F429" s="44"/>
      <c r="G429" s="44"/>
      <c r="H429" s="46" t="str">
        <f>IF($AA429="","",INDEX(Fertilisants!$D$8:$D$47,$AA429)&amp;"")</f>
        <v/>
      </c>
      <c r="I429" s="47"/>
      <c r="J429" s="48"/>
      <c r="K429" s="46" t="str">
        <f>IF($AA429="","",INDEX(Fertilisants!$E$8:$E$47,$AA429)&amp;"")</f>
        <v/>
      </c>
      <c r="L429" s="49" t="str">
        <f t="shared" si="84"/>
        <v/>
      </c>
      <c r="M429" s="50" t="str">
        <f>IF(OR($J429="",$AA429=""),"",$J429*N(INDEX(Fertilisants!$G$8:$G$47,$AA429)))</f>
        <v/>
      </c>
      <c r="N429" s="50" t="str">
        <f>IF(OR($J429="",$AA429=""),"",$J429*N(INDEX(Fertilisants!$I$8:$I$47,$AA429)))</f>
        <v/>
      </c>
      <c r="O429" s="50" t="str">
        <f>IF(OR($J429="",$AA429=""),"",$J429*N(INDEX(Fertilisants!$J$8:$J$47,$AA429)))</f>
        <v/>
      </c>
      <c r="P429" s="50" t="str">
        <f>IF(OR($J429="",$AA429=""),"",$J429*N(INDEX(Fertilisants!$K$8:$K$47,$AA429)))</f>
        <v/>
      </c>
      <c r="Q429" s="50" t="str">
        <f t="shared" si="85"/>
        <v/>
      </c>
      <c r="R429" s="44"/>
      <c r="S429" s="44"/>
      <c r="T429" s="51"/>
      <c r="U429" s="44"/>
      <c r="V429" s="43"/>
      <c r="W429" s="52" t="str">
        <f t="shared" si="86"/>
        <v/>
      </c>
      <c r="X429" s="44"/>
      <c r="Z429" s="53" t="str">
        <f>IF($D429="","",IFERROR(MATCH($D429,Îlots!$D$8:$D$57,0),""))</f>
        <v/>
      </c>
      <c r="AA429" s="53" t="str">
        <f>IF($G429="","",IFERROR(MATCH($G429,Fertilisants!$B$8:$B$47,0),""))</f>
        <v/>
      </c>
      <c r="AB429" s="53" t="str">
        <f>IF($Z429="","",INDEX(Îlots!$E$8:$E$57,$Z429))</f>
        <v/>
      </c>
      <c r="AC429" s="53" t="str">
        <f>IF($Z429="","",INDEX(Îlots!$G$8:$G$57,$Z429)&amp;"")</f>
        <v/>
      </c>
      <c r="AD429" s="53" t="str">
        <f>IF($Z429="","",IF($F429=ApportCouvert,OccCouvert,INDEX(Îlots!$O$8:$O$57,$Z429)&amp;""))</f>
        <v/>
      </c>
      <c r="AE429" s="53" t="str">
        <f t="shared" si="87"/>
        <v/>
      </c>
      <c r="AF429" s="53" t="str">
        <f t="shared" si="88"/>
        <v/>
      </c>
      <c r="AG429" s="53" t="str">
        <f t="shared" si="89"/>
        <v/>
      </c>
      <c r="AH429" s="53">
        <f t="shared" si="90"/>
        <v>0</v>
      </c>
      <c r="AI429" s="53">
        <f t="shared" si="91"/>
        <v>0</v>
      </c>
      <c r="AJ429" s="53">
        <f t="shared" si="92"/>
        <v>0</v>
      </c>
      <c r="AK429" s="53">
        <f t="shared" si="93"/>
        <v>0</v>
      </c>
      <c r="AL429" s="53">
        <f t="shared" si="94"/>
        <v>0</v>
      </c>
      <c r="AM429" s="53">
        <f>IF($AA429="",0,IF(INDEX(Fertilisants!$C$8:$C$47,$AA429)="Effluent d'élevage",1,0))</f>
        <v>0</v>
      </c>
      <c r="AN429" s="53" t="str">
        <f>IF($AA429="","",IF(INDEX(Fertilisants!$C$8:$C$47,$AA429)="Engrais minéral","Minéral","Organique"))</f>
        <v/>
      </c>
      <c r="AO429" s="53" t="str">
        <f t="shared" si="95"/>
        <v/>
      </c>
      <c r="AP429" s="53" t="str">
        <f t="shared" si="96"/>
        <v/>
      </c>
      <c r="AQ429" s="53" t="str">
        <f t="shared" si="97"/>
        <v/>
      </c>
      <c r="AR429" s="53" t="str">
        <f>IF(AND($D429&lt;&gt;"",$D429=FicheIlot),COUNTIF($D$8:$D429,FicheIlot),"")</f>
        <v/>
      </c>
    </row>
    <row r="430" spans="2:44" ht="18.95" customHeight="1" x14ac:dyDescent="0.25">
      <c r="B430" s="42" t="str">
        <f>IF(C430="","",COUNT($C$8:C430))</f>
        <v/>
      </c>
      <c r="C430" s="43"/>
      <c r="D430" s="44"/>
      <c r="E430" s="45" t="str">
        <f>IF($Z430="","",IF($F430=ApportCouvert,INDEX(Îlots!$I$8:$I$57,$Z430)&amp;"",INDEX(Îlots!$N$8:$N$57,$Z430)&amp;""))</f>
        <v/>
      </c>
      <c r="F430" s="44"/>
      <c r="G430" s="44"/>
      <c r="H430" s="46" t="str">
        <f>IF($AA430="","",INDEX(Fertilisants!$D$8:$D$47,$AA430)&amp;"")</f>
        <v/>
      </c>
      <c r="I430" s="47"/>
      <c r="J430" s="48"/>
      <c r="K430" s="46" t="str">
        <f>IF($AA430="","",INDEX(Fertilisants!$E$8:$E$47,$AA430)&amp;"")</f>
        <v/>
      </c>
      <c r="L430" s="49" t="str">
        <f t="shared" si="84"/>
        <v/>
      </c>
      <c r="M430" s="50" t="str">
        <f>IF(OR($J430="",$AA430=""),"",$J430*N(INDEX(Fertilisants!$G$8:$G$47,$AA430)))</f>
        <v/>
      </c>
      <c r="N430" s="50" t="str">
        <f>IF(OR($J430="",$AA430=""),"",$J430*N(INDEX(Fertilisants!$I$8:$I$47,$AA430)))</f>
        <v/>
      </c>
      <c r="O430" s="50" t="str">
        <f>IF(OR($J430="",$AA430=""),"",$J430*N(INDEX(Fertilisants!$J$8:$J$47,$AA430)))</f>
        <v/>
      </c>
      <c r="P430" s="50" t="str">
        <f>IF(OR($J430="",$AA430=""),"",$J430*N(INDEX(Fertilisants!$K$8:$K$47,$AA430)))</f>
        <v/>
      </c>
      <c r="Q430" s="50" t="str">
        <f t="shared" si="85"/>
        <v/>
      </c>
      <c r="R430" s="44"/>
      <c r="S430" s="44"/>
      <c r="T430" s="51"/>
      <c r="U430" s="44"/>
      <c r="V430" s="43"/>
      <c r="W430" s="52" t="str">
        <f t="shared" si="86"/>
        <v/>
      </c>
      <c r="X430" s="44"/>
      <c r="Z430" s="53" t="str">
        <f>IF($D430="","",IFERROR(MATCH($D430,Îlots!$D$8:$D$57,0),""))</f>
        <v/>
      </c>
      <c r="AA430" s="53" t="str">
        <f>IF($G430="","",IFERROR(MATCH($G430,Fertilisants!$B$8:$B$47,0),""))</f>
        <v/>
      </c>
      <c r="AB430" s="53" t="str">
        <f>IF($Z430="","",INDEX(Îlots!$E$8:$E$57,$Z430))</f>
        <v/>
      </c>
      <c r="AC430" s="53" t="str">
        <f>IF($Z430="","",INDEX(Îlots!$G$8:$G$57,$Z430)&amp;"")</f>
        <v/>
      </c>
      <c r="AD430" s="53" t="str">
        <f>IF($Z430="","",IF($F430=ApportCouvert,OccCouvert,INDEX(Îlots!$O$8:$O$57,$Z430)&amp;""))</f>
        <v/>
      </c>
      <c r="AE430" s="53" t="str">
        <f t="shared" si="87"/>
        <v/>
      </c>
      <c r="AF430" s="53" t="str">
        <f t="shared" si="88"/>
        <v/>
      </c>
      <c r="AG430" s="53" t="str">
        <f t="shared" si="89"/>
        <v/>
      </c>
      <c r="AH430" s="53">
        <f t="shared" si="90"/>
        <v>0</v>
      </c>
      <c r="AI430" s="53">
        <f t="shared" si="91"/>
        <v>0</v>
      </c>
      <c r="AJ430" s="53">
        <f t="shared" si="92"/>
        <v>0</v>
      </c>
      <c r="AK430" s="53">
        <f t="shared" si="93"/>
        <v>0</v>
      </c>
      <c r="AL430" s="53">
        <f t="shared" si="94"/>
        <v>0</v>
      </c>
      <c r="AM430" s="53">
        <f>IF($AA430="",0,IF(INDEX(Fertilisants!$C$8:$C$47,$AA430)="Effluent d'élevage",1,0))</f>
        <v>0</v>
      </c>
      <c r="AN430" s="53" t="str">
        <f>IF($AA430="","",IF(INDEX(Fertilisants!$C$8:$C$47,$AA430)="Engrais minéral","Minéral","Organique"))</f>
        <v/>
      </c>
      <c r="AO430" s="53" t="str">
        <f t="shared" si="95"/>
        <v/>
      </c>
      <c r="AP430" s="53" t="str">
        <f t="shared" si="96"/>
        <v/>
      </c>
      <c r="AQ430" s="53" t="str">
        <f t="shared" si="97"/>
        <v/>
      </c>
      <c r="AR430" s="53" t="str">
        <f>IF(AND($D430&lt;&gt;"",$D430=FicheIlot),COUNTIF($D$8:$D430,FicheIlot),"")</f>
        <v/>
      </c>
    </row>
    <row r="431" spans="2:44" ht="18.95" customHeight="1" x14ac:dyDescent="0.25">
      <c r="B431" s="42" t="str">
        <f>IF(C431="","",COUNT($C$8:C431))</f>
        <v/>
      </c>
      <c r="C431" s="43"/>
      <c r="D431" s="44"/>
      <c r="E431" s="45" t="str">
        <f>IF($Z431="","",IF($F431=ApportCouvert,INDEX(Îlots!$I$8:$I$57,$Z431)&amp;"",INDEX(Îlots!$N$8:$N$57,$Z431)&amp;""))</f>
        <v/>
      </c>
      <c r="F431" s="44"/>
      <c r="G431" s="44"/>
      <c r="H431" s="46" t="str">
        <f>IF($AA431="","",INDEX(Fertilisants!$D$8:$D$47,$AA431)&amp;"")</f>
        <v/>
      </c>
      <c r="I431" s="47"/>
      <c r="J431" s="48"/>
      <c r="K431" s="46" t="str">
        <f>IF($AA431="","",INDEX(Fertilisants!$E$8:$E$47,$AA431)&amp;"")</f>
        <v/>
      </c>
      <c r="L431" s="49" t="str">
        <f t="shared" si="84"/>
        <v/>
      </c>
      <c r="M431" s="50" t="str">
        <f>IF(OR($J431="",$AA431=""),"",$J431*N(INDEX(Fertilisants!$G$8:$G$47,$AA431)))</f>
        <v/>
      </c>
      <c r="N431" s="50" t="str">
        <f>IF(OR($J431="",$AA431=""),"",$J431*N(INDEX(Fertilisants!$I$8:$I$47,$AA431)))</f>
        <v/>
      </c>
      <c r="O431" s="50" t="str">
        <f>IF(OR($J431="",$AA431=""),"",$J431*N(INDEX(Fertilisants!$J$8:$J$47,$AA431)))</f>
        <v/>
      </c>
      <c r="P431" s="50" t="str">
        <f>IF(OR($J431="",$AA431=""),"",$J431*N(INDEX(Fertilisants!$K$8:$K$47,$AA431)))</f>
        <v/>
      </c>
      <c r="Q431" s="50" t="str">
        <f t="shared" si="85"/>
        <v/>
      </c>
      <c r="R431" s="44"/>
      <c r="S431" s="44"/>
      <c r="T431" s="51"/>
      <c r="U431" s="44"/>
      <c r="V431" s="43"/>
      <c r="W431" s="52" t="str">
        <f t="shared" si="86"/>
        <v/>
      </c>
      <c r="X431" s="44"/>
      <c r="Z431" s="53" t="str">
        <f>IF($D431="","",IFERROR(MATCH($D431,Îlots!$D$8:$D$57,0),""))</f>
        <v/>
      </c>
      <c r="AA431" s="53" t="str">
        <f>IF($G431="","",IFERROR(MATCH($G431,Fertilisants!$B$8:$B$47,0),""))</f>
        <v/>
      </c>
      <c r="AB431" s="53" t="str">
        <f>IF($Z431="","",INDEX(Îlots!$E$8:$E$57,$Z431))</f>
        <v/>
      </c>
      <c r="AC431" s="53" t="str">
        <f>IF($Z431="","",INDEX(Îlots!$G$8:$G$57,$Z431)&amp;"")</f>
        <v/>
      </c>
      <c r="AD431" s="53" t="str">
        <f>IF($Z431="","",IF($F431=ApportCouvert,OccCouvert,INDEX(Îlots!$O$8:$O$57,$Z431)&amp;""))</f>
        <v/>
      </c>
      <c r="AE431" s="53" t="str">
        <f t="shared" si="87"/>
        <v/>
      </c>
      <c r="AF431" s="53" t="str">
        <f t="shared" si="88"/>
        <v/>
      </c>
      <c r="AG431" s="53" t="str">
        <f t="shared" si="89"/>
        <v/>
      </c>
      <c r="AH431" s="53">
        <f t="shared" si="90"/>
        <v>0</v>
      </c>
      <c r="AI431" s="53">
        <f t="shared" si="91"/>
        <v>0</v>
      </c>
      <c r="AJ431" s="53">
        <f t="shared" si="92"/>
        <v>0</v>
      </c>
      <c r="AK431" s="53">
        <f t="shared" si="93"/>
        <v>0</v>
      </c>
      <c r="AL431" s="53">
        <f t="shared" si="94"/>
        <v>0</v>
      </c>
      <c r="AM431" s="53">
        <f>IF($AA431="",0,IF(INDEX(Fertilisants!$C$8:$C$47,$AA431)="Effluent d'élevage",1,0))</f>
        <v>0</v>
      </c>
      <c r="AN431" s="53" t="str">
        <f>IF($AA431="","",IF(INDEX(Fertilisants!$C$8:$C$47,$AA431)="Engrais minéral","Minéral","Organique"))</f>
        <v/>
      </c>
      <c r="AO431" s="53" t="str">
        <f t="shared" si="95"/>
        <v/>
      </c>
      <c r="AP431" s="53" t="str">
        <f t="shared" si="96"/>
        <v/>
      </c>
      <c r="AQ431" s="53" t="str">
        <f t="shared" si="97"/>
        <v/>
      </c>
      <c r="AR431" s="53" t="str">
        <f>IF(AND($D431&lt;&gt;"",$D431=FicheIlot),COUNTIF($D$8:$D431,FicheIlot),"")</f>
        <v/>
      </c>
    </row>
    <row r="432" spans="2:44" ht="18.95" customHeight="1" x14ac:dyDescent="0.25">
      <c r="B432" s="42" t="str">
        <f>IF(C432="","",COUNT($C$8:C432))</f>
        <v/>
      </c>
      <c r="C432" s="43"/>
      <c r="D432" s="44"/>
      <c r="E432" s="45" t="str">
        <f>IF($Z432="","",IF($F432=ApportCouvert,INDEX(Îlots!$I$8:$I$57,$Z432)&amp;"",INDEX(Îlots!$N$8:$N$57,$Z432)&amp;""))</f>
        <v/>
      </c>
      <c r="F432" s="44"/>
      <c r="G432" s="44"/>
      <c r="H432" s="46" t="str">
        <f>IF($AA432="","",INDEX(Fertilisants!$D$8:$D$47,$AA432)&amp;"")</f>
        <v/>
      </c>
      <c r="I432" s="47"/>
      <c r="J432" s="48"/>
      <c r="K432" s="46" t="str">
        <f>IF($AA432="","",INDEX(Fertilisants!$E$8:$E$47,$AA432)&amp;"")</f>
        <v/>
      </c>
      <c r="L432" s="49" t="str">
        <f t="shared" si="84"/>
        <v/>
      </c>
      <c r="M432" s="50" t="str">
        <f>IF(OR($J432="",$AA432=""),"",$J432*N(INDEX(Fertilisants!$G$8:$G$47,$AA432)))</f>
        <v/>
      </c>
      <c r="N432" s="50" t="str">
        <f>IF(OR($J432="",$AA432=""),"",$J432*N(INDEX(Fertilisants!$I$8:$I$47,$AA432)))</f>
        <v/>
      </c>
      <c r="O432" s="50" t="str">
        <f>IF(OR($J432="",$AA432=""),"",$J432*N(INDEX(Fertilisants!$J$8:$J$47,$AA432)))</f>
        <v/>
      </c>
      <c r="P432" s="50" t="str">
        <f>IF(OR($J432="",$AA432=""),"",$J432*N(INDEX(Fertilisants!$K$8:$K$47,$AA432)))</f>
        <v/>
      </c>
      <c r="Q432" s="50" t="str">
        <f t="shared" si="85"/>
        <v/>
      </c>
      <c r="R432" s="44"/>
      <c r="S432" s="44"/>
      <c r="T432" s="51"/>
      <c r="U432" s="44"/>
      <c r="V432" s="43"/>
      <c r="W432" s="52" t="str">
        <f t="shared" si="86"/>
        <v/>
      </c>
      <c r="X432" s="44"/>
      <c r="Z432" s="53" t="str">
        <f>IF($D432="","",IFERROR(MATCH($D432,Îlots!$D$8:$D$57,0),""))</f>
        <v/>
      </c>
      <c r="AA432" s="53" t="str">
        <f>IF($G432="","",IFERROR(MATCH($G432,Fertilisants!$B$8:$B$47,0),""))</f>
        <v/>
      </c>
      <c r="AB432" s="53" t="str">
        <f>IF($Z432="","",INDEX(Îlots!$E$8:$E$57,$Z432))</f>
        <v/>
      </c>
      <c r="AC432" s="53" t="str">
        <f>IF($Z432="","",INDEX(Îlots!$G$8:$G$57,$Z432)&amp;"")</f>
        <v/>
      </c>
      <c r="AD432" s="53" t="str">
        <f>IF($Z432="","",IF($F432=ApportCouvert,OccCouvert,INDEX(Îlots!$O$8:$O$57,$Z432)&amp;""))</f>
        <v/>
      </c>
      <c r="AE432" s="53" t="str">
        <f t="shared" si="87"/>
        <v/>
      </c>
      <c r="AF432" s="53" t="str">
        <f t="shared" si="88"/>
        <v/>
      </c>
      <c r="AG432" s="53" t="str">
        <f t="shared" si="89"/>
        <v/>
      </c>
      <c r="AH432" s="53">
        <f t="shared" si="90"/>
        <v>0</v>
      </c>
      <c r="AI432" s="53">
        <f t="shared" si="91"/>
        <v>0</v>
      </c>
      <c r="AJ432" s="53">
        <f t="shared" si="92"/>
        <v>0</v>
      </c>
      <c r="AK432" s="53">
        <f t="shared" si="93"/>
        <v>0</v>
      </c>
      <c r="AL432" s="53">
        <f t="shared" si="94"/>
        <v>0</v>
      </c>
      <c r="AM432" s="53">
        <f>IF($AA432="",0,IF(INDEX(Fertilisants!$C$8:$C$47,$AA432)="Effluent d'élevage",1,0))</f>
        <v>0</v>
      </c>
      <c r="AN432" s="53" t="str">
        <f>IF($AA432="","",IF(INDEX(Fertilisants!$C$8:$C$47,$AA432)="Engrais minéral","Minéral","Organique"))</f>
        <v/>
      </c>
      <c r="AO432" s="53" t="str">
        <f t="shared" si="95"/>
        <v/>
      </c>
      <c r="AP432" s="53" t="str">
        <f t="shared" si="96"/>
        <v/>
      </c>
      <c r="AQ432" s="53" t="str">
        <f t="shared" si="97"/>
        <v/>
      </c>
      <c r="AR432" s="53" t="str">
        <f>IF(AND($D432&lt;&gt;"",$D432=FicheIlot),COUNTIF($D$8:$D432,FicheIlot),"")</f>
        <v/>
      </c>
    </row>
    <row r="433" spans="2:44" ht="18.95" customHeight="1" x14ac:dyDescent="0.25">
      <c r="B433" s="42" t="str">
        <f>IF(C433="","",COUNT($C$8:C433))</f>
        <v/>
      </c>
      <c r="C433" s="43"/>
      <c r="D433" s="44"/>
      <c r="E433" s="45" t="str">
        <f>IF($Z433="","",IF($F433=ApportCouvert,INDEX(Îlots!$I$8:$I$57,$Z433)&amp;"",INDEX(Îlots!$N$8:$N$57,$Z433)&amp;""))</f>
        <v/>
      </c>
      <c r="F433" s="44"/>
      <c r="G433" s="44"/>
      <c r="H433" s="46" t="str">
        <f>IF($AA433="","",INDEX(Fertilisants!$D$8:$D$47,$AA433)&amp;"")</f>
        <v/>
      </c>
      <c r="I433" s="47"/>
      <c r="J433" s="48"/>
      <c r="K433" s="46" t="str">
        <f>IF($AA433="","",INDEX(Fertilisants!$E$8:$E$47,$AA433)&amp;"")</f>
        <v/>
      </c>
      <c r="L433" s="49" t="str">
        <f t="shared" si="84"/>
        <v/>
      </c>
      <c r="M433" s="50" t="str">
        <f>IF(OR($J433="",$AA433=""),"",$J433*N(INDEX(Fertilisants!$G$8:$G$47,$AA433)))</f>
        <v/>
      </c>
      <c r="N433" s="50" t="str">
        <f>IF(OR($J433="",$AA433=""),"",$J433*N(INDEX(Fertilisants!$I$8:$I$47,$AA433)))</f>
        <v/>
      </c>
      <c r="O433" s="50" t="str">
        <f>IF(OR($J433="",$AA433=""),"",$J433*N(INDEX(Fertilisants!$J$8:$J$47,$AA433)))</f>
        <v/>
      </c>
      <c r="P433" s="50" t="str">
        <f>IF(OR($J433="",$AA433=""),"",$J433*N(INDEX(Fertilisants!$K$8:$K$47,$AA433)))</f>
        <v/>
      </c>
      <c r="Q433" s="50" t="str">
        <f t="shared" si="85"/>
        <v/>
      </c>
      <c r="R433" s="44"/>
      <c r="S433" s="44"/>
      <c r="T433" s="51"/>
      <c r="U433" s="44"/>
      <c r="V433" s="43"/>
      <c r="W433" s="52" t="str">
        <f t="shared" si="86"/>
        <v/>
      </c>
      <c r="X433" s="44"/>
      <c r="Z433" s="53" t="str">
        <f>IF($D433="","",IFERROR(MATCH($D433,Îlots!$D$8:$D$57,0),""))</f>
        <v/>
      </c>
      <c r="AA433" s="53" t="str">
        <f>IF($G433="","",IFERROR(MATCH($G433,Fertilisants!$B$8:$B$47,0),""))</f>
        <v/>
      </c>
      <c r="AB433" s="53" t="str">
        <f>IF($Z433="","",INDEX(Îlots!$E$8:$E$57,$Z433))</f>
        <v/>
      </c>
      <c r="AC433" s="53" t="str">
        <f>IF($Z433="","",INDEX(Îlots!$G$8:$G$57,$Z433)&amp;"")</f>
        <v/>
      </c>
      <c r="AD433" s="53" t="str">
        <f>IF($Z433="","",IF($F433=ApportCouvert,OccCouvert,INDEX(Îlots!$O$8:$O$57,$Z433)&amp;""))</f>
        <v/>
      </c>
      <c r="AE433" s="53" t="str">
        <f t="shared" si="87"/>
        <v/>
      </c>
      <c r="AF433" s="53" t="str">
        <f t="shared" si="88"/>
        <v/>
      </c>
      <c r="AG433" s="53" t="str">
        <f t="shared" si="89"/>
        <v/>
      </c>
      <c r="AH433" s="53">
        <f t="shared" si="90"/>
        <v>0</v>
      </c>
      <c r="AI433" s="53">
        <f t="shared" si="91"/>
        <v>0</v>
      </c>
      <c r="AJ433" s="53">
        <f t="shared" si="92"/>
        <v>0</v>
      </c>
      <c r="AK433" s="53">
        <f t="shared" si="93"/>
        <v>0</v>
      </c>
      <c r="AL433" s="53">
        <f t="shared" si="94"/>
        <v>0</v>
      </c>
      <c r="AM433" s="53">
        <f>IF($AA433="",0,IF(INDEX(Fertilisants!$C$8:$C$47,$AA433)="Effluent d'élevage",1,0))</f>
        <v>0</v>
      </c>
      <c r="AN433" s="53" t="str">
        <f>IF($AA433="","",IF(INDEX(Fertilisants!$C$8:$C$47,$AA433)="Engrais minéral","Minéral","Organique"))</f>
        <v/>
      </c>
      <c r="AO433" s="53" t="str">
        <f t="shared" si="95"/>
        <v/>
      </c>
      <c r="AP433" s="53" t="str">
        <f t="shared" si="96"/>
        <v/>
      </c>
      <c r="AQ433" s="53" t="str">
        <f t="shared" si="97"/>
        <v/>
      </c>
      <c r="AR433" s="53" t="str">
        <f>IF(AND($D433&lt;&gt;"",$D433=FicheIlot),COUNTIF($D$8:$D433,FicheIlot),"")</f>
        <v/>
      </c>
    </row>
    <row r="434" spans="2:44" ht="18.95" customHeight="1" x14ac:dyDescent="0.25">
      <c r="B434" s="42" t="str">
        <f>IF(C434="","",COUNT($C$8:C434))</f>
        <v/>
      </c>
      <c r="C434" s="43"/>
      <c r="D434" s="44"/>
      <c r="E434" s="45" t="str">
        <f>IF($Z434="","",IF($F434=ApportCouvert,INDEX(Îlots!$I$8:$I$57,$Z434)&amp;"",INDEX(Îlots!$N$8:$N$57,$Z434)&amp;""))</f>
        <v/>
      </c>
      <c r="F434" s="44"/>
      <c r="G434" s="44"/>
      <c r="H434" s="46" t="str">
        <f>IF($AA434="","",INDEX(Fertilisants!$D$8:$D$47,$AA434)&amp;"")</f>
        <v/>
      </c>
      <c r="I434" s="47"/>
      <c r="J434" s="48"/>
      <c r="K434" s="46" t="str">
        <f>IF($AA434="","",INDEX(Fertilisants!$E$8:$E$47,$AA434)&amp;"")</f>
        <v/>
      </c>
      <c r="L434" s="49" t="str">
        <f t="shared" si="84"/>
        <v/>
      </c>
      <c r="M434" s="50" t="str">
        <f>IF(OR($J434="",$AA434=""),"",$J434*N(INDEX(Fertilisants!$G$8:$G$47,$AA434)))</f>
        <v/>
      </c>
      <c r="N434" s="50" t="str">
        <f>IF(OR($J434="",$AA434=""),"",$J434*N(INDEX(Fertilisants!$I$8:$I$47,$AA434)))</f>
        <v/>
      </c>
      <c r="O434" s="50" t="str">
        <f>IF(OR($J434="",$AA434=""),"",$J434*N(INDEX(Fertilisants!$J$8:$J$47,$AA434)))</f>
        <v/>
      </c>
      <c r="P434" s="50" t="str">
        <f>IF(OR($J434="",$AA434=""),"",$J434*N(INDEX(Fertilisants!$K$8:$K$47,$AA434)))</f>
        <v/>
      </c>
      <c r="Q434" s="50" t="str">
        <f t="shared" si="85"/>
        <v/>
      </c>
      <c r="R434" s="44"/>
      <c r="S434" s="44"/>
      <c r="T434" s="51"/>
      <c r="U434" s="44"/>
      <c r="V434" s="43"/>
      <c r="W434" s="52" t="str">
        <f t="shared" si="86"/>
        <v/>
      </c>
      <c r="X434" s="44"/>
      <c r="Z434" s="53" t="str">
        <f>IF($D434="","",IFERROR(MATCH($D434,Îlots!$D$8:$D$57,0),""))</f>
        <v/>
      </c>
      <c r="AA434" s="53" t="str">
        <f>IF($G434="","",IFERROR(MATCH($G434,Fertilisants!$B$8:$B$47,0),""))</f>
        <v/>
      </c>
      <c r="AB434" s="53" t="str">
        <f>IF($Z434="","",INDEX(Îlots!$E$8:$E$57,$Z434))</f>
        <v/>
      </c>
      <c r="AC434" s="53" t="str">
        <f>IF($Z434="","",INDEX(Îlots!$G$8:$G$57,$Z434)&amp;"")</f>
        <v/>
      </c>
      <c r="AD434" s="53" t="str">
        <f>IF($Z434="","",IF($F434=ApportCouvert,OccCouvert,INDEX(Îlots!$O$8:$O$57,$Z434)&amp;""))</f>
        <v/>
      </c>
      <c r="AE434" s="53" t="str">
        <f t="shared" si="87"/>
        <v/>
      </c>
      <c r="AF434" s="53" t="str">
        <f t="shared" si="88"/>
        <v/>
      </c>
      <c r="AG434" s="53" t="str">
        <f t="shared" si="89"/>
        <v/>
      </c>
      <c r="AH434" s="53">
        <f t="shared" si="90"/>
        <v>0</v>
      </c>
      <c r="AI434" s="53">
        <f t="shared" si="91"/>
        <v>0</v>
      </c>
      <c r="AJ434" s="53">
        <f t="shared" si="92"/>
        <v>0</v>
      </c>
      <c r="AK434" s="53">
        <f t="shared" si="93"/>
        <v>0</v>
      </c>
      <c r="AL434" s="53">
        <f t="shared" si="94"/>
        <v>0</v>
      </c>
      <c r="AM434" s="53">
        <f>IF($AA434="",0,IF(INDEX(Fertilisants!$C$8:$C$47,$AA434)="Effluent d'élevage",1,0))</f>
        <v>0</v>
      </c>
      <c r="AN434" s="53" t="str">
        <f>IF($AA434="","",IF(INDEX(Fertilisants!$C$8:$C$47,$AA434)="Engrais minéral","Minéral","Organique"))</f>
        <v/>
      </c>
      <c r="AO434" s="53" t="str">
        <f t="shared" si="95"/>
        <v/>
      </c>
      <c r="AP434" s="53" t="str">
        <f t="shared" si="96"/>
        <v/>
      </c>
      <c r="AQ434" s="53" t="str">
        <f t="shared" si="97"/>
        <v/>
      </c>
      <c r="AR434" s="53" t="str">
        <f>IF(AND($D434&lt;&gt;"",$D434=FicheIlot),COUNTIF($D$8:$D434,FicheIlot),"")</f>
        <v/>
      </c>
    </row>
    <row r="435" spans="2:44" ht="18.95" customHeight="1" x14ac:dyDescent="0.25">
      <c r="B435" s="42" t="str">
        <f>IF(C435="","",COUNT($C$8:C435))</f>
        <v/>
      </c>
      <c r="C435" s="43"/>
      <c r="D435" s="44"/>
      <c r="E435" s="45" t="str">
        <f>IF($Z435="","",IF($F435=ApportCouvert,INDEX(Îlots!$I$8:$I$57,$Z435)&amp;"",INDEX(Îlots!$N$8:$N$57,$Z435)&amp;""))</f>
        <v/>
      </c>
      <c r="F435" s="44"/>
      <c r="G435" s="44"/>
      <c r="H435" s="46" t="str">
        <f>IF($AA435="","",INDEX(Fertilisants!$D$8:$D$47,$AA435)&amp;"")</f>
        <v/>
      </c>
      <c r="I435" s="47"/>
      <c r="J435" s="48"/>
      <c r="K435" s="46" t="str">
        <f>IF($AA435="","",INDEX(Fertilisants!$E$8:$E$47,$AA435)&amp;"")</f>
        <v/>
      </c>
      <c r="L435" s="49" t="str">
        <f t="shared" si="84"/>
        <v/>
      </c>
      <c r="M435" s="50" t="str">
        <f>IF(OR($J435="",$AA435=""),"",$J435*N(INDEX(Fertilisants!$G$8:$G$47,$AA435)))</f>
        <v/>
      </c>
      <c r="N435" s="50" t="str">
        <f>IF(OR($J435="",$AA435=""),"",$J435*N(INDEX(Fertilisants!$I$8:$I$47,$AA435)))</f>
        <v/>
      </c>
      <c r="O435" s="50" t="str">
        <f>IF(OR($J435="",$AA435=""),"",$J435*N(INDEX(Fertilisants!$J$8:$J$47,$AA435)))</f>
        <v/>
      </c>
      <c r="P435" s="50" t="str">
        <f>IF(OR($J435="",$AA435=""),"",$J435*N(INDEX(Fertilisants!$K$8:$K$47,$AA435)))</f>
        <v/>
      </c>
      <c r="Q435" s="50" t="str">
        <f t="shared" si="85"/>
        <v/>
      </c>
      <c r="R435" s="44"/>
      <c r="S435" s="44"/>
      <c r="T435" s="51"/>
      <c r="U435" s="44"/>
      <c r="V435" s="43"/>
      <c r="W435" s="52" t="str">
        <f t="shared" si="86"/>
        <v/>
      </c>
      <c r="X435" s="44"/>
      <c r="Z435" s="53" t="str">
        <f>IF($D435="","",IFERROR(MATCH($D435,Îlots!$D$8:$D$57,0),""))</f>
        <v/>
      </c>
      <c r="AA435" s="53" t="str">
        <f>IF($G435="","",IFERROR(MATCH($G435,Fertilisants!$B$8:$B$47,0),""))</f>
        <v/>
      </c>
      <c r="AB435" s="53" t="str">
        <f>IF($Z435="","",INDEX(Îlots!$E$8:$E$57,$Z435))</f>
        <v/>
      </c>
      <c r="AC435" s="53" t="str">
        <f>IF($Z435="","",INDEX(Îlots!$G$8:$G$57,$Z435)&amp;"")</f>
        <v/>
      </c>
      <c r="AD435" s="53" t="str">
        <f>IF($Z435="","",IF($F435=ApportCouvert,OccCouvert,INDEX(Îlots!$O$8:$O$57,$Z435)&amp;""))</f>
        <v/>
      </c>
      <c r="AE435" s="53" t="str">
        <f t="shared" si="87"/>
        <v/>
      </c>
      <c r="AF435" s="53" t="str">
        <f t="shared" si="88"/>
        <v/>
      </c>
      <c r="AG435" s="53" t="str">
        <f t="shared" si="89"/>
        <v/>
      </c>
      <c r="AH435" s="53">
        <f t="shared" si="90"/>
        <v>0</v>
      </c>
      <c r="AI435" s="53">
        <f t="shared" si="91"/>
        <v>0</v>
      </c>
      <c r="AJ435" s="53">
        <f t="shared" si="92"/>
        <v>0</v>
      </c>
      <c r="AK435" s="53">
        <f t="shared" si="93"/>
        <v>0</v>
      </c>
      <c r="AL435" s="53">
        <f t="shared" si="94"/>
        <v>0</v>
      </c>
      <c r="AM435" s="53">
        <f>IF($AA435="",0,IF(INDEX(Fertilisants!$C$8:$C$47,$AA435)="Effluent d'élevage",1,0))</f>
        <v>0</v>
      </c>
      <c r="AN435" s="53" t="str">
        <f>IF($AA435="","",IF(INDEX(Fertilisants!$C$8:$C$47,$AA435)="Engrais minéral","Minéral","Organique"))</f>
        <v/>
      </c>
      <c r="AO435" s="53" t="str">
        <f t="shared" si="95"/>
        <v/>
      </c>
      <c r="AP435" s="53" t="str">
        <f t="shared" si="96"/>
        <v/>
      </c>
      <c r="AQ435" s="53" t="str">
        <f t="shared" si="97"/>
        <v/>
      </c>
      <c r="AR435" s="53" t="str">
        <f>IF(AND($D435&lt;&gt;"",$D435=FicheIlot),COUNTIF($D$8:$D435,FicheIlot),"")</f>
        <v/>
      </c>
    </row>
    <row r="436" spans="2:44" ht="18.95" customHeight="1" x14ac:dyDescent="0.25">
      <c r="B436" s="42" t="str">
        <f>IF(C436="","",COUNT($C$8:C436))</f>
        <v/>
      </c>
      <c r="C436" s="43"/>
      <c r="D436" s="44"/>
      <c r="E436" s="45" t="str">
        <f>IF($Z436="","",IF($F436=ApportCouvert,INDEX(Îlots!$I$8:$I$57,$Z436)&amp;"",INDEX(Îlots!$N$8:$N$57,$Z436)&amp;""))</f>
        <v/>
      </c>
      <c r="F436" s="44"/>
      <c r="G436" s="44"/>
      <c r="H436" s="46" t="str">
        <f>IF($AA436="","",INDEX(Fertilisants!$D$8:$D$47,$AA436)&amp;"")</f>
        <v/>
      </c>
      <c r="I436" s="47"/>
      <c r="J436" s="48"/>
      <c r="K436" s="46" t="str">
        <f>IF($AA436="","",INDEX(Fertilisants!$E$8:$E$47,$AA436)&amp;"")</f>
        <v/>
      </c>
      <c r="L436" s="49" t="str">
        <f t="shared" si="84"/>
        <v/>
      </c>
      <c r="M436" s="50" t="str">
        <f>IF(OR($J436="",$AA436=""),"",$J436*N(INDEX(Fertilisants!$G$8:$G$47,$AA436)))</f>
        <v/>
      </c>
      <c r="N436" s="50" t="str">
        <f>IF(OR($J436="",$AA436=""),"",$J436*N(INDEX(Fertilisants!$I$8:$I$47,$AA436)))</f>
        <v/>
      </c>
      <c r="O436" s="50" t="str">
        <f>IF(OR($J436="",$AA436=""),"",$J436*N(INDEX(Fertilisants!$J$8:$J$47,$AA436)))</f>
        <v/>
      </c>
      <c r="P436" s="50" t="str">
        <f>IF(OR($J436="",$AA436=""),"",$J436*N(INDEX(Fertilisants!$K$8:$K$47,$AA436)))</f>
        <v/>
      </c>
      <c r="Q436" s="50" t="str">
        <f t="shared" si="85"/>
        <v/>
      </c>
      <c r="R436" s="44"/>
      <c r="S436" s="44"/>
      <c r="T436" s="51"/>
      <c r="U436" s="44"/>
      <c r="V436" s="43"/>
      <c r="W436" s="52" t="str">
        <f t="shared" si="86"/>
        <v/>
      </c>
      <c r="X436" s="44"/>
      <c r="Z436" s="53" t="str">
        <f>IF($D436="","",IFERROR(MATCH($D436,Îlots!$D$8:$D$57,0),""))</f>
        <v/>
      </c>
      <c r="AA436" s="53" t="str">
        <f>IF($G436="","",IFERROR(MATCH($G436,Fertilisants!$B$8:$B$47,0),""))</f>
        <v/>
      </c>
      <c r="AB436" s="53" t="str">
        <f>IF($Z436="","",INDEX(Îlots!$E$8:$E$57,$Z436))</f>
        <v/>
      </c>
      <c r="AC436" s="53" t="str">
        <f>IF($Z436="","",INDEX(Îlots!$G$8:$G$57,$Z436)&amp;"")</f>
        <v/>
      </c>
      <c r="AD436" s="53" t="str">
        <f>IF($Z436="","",IF($F436=ApportCouvert,OccCouvert,INDEX(Îlots!$O$8:$O$57,$Z436)&amp;""))</f>
        <v/>
      </c>
      <c r="AE436" s="53" t="str">
        <f t="shared" si="87"/>
        <v/>
      </c>
      <c r="AF436" s="53" t="str">
        <f t="shared" si="88"/>
        <v/>
      </c>
      <c r="AG436" s="53" t="str">
        <f t="shared" si="89"/>
        <v/>
      </c>
      <c r="AH436" s="53">
        <f t="shared" si="90"/>
        <v>0</v>
      </c>
      <c r="AI436" s="53">
        <f t="shared" si="91"/>
        <v>0</v>
      </c>
      <c r="AJ436" s="53">
        <f t="shared" si="92"/>
        <v>0</v>
      </c>
      <c r="AK436" s="53">
        <f t="shared" si="93"/>
        <v>0</v>
      </c>
      <c r="AL436" s="53">
        <f t="shared" si="94"/>
        <v>0</v>
      </c>
      <c r="AM436" s="53">
        <f>IF($AA436="",0,IF(INDEX(Fertilisants!$C$8:$C$47,$AA436)="Effluent d'élevage",1,0))</f>
        <v>0</v>
      </c>
      <c r="AN436" s="53" t="str">
        <f>IF($AA436="","",IF(INDEX(Fertilisants!$C$8:$C$47,$AA436)="Engrais minéral","Minéral","Organique"))</f>
        <v/>
      </c>
      <c r="AO436" s="53" t="str">
        <f t="shared" si="95"/>
        <v/>
      </c>
      <c r="AP436" s="53" t="str">
        <f t="shared" si="96"/>
        <v/>
      </c>
      <c r="AQ436" s="53" t="str">
        <f t="shared" si="97"/>
        <v/>
      </c>
      <c r="AR436" s="53" t="str">
        <f>IF(AND($D436&lt;&gt;"",$D436=FicheIlot),COUNTIF($D$8:$D436,FicheIlot),"")</f>
        <v/>
      </c>
    </row>
    <row r="437" spans="2:44" ht="18.95" customHeight="1" x14ac:dyDescent="0.25">
      <c r="B437" s="42" t="str">
        <f>IF(C437="","",COUNT($C$8:C437))</f>
        <v/>
      </c>
      <c r="C437" s="43"/>
      <c r="D437" s="44"/>
      <c r="E437" s="45" t="str">
        <f>IF($Z437="","",IF($F437=ApportCouvert,INDEX(Îlots!$I$8:$I$57,$Z437)&amp;"",INDEX(Îlots!$N$8:$N$57,$Z437)&amp;""))</f>
        <v/>
      </c>
      <c r="F437" s="44"/>
      <c r="G437" s="44"/>
      <c r="H437" s="46" t="str">
        <f>IF($AA437="","",INDEX(Fertilisants!$D$8:$D$47,$AA437)&amp;"")</f>
        <v/>
      </c>
      <c r="I437" s="47"/>
      <c r="J437" s="48"/>
      <c r="K437" s="46" t="str">
        <f>IF($AA437="","",INDEX(Fertilisants!$E$8:$E$47,$AA437)&amp;"")</f>
        <v/>
      </c>
      <c r="L437" s="49" t="str">
        <f t="shared" si="84"/>
        <v/>
      </c>
      <c r="M437" s="50" t="str">
        <f>IF(OR($J437="",$AA437=""),"",$J437*N(INDEX(Fertilisants!$G$8:$G$47,$AA437)))</f>
        <v/>
      </c>
      <c r="N437" s="50" t="str">
        <f>IF(OR($J437="",$AA437=""),"",$J437*N(INDEX(Fertilisants!$I$8:$I$47,$AA437)))</f>
        <v/>
      </c>
      <c r="O437" s="50" t="str">
        <f>IF(OR($J437="",$AA437=""),"",$J437*N(INDEX(Fertilisants!$J$8:$J$47,$AA437)))</f>
        <v/>
      </c>
      <c r="P437" s="50" t="str">
        <f>IF(OR($J437="",$AA437=""),"",$J437*N(INDEX(Fertilisants!$K$8:$K$47,$AA437)))</f>
        <v/>
      </c>
      <c r="Q437" s="50" t="str">
        <f t="shared" si="85"/>
        <v/>
      </c>
      <c r="R437" s="44"/>
      <c r="S437" s="44"/>
      <c r="T437" s="51"/>
      <c r="U437" s="44"/>
      <c r="V437" s="43"/>
      <c r="W437" s="52" t="str">
        <f t="shared" si="86"/>
        <v/>
      </c>
      <c r="X437" s="44"/>
      <c r="Z437" s="53" t="str">
        <f>IF($D437="","",IFERROR(MATCH($D437,Îlots!$D$8:$D$57,0),""))</f>
        <v/>
      </c>
      <c r="AA437" s="53" t="str">
        <f>IF($G437="","",IFERROR(MATCH($G437,Fertilisants!$B$8:$B$47,0),""))</f>
        <v/>
      </c>
      <c r="AB437" s="53" t="str">
        <f>IF($Z437="","",INDEX(Îlots!$E$8:$E$57,$Z437))</f>
        <v/>
      </c>
      <c r="AC437" s="53" t="str">
        <f>IF($Z437="","",INDEX(Îlots!$G$8:$G$57,$Z437)&amp;"")</f>
        <v/>
      </c>
      <c r="AD437" s="53" t="str">
        <f>IF($Z437="","",IF($F437=ApportCouvert,OccCouvert,INDEX(Îlots!$O$8:$O$57,$Z437)&amp;""))</f>
        <v/>
      </c>
      <c r="AE437" s="53" t="str">
        <f t="shared" si="87"/>
        <v/>
      </c>
      <c r="AF437" s="53" t="str">
        <f t="shared" si="88"/>
        <v/>
      </c>
      <c r="AG437" s="53" t="str">
        <f t="shared" si="89"/>
        <v/>
      </c>
      <c r="AH437" s="53">
        <f t="shared" si="90"/>
        <v>0</v>
      </c>
      <c r="AI437" s="53">
        <f t="shared" si="91"/>
        <v>0</v>
      </c>
      <c r="AJ437" s="53">
        <f t="shared" si="92"/>
        <v>0</v>
      </c>
      <c r="AK437" s="53">
        <f t="shared" si="93"/>
        <v>0</v>
      </c>
      <c r="AL437" s="53">
        <f t="shared" si="94"/>
        <v>0</v>
      </c>
      <c r="AM437" s="53">
        <f>IF($AA437="",0,IF(INDEX(Fertilisants!$C$8:$C$47,$AA437)="Effluent d'élevage",1,0))</f>
        <v>0</v>
      </c>
      <c r="AN437" s="53" t="str">
        <f>IF($AA437="","",IF(INDEX(Fertilisants!$C$8:$C$47,$AA437)="Engrais minéral","Minéral","Organique"))</f>
        <v/>
      </c>
      <c r="AO437" s="53" t="str">
        <f t="shared" si="95"/>
        <v/>
      </c>
      <c r="AP437" s="53" t="str">
        <f t="shared" si="96"/>
        <v/>
      </c>
      <c r="AQ437" s="53" t="str">
        <f t="shared" si="97"/>
        <v/>
      </c>
      <c r="AR437" s="53" t="str">
        <f>IF(AND($D437&lt;&gt;"",$D437=FicheIlot),COUNTIF($D$8:$D437,FicheIlot),"")</f>
        <v/>
      </c>
    </row>
    <row r="438" spans="2:44" ht="18.95" customHeight="1" x14ac:dyDescent="0.25">
      <c r="B438" s="42" t="str">
        <f>IF(C438="","",COUNT($C$8:C438))</f>
        <v/>
      </c>
      <c r="C438" s="43"/>
      <c r="D438" s="44"/>
      <c r="E438" s="45" t="str">
        <f>IF($Z438="","",IF($F438=ApportCouvert,INDEX(Îlots!$I$8:$I$57,$Z438)&amp;"",INDEX(Îlots!$N$8:$N$57,$Z438)&amp;""))</f>
        <v/>
      </c>
      <c r="F438" s="44"/>
      <c r="G438" s="44"/>
      <c r="H438" s="46" t="str">
        <f>IF($AA438="","",INDEX(Fertilisants!$D$8:$D$47,$AA438)&amp;"")</f>
        <v/>
      </c>
      <c r="I438" s="47"/>
      <c r="J438" s="48"/>
      <c r="K438" s="46" t="str">
        <f>IF($AA438="","",INDEX(Fertilisants!$E$8:$E$47,$AA438)&amp;"")</f>
        <v/>
      </c>
      <c r="L438" s="49" t="str">
        <f t="shared" si="84"/>
        <v/>
      </c>
      <c r="M438" s="50" t="str">
        <f>IF(OR($J438="",$AA438=""),"",$J438*N(INDEX(Fertilisants!$G$8:$G$47,$AA438)))</f>
        <v/>
      </c>
      <c r="N438" s="50" t="str">
        <f>IF(OR($J438="",$AA438=""),"",$J438*N(INDEX(Fertilisants!$I$8:$I$47,$AA438)))</f>
        <v/>
      </c>
      <c r="O438" s="50" t="str">
        <f>IF(OR($J438="",$AA438=""),"",$J438*N(INDEX(Fertilisants!$J$8:$J$47,$AA438)))</f>
        <v/>
      </c>
      <c r="P438" s="50" t="str">
        <f>IF(OR($J438="",$AA438=""),"",$J438*N(INDEX(Fertilisants!$K$8:$K$47,$AA438)))</f>
        <v/>
      </c>
      <c r="Q438" s="50" t="str">
        <f t="shared" si="85"/>
        <v/>
      </c>
      <c r="R438" s="44"/>
      <c r="S438" s="44"/>
      <c r="T438" s="51"/>
      <c r="U438" s="44"/>
      <c r="V438" s="43"/>
      <c r="W438" s="52" t="str">
        <f t="shared" si="86"/>
        <v/>
      </c>
      <c r="X438" s="44"/>
      <c r="Z438" s="53" t="str">
        <f>IF($D438="","",IFERROR(MATCH($D438,Îlots!$D$8:$D$57,0),""))</f>
        <v/>
      </c>
      <c r="AA438" s="53" t="str">
        <f>IF($G438="","",IFERROR(MATCH($G438,Fertilisants!$B$8:$B$47,0),""))</f>
        <v/>
      </c>
      <c r="AB438" s="53" t="str">
        <f>IF($Z438="","",INDEX(Îlots!$E$8:$E$57,$Z438))</f>
        <v/>
      </c>
      <c r="AC438" s="53" t="str">
        <f>IF($Z438="","",INDEX(Îlots!$G$8:$G$57,$Z438)&amp;"")</f>
        <v/>
      </c>
      <c r="AD438" s="53" t="str">
        <f>IF($Z438="","",IF($F438=ApportCouvert,OccCouvert,INDEX(Îlots!$O$8:$O$57,$Z438)&amp;""))</f>
        <v/>
      </c>
      <c r="AE438" s="53" t="str">
        <f t="shared" si="87"/>
        <v/>
      </c>
      <c r="AF438" s="53" t="str">
        <f t="shared" si="88"/>
        <v/>
      </c>
      <c r="AG438" s="53" t="str">
        <f t="shared" si="89"/>
        <v/>
      </c>
      <c r="AH438" s="53">
        <f t="shared" si="90"/>
        <v>0</v>
      </c>
      <c r="AI438" s="53">
        <f t="shared" si="91"/>
        <v>0</v>
      </c>
      <c r="AJ438" s="53">
        <f t="shared" si="92"/>
        <v>0</v>
      </c>
      <c r="AK438" s="53">
        <f t="shared" si="93"/>
        <v>0</v>
      </c>
      <c r="AL438" s="53">
        <f t="shared" si="94"/>
        <v>0</v>
      </c>
      <c r="AM438" s="53">
        <f>IF($AA438="",0,IF(INDEX(Fertilisants!$C$8:$C$47,$AA438)="Effluent d'élevage",1,0))</f>
        <v>0</v>
      </c>
      <c r="AN438" s="53" t="str">
        <f>IF($AA438="","",IF(INDEX(Fertilisants!$C$8:$C$47,$AA438)="Engrais minéral","Minéral","Organique"))</f>
        <v/>
      </c>
      <c r="AO438" s="53" t="str">
        <f t="shared" si="95"/>
        <v/>
      </c>
      <c r="AP438" s="53" t="str">
        <f t="shared" si="96"/>
        <v/>
      </c>
      <c r="AQ438" s="53" t="str">
        <f t="shared" si="97"/>
        <v/>
      </c>
      <c r="AR438" s="53" t="str">
        <f>IF(AND($D438&lt;&gt;"",$D438=FicheIlot),COUNTIF($D$8:$D438,FicheIlot),"")</f>
        <v/>
      </c>
    </row>
    <row r="439" spans="2:44" ht="18.95" customHeight="1" x14ac:dyDescent="0.25">
      <c r="B439" s="42" t="str">
        <f>IF(C439="","",COUNT($C$8:C439))</f>
        <v/>
      </c>
      <c r="C439" s="43"/>
      <c r="D439" s="44"/>
      <c r="E439" s="45" t="str">
        <f>IF($Z439="","",IF($F439=ApportCouvert,INDEX(Îlots!$I$8:$I$57,$Z439)&amp;"",INDEX(Îlots!$N$8:$N$57,$Z439)&amp;""))</f>
        <v/>
      </c>
      <c r="F439" s="44"/>
      <c r="G439" s="44"/>
      <c r="H439" s="46" t="str">
        <f>IF($AA439="","",INDEX(Fertilisants!$D$8:$D$47,$AA439)&amp;"")</f>
        <v/>
      </c>
      <c r="I439" s="47"/>
      <c r="J439" s="48"/>
      <c r="K439" s="46" t="str">
        <f>IF($AA439="","",INDEX(Fertilisants!$E$8:$E$47,$AA439)&amp;"")</f>
        <v/>
      </c>
      <c r="L439" s="49" t="str">
        <f t="shared" si="84"/>
        <v/>
      </c>
      <c r="M439" s="50" t="str">
        <f>IF(OR($J439="",$AA439=""),"",$J439*N(INDEX(Fertilisants!$G$8:$G$47,$AA439)))</f>
        <v/>
      </c>
      <c r="N439" s="50" t="str">
        <f>IF(OR($J439="",$AA439=""),"",$J439*N(INDEX(Fertilisants!$I$8:$I$47,$AA439)))</f>
        <v/>
      </c>
      <c r="O439" s="50" t="str">
        <f>IF(OR($J439="",$AA439=""),"",$J439*N(INDEX(Fertilisants!$J$8:$J$47,$AA439)))</f>
        <v/>
      </c>
      <c r="P439" s="50" t="str">
        <f>IF(OR($J439="",$AA439=""),"",$J439*N(INDEX(Fertilisants!$K$8:$K$47,$AA439)))</f>
        <v/>
      </c>
      <c r="Q439" s="50" t="str">
        <f t="shared" si="85"/>
        <v/>
      </c>
      <c r="R439" s="44"/>
      <c r="S439" s="44"/>
      <c r="T439" s="51"/>
      <c r="U439" s="44"/>
      <c r="V439" s="43"/>
      <c r="W439" s="52" t="str">
        <f t="shared" si="86"/>
        <v/>
      </c>
      <c r="X439" s="44"/>
      <c r="Z439" s="53" t="str">
        <f>IF($D439="","",IFERROR(MATCH($D439,Îlots!$D$8:$D$57,0),""))</f>
        <v/>
      </c>
      <c r="AA439" s="53" t="str">
        <f>IF($G439="","",IFERROR(MATCH($G439,Fertilisants!$B$8:$B$47,0),""))</f>
        <v/>
      </c>
      <c r="AB439" s="53" t="str">
        <f>IF($Z439="","",INDEX(Îlots!$E$8:$E$57,$Z439))</f>
        <v/>
      </c>
      <c r="AC439" s="53" t="str">
        <f>IF($Z439="","",INDEX(Îlots!$G$8:$G$57,$Z439)&amp;"")</f>
        <v/>
      </c>
      <c r="AD439" s="53" t="str">
        <f>IF($Z439="","",IF($F439=ApportCouvert,OccCouvert,INDEX(Îlots!$O$8:$O$57,$Z439)&amp;""))</f>
        <v/>
      </c>
      <c r="AE439" s="53" t="str">
        <f t="shared" si="87"/>
        <v/>
      </c>
      <c r="AF439" s="53" t="str">
        <f t="shared" si="88"/>
        <v/>
      </c>
      <c r="AG439" s="53" t="str">
        <f t="shared" si="89"/>
        <v/>
      </c>
      <c r="AH439" s="53">
        <f t="shared" si="90"/>
        <v>0</v>
      </c>
      <c r="AI439" s="53">
        <f t="shared" si="91"/>
        <v>0</v>
      </c>
      <c r="AJ439" s="53">
        <f t="shared" si="92"/>
        <v>0</v>
      </c>
      <c r="AK439" s="53">
        <f t="shared" si="93"/>
        <v>0</v>
      </c>
      <c r="AL439" s="53">
        <f t="shared" si="94"/>
        <v>0</v>
      </c>
      <c r="AM439" s="53">
        <f>IF($AA439="",0,IF(INDEX(Fertilisants!$C$8:$C$47,$AA439)="Effluent d'élevage",1,0))</f>
        <v>0</v>
      </c>
      <c r="AN439" s="53" t="str">
        <f>IF($AA439="","",IF(INDEX(Fertilisants!$C$8:$C$47,$AA439)="Engrais minéral","Minéral","Organique"))</f>
        <v/>
      </c>
      <c r="AO439" s="53" t="str">
        <f t="shared" si="95"/>
        <v/>
      </c>
      <c r="AP439" s="53" t="str">
        <f t="shared" si="96"/>
        <v/>
      </c>
      <c r="AQ439" s="53" t="str">
        <f t="shared" si="97"/>
        <v/>
      </c>
      <c r="AR439" s="53" t="str">
        <f>IF(AND($D439&lt;&gt;"",$D439=FicheIlot),COUNTIF($D$8:$D439,FicheIlot),"")</f>
        <v/>
      </c>
    </row>
    <row r="440" spans="2:44" ht="18.95" customHeight="1" x14ac:dyDescent="0.25">
      <c r="B440" s="42" t="str">
        <f>IF(C440="","",COUNT($C$8:C440))</f>
        <v/>
      </c>
      <c r="C440" s="43"/>
      <c r="D440" s="44"/>
      <c r="E440" s="45" t="str">
        <f>IF($Z440="","",IF($F440=ApportCouvert,INDEX(Îlots!$I$8:$I$57,$Z440)&amp;"",INDEX(Îlots!$N$8:$N$57,$Z440)&amp;""))</f>
        <v/>
      </c>
      <c r="F440" s="44"/>
      <c r="G440" s="44"/>
      <c r="H440" s="46" t="str">
        <f>IF($AA440="","",INDEX(Fertilisants!$D$8:$D$47,$AA440)&amp;"")</f>
        <v/>
      </c>
      <c r="I440" s="47"/>
      <c r="J440" s="48"/>
      <c r="K440" s="46" t="str">
        <f>IF($AA440="","",INDEX(Fertilisants!$E$8:$E$47,$AA440)&amp;"")</f>
        <v/>
      </c>
      <c r="L440" s="49" t="str">
        <f t="shared" si="84"/>
        <v/>
      </c>
      <c r="M440" s="50" t="str">
        <f>IF(OR($J440="",$AA440=""),"",$J440*N(INDEX(Fertilisants!$G$8:$G$47,$AA440)))</f>
        <v/>
      </c>
      <c r="N440" s="50" t="str">
        <f>IF(OR($J440="",$AA440=""),"",$J440*N(INDEX(Fertilisants!$I$8:$I$47,$AA440)))</f>
        <v/>
      </c>
      <c r="O440" s="50" t="str">
        <f>IF(OR($J440="",$AA440=""),"",$J440*N(INDEX(Fertilisants!$J$8:$J$47,$AA440)))</f>
        <v/>
      </c>
      <c r="P440" s="50" t="str">
        <f>IF(OR($J440="",$AA440=""),"",$J440*N(INDEX(Fertilisants!$K$8:$K$47,$AA440)))</f>
        <v/>
      </c>
      <c r="Q440" s="50" t="str">
        <f t="shared" si="85"/>
        <v/>
      </c>
      <c r="R440" s="44"/>
      <c r="S440" s="44"/>
      <c r="T440" s="51"/>
      <c r="U440" s="44"/>
      <c r="V440" s="43"/>
      <c r="W440" s="52" t="str">
        <f t="shared" si="86"/>
        <v/>
      </c>
      <c r="X440" s="44"/>
      <c r="Z440" s="53" t="str">
        <f>IF($D440="","",IFERROR(MATCH($D440,Îlots!$D$8:$D$57,0),""))</f>
        <v/>
      </c>
      <c r="AA440" s="53" t="str">
        <f>IF($G440="","",IFERROR(MATCH($G440,Fertilisants!$B$8:$B$47,0),""))</f>
        <v/>
      </c>
      <c r="AB440" s="53" t="str">
        <f>IF($Z440="","",INDEX(Îlots!$E$8:$E$57,$Z440))</f>
        <v/>
      </c>
      <c r="AC440" s="53" t="str">
        <f>IF($Z440="","",INDEX(Îlots!$G$8:$G$57,$Z440)&amp;"")</f>
        <v/>
      </c>
      <c r="AD440" s="53" t="str">
        <f>IF($Z440="","",IF($F440=ApportCouvert,OccCouvert,INDEX(Îlots!$O$8:$O$57,$Z440)&amp;""))</f>
        <v/>
      </c>
      <c r="AE440" s="53" t="str">
        <f t="shared" si="87"/>
        <v/>
      </c>
      <c r="AF440" s="53" t="str">
        <f t="shared" si="88"/>
        <v/>
      </c>
      <c r="AG440" s="53" t="str">
        <f t="shared" si="89"/>
        <v/>
      </c>
      <c r="AH440" s="53">
        <f t="shared" si="90"/>
        <v>0</v>
      </c>
      <c r="AI440" s="53">
        <f t="shared" si="91"/>
        <v>0</v>
      </c>
      <c r="AJ440" s="53">
        <f t="shared" si="92"/>
        <v>0</v>
      </c>
      <c r="AK440" s="53">
        <f t="shared" si="93"/>
        <v>0</v>
      </c>
      <c r="AL440" s="53">
        <f t="shared" si="94"/>
        <v>0</v>
      </c>
      <c r="AM440" s="53">
        <f>IF($AA440="",0,IF(INDEX(Fertilisants!$C$8:$C$47,$AA440)="Effluent d'élevage",1,0))</f>
        <v>0</v>
      </c>
      <c r="AN440" s="53" t="str">
        <f>IF($AA440="","",IF(INDEX(Fertilisants!$C$8:$C$47,$AA440)="Engrais minéral","Minéral","Organique"))</f>
        <v/>
      </c>
      <c r="AO440" s="53" t="str">
        <f t="shared" si="95"/>
        <v/>
      </c>
      <c r="AP440" s="53" t="str">
        <f t="shared" si="96"/>
        <v/>
      </c>
      <c r="AQ440" s="53" t="str">
        <f t="shared" si="97"/>
        <v/>
      </c>
      <c r="AR440" s="53" t="str">
        <f>IF(AND($D440&lt;&gt;"",$D440=FicheIlot),COUNTIF($D$8:$D440,FicheIlot),"")</f>
        <v/>
      </c>
    </row>
    <row r="441" spans="2:44" ht="18.95" customHeight="1" x14ac:dyDescent="0.25">
      <c r="B441" s="42" t="str">
        <f>IF(C441="","",COUNT($C$8:C441))</f>
        <v/>
      </c>
      <c r="C441" s="43"/>
      <c r="D441" s="44"/>
      <c r="E441" s="45" t="str">
        <f>IF($Z441="","",IF($F441=ApportCouvert,INDEX(Îlots!$I$8:$I$57,$Z441)&amp;"",INDEX(Îlots!$N$8:$N$57,$Z441)&amp;""))</f>
        <v/>
      </c>
      <c r="F441" s="44"/>
      <c r="G441" s="44"/>
      <c r="H441" s="46" t="str">
        <f>IF($AA441="","",INDEX(Fertilisants!$D$8:$D$47,$AA441)&amp;"")</f>
        <v/>
      </c>
      <c r="I441" s="47"/>
      <c r="J441" s="48"/>
      <c r="K441" s="46" t="str">
        <f>IF($AA441="","",INDEX(Fertilisants!$E$8:$E$47,$AA441)&amp;"")</f>
        <v/>
      </c>
      <c r="L441" s="49" t="str">
        <f t="shared" si="84"/>
        <v/>
      </c>
      <c r="M441" s="50" t="str">
        <f>IF(OR($J441="",$AA441=""),"",$J441*N(INDEX(Fertilisants!$G$8:$G$47,$AA441)))</f>
        <v/>
      </c>
      <c r="N441" s="50" t="str">
        <f>IF(OR($J441="",$AA441=""),"",$J441*N(INDEX(Fertilisants!$I$8:$I$47,$AA441)))</f>
        <v/>
      </c>
      <c r="O441" s="50" t="str">
        <f>IF(OR($J441="",$AA441=""),"",$J441*N(INDEX(Fertilisants!$J$8:$J$47,$AA441)))</f>
        <v/>
      </c>
      <c r="P441" s="50" t="str">
        <f>IF(OR($J441="",$AA441=""),"",$J441*N(INDEX(Fertilisants!$K$8:$K$47,$AA441)))</f>
        <v/>
      </c>
      <c r="Q441" s="50" t="str">
        <f t="shared" si="85"/>
        <v/>
      </c>
      <c r="R441" s="44"/>
      <c r="S441" s="44"/>
      <c r="T441" s="51"/>
      <c r="U441" s="44"/>
      <c r="V441" s="43"/>
      <c r="W441" s="52" t="str">
        <f t="shared" si="86"/>
        <v/>
      </c>
      <c r="X441" s="44"/>
      <c r="Z441" s="53" t="str">
        <f>IF($D441="","",IFERROR(MATCH($D441,Îlots!$D$8:$D$57,0),""))</f>
        <v/>
      </c>
      <c r="AA441" s="53" t="str">
        <f>IF($G441="","",IFERROR(MATCH($G441,Fertilisants!$B$8:$B$47,0),""))</f>
        <v/>
      </c>
      <c r="AB441" s="53" t="str">
        <f>IF($Z441="","",INDEX(Îlots!$E$8:$E$57,$Z441))</f>
        <v/>
      </c>
      <c r="AC441" s="53" t="str">
        <f>IF($Z441="","",INDEX(Îlots!$G$8:$G$57,$Z441)&amp;"")</f>
        <v/>
      </c>
      <c r="AD441" s="53" t="str">
        <f>IF($Z441="","",IF($F441=ApportCouvert,OccCouvert,INDEX(Îlots!$O$8:$O$57,$Z441)&amp;""))</f>
        <v/>
      </c>
      <c r="AE441" s="53" t="str">
        <f t="shared" si="87"/>
        <v/>
      </c>
      <c r="AF441" s="53" t="str">
        <f t="shared" si="88"/>
        <v/>
      </c>
      <c r="AG441" s="53" t="str">
        <f t="shared" si="89"/>
        <v/>
      </c>
      <c r="AH441" s="53">
        <f t="shared" si="90"/>
        <v>0</v>
      </c>
      <c r="AI441" s="53">
        <f t="shared" si="91"/>
        <v>0</v>
      </c>
      <c r="AJ441" s="53">
        <f t="shared" si="92"/>
        <v>0</v>
      </c>
      <c r="AK441" s="53">
        <f t="shared" si="93"/>
        <v>0</v>
      </c>
      <c r="AL441" s="53">
        <f t="shared" si="94"/>
        <v>0</v>
      </c>
      <c r="AM441" s="53">
        <f>IF($AA441="",0,IF(INDEX(Fertilisants!$C$8:$C$47,$AA441)="Effluent d'élevage",1,0))</f>
        <v>0</v>
      </c>
      <c r="AN441" s="53" t="str">
        <f>IF($AA441="","",IF(INDEX(Fertilisants!$C$8:$C$47,$AA441)="Engrais minéral","Minéral","Organique"))</f>
        <v/>
      </c>
      <c r="AO441" s="53" t="str">
        <f t="shared" si="95"/>
        <v/>
      </c>
      <c r="AP441" s="53" t="str">
        <f t="shared" si="96"/>
        <v/>
      </c>
      <c r="AQ441" s="53" t="str">
        <f t="shared" si="97"/>
        <v/>
      </c>
      <c r="AR441" s="53" t="str">
        <f>IF(AND($D441&lt;&gt;"",$D441=FicheIlot),COUNTIF($D$8:$D441,FicheIlot),"")</f>
        <v/>
      </c>
    </row>
    <row r="442" spans="2:44" ht="18.95" customHeight="1" x14ac:dyDescent="0.25">
      <c r="B442" s="42" t="str">
        <f>IF(C442="","",COUNT($C$8:C442))</f>
        <v/>
      </c>
      <c r="C442" s="43"/>
      <c r="D442" s="44"/>
      <c r="E442" s="45" t="str">
        <f>IF($Z442="","",IF($F442=ApportCouvert,INDEX(Îlots!$I$8:$I$57,$Z442)&amp;"",INDEX(Îlots!$N$8:$N$57,$Z442)&amp;""))</f>
        <v/>
      </c>
      <c r="F442" s="44"/>
      <c r="G442" s="44"/>
      <c r="H442" s="46" t="str">
        <f>IF($AA442="","",INDEX(Fertilisants!$D$8:$D$47,$AA442)&amp;"")</f>
        <v/>
      </c>
      <c r="I442" s="47"/>
      <c r="J442" s="48"/>
      <c r="K442" s="46" t="str">
        <f>IF($AA442="","",INDEX(Fertilisants!$E$8:$E$47,$AA442)&amp;"")</f>
        <v/>
      </c>
      <c r="L442" s="49" t="str">
        <f t="shared" si="84"/>
        <v/>
      </c>
      <c r="M442" s="50" t="str">
        <f>IF(OR($J442="",$AA442=""),"",$J442*N(INDEX(Fertilisants!$G$8:$G$47,$AA442)))</f>
        <v/>
      </c>
      <c r="N442" s="50" t="str">
        <f>IF(OR($J442="",$AA442=""),"",$J442*N(INDEX(Fertilisants!$I$8:$I$47,$AA442)))</f>
        <v/>
      </c>
      <c r="O442" s="50" t="str">
        <f>IF(OR($J442="",$AA442=""),"",$J442*N(INDEX(Fertilisants!$J$8:$J$47,$AA442)))</f>
        <v/>
      </c>
      <c r="P442" s="50" t="str">
        <f>IF(OR($J442="",$AA442=""),"",$J442*N(INDEX(Fertilisants!$K$8:$K$47,$AA442)))</f>
        <v/>
      </c>
      <c r="Q442" s="50" t="str">
        <f t="shared" si="85"/>
        <v/>
      </c>
      <c r="R442" s="44"/>
      <c r="S442" s="44"/>
      <c r="T442" s="51"/>
      <c r="U442" s="44"/>
      <c r="V442" s="43"/>
      <c r="W442" s="52" t="str">
        <f t="shared" si="86"/>
        <v/>
      </c>
      <c r="X442" s="44"/>
      <c r="Z442" s="53" t="str">
        <f>IF($D442="","",IFERROR(MATCH($D442,Îlots!$D$8:$D$57,0),""))</f>
        <v/>
      </c>
      <c r="AA442" s="53" t="str">
        <f>IF($G442="","",IFERROR(MATCH($G442,Fertilisants!$B$8:$B$47,0),""))</f>
        <v/>
      </c>
      <c r="AB442" s="53" t="str">
        <f>IF($Z442="","",INDEX(Îlots!$E$8:$E$57,$Z442))</f>
        <v/>
      </c>
      <c r="AC442" s="53" t="str">
        <f>IF($Z442="","",INDEX(Îlots!$G$8:$G$57,$Z442)&amp;"")</f>
        <v/>
      </c>
      <c r="AD442" s="53" t="str">
        <f>IF($Z442="","",IF($F442=ApportCouvert,OccCouvert,INDEX(Îlots!$O$8:$O$57,$Z442)&amp;""))</f>
        <v/>
      </c>
      <c r="AE442" s="53" t="str">
        <f t="shared" si="87"/>
        <v/>
      </c>
      <c r="AF442" s="53" t="str">
        <f t="shared" si="88"/>
        <v/>
      </c>
      <c r="AG442" s="53" t="str">
        <f t="shared" si="89"/>
        <v/>
      </c>
      <c r="AH442" s="53">
        <f t="shared" si="90"/>
        <v>0</v>
      </c>
      <c r="AI442" s="53">
        <f t="shared" si="91"/>
        <v>0</v>
      </c>
      <c r="AJ442" s="53">
        <f t="shared" si="92"/>
        <v>0</v>
      </c>
      <c r="AK442" s="53">
        <f t="shared" si="93"/>
        <v>0</v>
      </c>
      <c r="AL442" s="53">
        <f t="shared" si="94"/>
        <v>0</v>
      </c>
      <c r="AM442" s="53">
        <f>IF($AA442="",0,IF(INDEX(Fertilisants!$C$8:$C$47,$AA442)="Effluent d'élevage",1,0))</f>
        <v>0</v>
      </c>
      <c r="AN442" s="53" t="str">
        <f>IF($AA442="","",IF(INDEX(Fertilisants!$C$8:$C$47,$AA442)="Engrais minéral","Minéral","Organique"))</f>
        <v/>
      </c>
      <c r="AO442" s="53" t="str">
        <f t="shared" si="95"/>
        <v/>
      </c>
      <c r="AP442" s="53" t="str">
        <f t="shared" si="96"/>
        <v/>
      </c>
      <c r="AQ442" s="53" t="str">
        <f t="shared" si="97"/>
        <v/>
      </c>
      <c r="AR442" s="53" t="str">
        <f>IF(AND($D442&lt;&gt;"",$D442=FicheIlot),COUNTIF($D$8:$D442,FicheIlot),"")</f>
        <v/>
      </c>
    </row>
    <row r="443" spans="2:44" ht="18.95" customHeight="1" x14ac:dyDescent="0.25">
      <c r="B443" s="42" t="str">
        <f>IF(C443="","",COUNT($C$8:C443))</f>
        <v/>
      </c>
      <c r="C443" s="43"/>
      <c r="D443" s="44"/>
      <c r="E443" s="45" t="str">
        <f>IF($Z443="","",IF($F443=ApportCouvert,INDEX(Îlots!$I$8:$I$57,$Z443)&amp;"",INDEX(Îlots!$N$8:$N$57,$Z443)&amp;""))</f>
        <v/>
      </c>
      <c r="F443" s="44"/>
      <c r="G443" s="44"/>
      <c r="H443" s="46" t="str">
        <f>IF($AA443="","",INDEX(Fertilisants!$D$8:$D$47,$AA443)&amp;"")</f>
        <v/>
      </c>
      <c r="I443" s="47"/>
      <c r="J443" s="48"/>
      <c r="K443" s="46" t="str">
        <f>IF($AA443="","",INDEX(Fertilisants!$E$8:$E$47,$AA443)&amp;"")</f>
        <v/>
      </c>
      <c r="L443" s="49" t="str">
        <f t="shared" si="84"/>
        <v/>
      </c>
      <c r="M443" s="50" t="str">
        <f>IF(OR($J443="",$AA443=""),"",$J443*N(INDEX(Fertilisants!$G$8:$G$47,$AA443)))</f>
        <v/>
      </c>
      <c r="N443" s="50" t="str">
        <f>IF(OR($J443="",$AA443=""),"",$J443*N(INDEX(Fertilisants!$I$8:$I$47,$AA443)))</f>
        <v/>
      </c>
      <c r="O443" s="50" t="str">
        <f>IF(OR($J443="",$AA443=""),"",$J443*N(INDEX(Fertilisants!$J$8:$J$47,$AA443)))</f>
        <v/>
      </c>
      <c r="P443" s="50" t="str">
        <f>IF(OR($J443="",$AA443=""),"",$J443*N(INDEX(Fertilisants!$K$8:$K$47,$AA443)))</f>
        <v/>
      </c>
      <c r="Q443" s="50" t="str">
        <f t="shared" si="85"/>
        <v/>
      </c>
      <c r="R443" s="44"/>
      <c r="S443" s="44"/>
      <c r="T443" s="51"/>
      <c r="U443" s="44"/>
      <c r="V443" s="43"/>
      <c r="W443" s="52" t="str">
        <f t="shared" si="86"/>
        <v/>
      </c>
      <c r="X443" s="44"/>
      <c r="Z443" s="53" t="str">
        <f>IF($D443="","",IFERROR(MATCH($D443,Îlots!$D$8:$D$57,0),""))</f>
        <v/>
      </c>
      <c r="AA443" s="53" t="str">
        <f>IF($G443="","",IFERROR(MATCH($G443,Fertilisants!$B$8:$B$47,0),""))</f>
        <v/>
      </c>
      <c r="AB443" s="53" t="str">
        <f>IF($Z443="","",INDEX(Îlots!$E$8:$E$57,$Z443))</f>
        <v/>
      </c>
      <c r="AC443" s="53" t="str">
        <f>IF($Z443="","",INDEX(Îlots!$G$8:$G$57,$Z443)&amp;"")</f>
        <v/>
      </c>
      <c r="AD443" s="53" t="str">
        <f>IF($Z443="","",IF($F443=ApportCouvert,OccCouvert,INDEX(Îlots!$O$8:$O$57,$Z443)&amp;""))</f>
        <v/>
      </c>
      <c r="AE443" s="53" t="str">
        <f t="shared" si="87"/>
        <v/>
      </c>
      <c r="AF443" s="53" t="str">
        <f t="shared" si="88"/>
        <v/>
      </c>
      <c r="AG443" s="53" t="str">
        <f t="shared" si="89"/>
        <v/>
      </c>
      <c r="AH443" s="53">
        <f t="shared" si="90"/>
        <v>0</v>
      </c>
      <c r="AI443" s="53">
        <f t="shared" si="91"/>
        <v>0</v>
      </c>
      <c r="AJ443" s="53">
        <f t="shared" si="92"/>
        <v>0</v>
      </c>
      <c r="AK443" s="53">
        <f t="shared" si="93"/>
        <v>0</v>
      </c>
      <c r="AL443" s="53">
        <f t="shared" si="94"/>
        <v>0</v>
      </c>
      <c r="AM443" s="53">
        <f>IF($AA443="",0,IF(INDEX(Fertilisants!$C$8:$C$47,$AA443)="Effluent d'élevage",1,0))</f>
        <v>0</v>
      </c>
      <c r="AN443" s="53" t="str">
        <f>IF($AA443="","",IF(INDEX(Fertilisants!$C$8:$C$47,$AA443)="Engrais minéral","Minéral","Organique"))</f>
        <v/>
      </c>
      <c r="AO443" s="53" t="str">
        <f t="shared" si="95"/>
        <v/>
      </c>
      <c r="AP443" s="53" t="str">
        <f t="shared" si="96"/>
        <v/>
      </c>
      <c r="AQ443" s="53" t="str">
        <f t="shared" si="97"/>
        <v/>
      </c>
      <c r="AR443" s="53" t="str">
        <f>IF(AND($D443&lt;&gt;"",$D443=FicheIlot),COUNTIF($D$8:$D443,FicheIlot),"")</f>
        <v/>
      </c>
    </row>
    <row r="444" spans="2:44" ht="18.95" customHeight="1" x14ac:dyDescent="0.25">
      <c r="B444" s="42" t="str">
        <f>IF(C444="","",COUNT($C$8:C444))</f>
        <v/>
      </c>
      <c r="C444" s="43"/>
      <c r="D444" s="44"/>
      <c r="E444" s="45" t="str">
        <f>IF($Z444="","",IF($F444=ApportCouvert,INDEX(Îlots!$I$8:$I$57,$Z444)&amp;"",INDEX(Îlots!$N$8:$N$57,$Z444)&amp;""))</f>
        <v/>
      </c>
      <c r="F444" s="44"/>
      <c r="G444" s="44"/>
      <c r="H444" s="46" t="str">
        <f>IF($AA444="","",INDEX(Fertilisants!$D$8:$D$47,$AA444)&amp;"")</f>
        <v/>
      </c>
      <c r="I444" s="47"/>
      <c r="J444" s="48"/>
      <c r="K444" s="46" t="str">
        <f>IF($AA444="","",INDEX(Fertilisants!$E$8:$E$47,$AA444)&amp;"")</f>
        <v/>
      </c>
      <c r="L444" s="49" t="str">
        <f t="shared" si="84"/>
        <v/>
      </c>
      <c r="M444" s="50" t="str">
        <f>IF(OR($J444="",$AA444=""),"",$J444*N(INDEX(Fertilisants!$G$8:$G$47,$AA444)))</f>
        <v/>
      </c>
      <c r="N444" s="50" t="str">
        <f>IF(OR($J444="",$AA444=""),"",$J444*N(INDEX(Fertilisants!$I$8:$I$47,$AA444)))</f>
        <v/>
      </c>
      <c r="O444" s="50" t="str">
        <f>IF(OR($J444="",$AA444=""),"",$J444*N(INDEX(Fertilisants!$J$8:$J$47,$AA444)))</f>
        <v/>
      </c>
      <c r="P444" s="50" t="str">
        <f>IF(OR($J444="",$AA444=""),"",$J444*N(INDEX(Fertilisants!$K$8:$K$47,$AA444)))</f>
        <v/>
      </c>
      <c r="Q444" s="50" t="str">
        <f t="shared" si="85"/>
        <v/>
      </c>
      <c r="R444" s="44"/>
      <c r="S444" s="44"/>
      <c r="T444" s="51"/>
      <c r="U444" s="44"/>
      <c r="V444" s="43"/>
      <c r="W444" s="52" t="str">
        <f t="shared" si="86"/>
        <v/>
      </c>
      <c r="X444" s="44"/>
      <c r="Z444" s="53" t="str">
        <f>IF($D444="","",IFERROR(MATCH($D444,Îlots!$D$8:$D$57,0),""))</f>
        <v/>
      </c>
      <c r="AA444" s="53" t="str">
        <f>IF($G444="","",IFERROR(MATCH($G444,Fertilisants!$B$8:$B$47,0),""))</f>
        <v/>
      </c>
      <c r="AB444" s="53" t="str">
        <f>IF($Z444="","",INDEX(Îlots!$E$8:$E$57,$Z444))</f>
        <v/>
      </c>
      <c r="AC444" s="53" t="str">
        <f>IF($Z444="","",INDEX(Îlots!$G$8:$G$57,$Z444)&amp;"")</f>
        <v/>
      </c>
      <c r="AD444" s="53" t="str">
        <f>IF($Z444="","",IF($F444=ApportCouvert,OccCouvert,INDEX(Îlots!$O$8:$O$57,$Z444)&amp;""))</f>
        <v/>
      </c>
      <c r="AE444" s="53" t="str">
        <f t="shared" si="87"/>
        <v/>
      </c>
      <c r="AF444" s="53" t="str">
        <f t="shared" si="88"/>
        <v/>
      </c>
      <c r="AG444" s="53" t="str">
        <f t="shared" si="89"/>
        <v/>
      </c>
      <c r="AH444" s="53">
        <f t="shared" si="90"/>
        <v>0</v>
      </c>
      <c r="AI444" s="53">
        <f t="shared" si="91"/>
        <v>0</v>
      </c>
      <c r="AJ444" s="53">
        <f t="shared" si="92"/>
        <v>0</v>
      </c>
      <c r="AK444" s="53">
        <f t="shared" si="93"/>
        <v>0</v>
      </c>
      <c r="AL444" s="53">
        <f t="shared" si="94"/>
        <v>0</v>
      </c>
      <c r="AM444" s="53">
        <f>IF($AA444="",0,IF(INDEX(Fertilisants!$C$8:$C$47,$AA444)="Effluent d'élevage",1,0))</f>
        <v>0</v>
      </c>
      <c r="AN444" s="53" t="str">
        <f>IF($AA444="","",IF(INDEX(Fertilisants!$C$8:$C$47,$AA444)="Engrais minéral","Minéral","Organique"))</f>
        <v/>
      </c>
      <c r="AO444" s="53" t="str">
        <f t="shared" si="95"/>
        <v/>
      </c>
      <c r="AP444" s="53" t="str">
        <f t="shared" si="96"/>
        <v/>
      </c>
      <c r="AQ444" s="53" t="str">
        <f t="shared" si="97"/>
        <v/>
      </c>
      <c r="AR444" s="53" t="str">
        <f>IF(AND($D444&lt;&gt;"",$D444=FicheIlot),COUNTIF($D$8:$D444,FicheIlot),"")</f>
        <v/>
      </c>
    </row>
    <row r="445" spans="2:44" ht="18.95" customHeight="1" x14ac:dyDescent="0.25">
      <c r="B445" s="42" t="str">
        <f>IF(C445="","",COUNT($C$8:C445))</f>
        <v/>
      </c>
      <c r="C445" s="43"/>
      <c r="D445" s="44"/>
      <c r="E445" s="45" t="str">
        <f>IF($Z445="","",IF($F445=ApportCouvert,INDEX(Îlots!$I$8:$I$57,$Z445)&amp;"",INDEX(Îlots!$N$8:$N$57,$Z445)&amp;""))</f>
        <v/>
      </c>
      <c r="F445" s="44"/>
      <c r="G445" s="44"/>
      <c r="H445" s="46" t="str">
        <f>IF($AA445="","",INDEX(Fertilisants!$D$8:$D$47,$AA445)&amp;"")</f>
        <v/>
      </c>
      <c r="I445" s="47"/>
      <c r="J445" s="48"/>
      <c r="K445" s="46" t="str">
        <f>IF($AA445="","",INDEX(Fertilisants!$E$8:$E$47,$AA445)&amp;"")</f>
        <v/>
      </c>
      <c r="L445" s="49" t="str">
        <f t="shared" si="84"/>
        <v/>
      </c>
      <c r="M445" s="50" t="str">
        <f>IF(OR($J445="",$AA445=""),"",$J445*N(INDEX(Fertilisants!$G$8:$G$47,$AA445)))</f>
        <v/>
      </c>
      <c r="N445" s="50" t="str">
        <f>IF(OR($J445="",$AA445=""),"",$J445*N(INDEX(Fertilisants!$I$8:$I$47,$AA445)))</f>
        <v/>
      </c>
      <c r="O445" s="50" t="str">
        <f>IF(OR($J445="",$AA445=""),"",$J445*N(INDEX(Fertilisants!$J$8:$J$47,$AA445)))</f>
        <v/>
      </c>
      <c r="P445" s="50" t="str">
        <f>IF(OR($J445="",$AA445=""),"",$J445*N(INDEX(Fertilisants!$K$8:$K$47,$AA445)))</f>
        <v/>
      </c>
      <c r="Q445" s="50" t="str">
        <f t="shared" si="85"/>
        <v/>
      </c>
      <c r="R445" s="44"/>
      <c r="S445" s="44"/>
      <c r="T445" s="51"/>
      <c r="U445" s="44"/>
      <c r="V445" s="43"/>
      <c r="W445" s="52" t="str">
        <f t="shared" si="86"/>
        <v/>
      </c>
      <c r="X445" s="44"/>
      <c r="Z445" s="53" t="str">
        <f>IF($D445="","",IFERROR(MATCH($D445,Îlots!$D$8:$D$57,0),""))</f>
        <v/>
      </c>
      <c r="AA445" s="53" t="str">
        <f>IF($G445="","",IFERROR(MATCH($G445,Fertilisants!$B$8:$B$47,0),""))</f>
        <v/>
      </c>
      <c r="AB445" s="53" t="str">
        <f>IF($Z445="","",INDEX(Îlots!$E$8:$E$57,$Z445))</f>
        <v/>
      </c>
      <c r="AC445" s="53" t="str">
        <f>IF($Z445="","",INDEX(Îlots!$G$8:$G$57,$Z445)&amp;"")</f>
        <v/>
      </c>
      <c r="AD445" s="53" t="str">
        <f>IF($Z445="","",IF($F445=ApportCouvert,OccCouvert,INDEX(Îlots!$O$8:$O$57,$Z445)&amp;""))</f>
        <v/>
      </c>
      <c r="AE445" s="53" t="str">
        <f t="shared" si="87"/>
        <v/>
      </c>
      <c r="AF445" s="53" t="str">
        <f t="shared" si="88"/>
        <v/>
      </c>
      <c r="AG445" s="53" t="str">
        <f t="shared" si="89"/>
        <v/>
      </c>
      <c r="AH445" s="53">
        <f t="shared" si="90"/>
        <v>0</v>
      </c>
      <c r="AI445" s="53">
        <f t="shared" si="91"/>
        <v>0</v>
      </c>
      <c r="AJ445" s="53">
        <f t="shared" si="92"/>
        <v>0</v>
      </c>
      <c r="AK445" s="53">
        <f t="shared" si="93"/>
        <v>0</v>
      </c>
      <c r="AL445" s="53">
        <f t="shared" si="94"/>
        <v>0</v>
      </c>
      <c r="AM445" s="53">
        <f>IF($AA445="",0,IF(INDEX(Fertilisants!$C$8:$C$47,$AA445)="Effluent d'élevage",1,0))</f>
        <v>0</v>
      </c>
      <c r="AN445" s="53" t="str">
        <f>IF($AA445="","",IF(INDEX(Fertilisants!$C$8:$C$47,$AA445)="Engrais minéral","Minéral","Organique"))</f>
        <v/>
      </c>
      <c r="AO445" s="53" t="str">
        <f t="shared" si="95"/>
        <v/>
      </c>
      <c r="AP445" s="53" t="str">
        <f t="shared" si="96"/>
        <v/>
      </c>
      <c r="AQ445" s="53" t="str">
        <f t="shared" si="97"/>
        <v/>
      </c>
      <c r="AR445" s="53" t="str">
        <f>IF(AND($D445&lt;&gt;"",$D445=FicheIlot),COUNTIF($D$8:$D445,FicheIlot),"")</f>
        <v/>
      </c>
    </row>
    <row r="446" spans="2:44" ht="18.95" customHeight="1" x14ac:dyDescent="0.25">
      <c r="B446" s="42" t="str">
        <f>IF(C446="","",COUNT($C$8:C446))</f>
        <v/>
      </c>
      <c r="C446" s="43"/>
      <c r="D446" s="44"/>
      <c r="E446" s="45" t="str">
        <f>IF($Z446="","",IF($F446=ApportCouvert,INDEX(Îlots!$I$8:$I$57,$Z446)&amp;"",INDEX(Îlots!$N$8:$N$57,$Z446)&amp;""))</f>
        <v/>
      </c>
      <c r="F446" s="44"/>
      <c r="G446" s="44"/>
      <c r="H446" s="46" t="str">
        <f>IF($AA446="","",INDEX(Fertilisants!$D$8:$D$47,$AA446)&amp;"")</f>
        <v/>
      </c>
      <c r="I446" s="47"/>
      <c r="J446" s="48"/>
      <c r="K446" s="46" t="str">
        <f>IF($AA446="","",INDEX(Fertilisants!$E$8:$E$47,$AA446)&amp;"")</f>
        <v/>
      </c>
      <c r="L446" s="49" t="str">
        <f t="shared" si="84"/>
        <v/>
      </c>
      <c r="M446" s="50" t="str">
        <f>IF(OR($J446="",$AA446=""),"",$J446*N(INDEX(Fertilisants!$G$8:$G$47,$AA446)))</f>
        <v/>
      </c>
      <c r="N446" s="50" t="str">
        <f>IF(OR($J446="",$AA446=""),"",$J446*N(INDEX(Fertilisants!$I$8:$I$47,$AA446)))</f>
        <v/>
      </c>
      <c r="O446" s="50" t="str">
        <f>IF(OR($J446="",$AA446=""),"",$J446*N(INDEX(Fertilisants!$J$8:$J$47,$AA446)))</f>
        <v/>
      </c>
      <c r="P446" s="50" t="str">
        <f>IF(OR($J446="",$AA446=""),"",$J446*N(INDEX(Fertilisants!$K$8:$K$47,$AA446)))</f>
        <v/>
      </c>
      <c r="Q446" s="50" t="str">
        <f t="shared" si="85"/>
        <v/>
      </c>
      <c r="R446" s="44"/>
      <c r="S446" s="44"/>
      <c r="T446" s="51"/>
      <c r="U446" s="44"/>
      <c r="V446" s="43"/>
      <c r="W446" s="52" t="str">
        <f t="shared" si="86"/>
        <v/>
      </c>
      <c r="X446" s="44"/>
      <c r="Z446" s="53" t="str">
        <f>IF($D446="","",IFERROR(MATCH($D446,Îlots!$D$8:$D$57,0),""))</f>
        <v/>
      </c>
      <c r="AA446" s="53" t="str">
        <f>IF($G446="","",IFERROR(MATCH($G446,Fertilisants!$B$8:$B$47,0),""))</f>
        <v/>
      </c>
      <c r="AB446" s="53" t="str">
        <f>IF($Z446="","",INDEX(Îlots!$E$8:$E$57,$Z446))</f>
        <v/>
      </c>
      <c r="AC446" s="53" t="str">
        <f>IF($Z446="","",INDEX(Îlots!$G$8:$G$57,$Z446)&amp;"")</f>
        <v/>
      </c>
      <c r="AD446" s="53" t="str">
        <f>IF($Z446="","",IF($F446=ApportCouvert,OccCouvert,INDEX(Îlots!$O$8:$O$57,$Z446)&amp;""))</f>
        <v/>
      </c>
      <c r="AE446" s="53" t="str">
        <f t="shared" si="87"/>
        <v/>
      </c>
      <c r="AF446" s="53" t="str">
        <f t="shared" si="88"/>
        <v/>
      </c>
      <c r="AG446" s="53" t="str">
        <f t="shared" si="89"/>
        <v/>
      </c>
      <c r="AH446" s="53">
        <f t="shared" si="90"/>
        <v>0</v>
      </c>
      <c r="AI446" s="53">
        <f t="shared" si="91"/>
        <v>0</v>
      </c>
      <c r="AJ446" s="53">
        <f t="shared" si="92"/>
        <v>0</v>
      </c>
      <c r="AK446" s="53">
        <f t="shared" si="93"/>
        <v>0</v>
      </c>
      <c r="AL446" s="53">
        <f t="shared" si="94"/>
        <v>0</v>
      </c>
      <c r="AM446" s="53">
        <f>IF($AA446="",0,IF(INDEX(Fertilisants!$C$8:$C$47,$AA446)="Effluent d'élevage",1,0))</f>
        <v>0</v>
      </c>
      <c r="AN446" s="53" t="str">
        <f>IF($AA446="","",IF(INDEX(Fertilisants!$C$8:$C$47,$AA446)="Engrais minéral","Minéral","Organique"))</f>
        <v/>
      </c>
      <c r="AO446" s="53" t="str">
        <f t="shared" si="95"/>
        <v/>
      </c>
      <c r="AP446" s="53" t="str">
        <f t="shared" si="96"/>
        <v/>
      </c>
      <c r="AQ446" s="53" t="str">
        <f t="shared" si="97"/>
        <v/>
      </c>
      <c r="AR446" s="53" t="str">
        <f>IF(AND($D446&lt;&gt;"",$D446=FicheIlot),COUNTIF($D$8:$D446,FicheIlot),"")</f>
        <v/>
      </c>
    </row>
    <row r="447" spans="2:44" ht="18.95" customHeight="1" x14ac:dyDescent="0.25">
      <c r="B447" s="42" t="str">
        <f>IF(C447="","",COUNT($C$8:C447))</f>
        <v/>
      </c>
      <c r="C447" s="43"/>
      <c r="D447" s="44"/>
      <c r="E447" s="45" t="str">
        <f>IF($Z447="","",IF($F447=ApportCouvert,INDEX(Îlots!$I$8:$I$57,$Z447)&amp;"",INDEX(Îlots!$N$8:$N$57,$Z447)&amp;""))</f>
        <v/>
      </c>
      <c r="F447" s="44"/>
      <c r="G447" s="44"/>
      <c r="H447" s="46" t="str">
        <f>IF($AA447="","",INDEX(Fertilisants!$D$8:$D$47,$AA447)&amp;"")</f>
        <v/>
      </c>
      <c r="I447" s="47"/>
      <c r="J447" s="48"/>
      <c r="K447" s="46" t="str">
        <f>IF($AA447="","",INDEX(Fertilisants!$E$8:$E$47,$AA447)&amp;"")</f>
        <v/>
      </c>
      <c r="L447" s="49" t="str">
        <f t="shared" si="84"/>
        <v/>
      </c>
      <c r="M447" s="50" t="str">
        <f>IF(OR($J447="",$AA447=""),"",$J447*N(INDEX(Fertilisants!$G$8:$G$47,$AA447)))</f>
        <v/>
      </c>
      <c r="N447" s="50" t="str">
        <f>IF(OR($J447="",$AA447=""),"",$J447*N(INDEX(Fertilisants!$I$8:$I$47,$AA447)))</f>
        <v/>
      </c>
      <c r="O447" s="50" t="str">
        <f>IF(OR($J447="",$AA447=""),"",$J447*N(INDEX(Fertilisants!$J$8:$J$47,$AA447)))</f>
        <v/>
      </c>
      <c r="P447" s="50" t="str">
        <f>IF(OR($J447="",$AA447=""),"",$J447*N(INDEX(Fertilisants!$K$8:$K$47,$AA447)))</f>
        <v/>
      </c>
      <c r="Q447" s="50" t="str">
        <f t="shared" si="85"/>
        <v/>
      </c>
      <c r="R447" s="44"/>
      <c r="S447" s="44"/>
      <c r="T447" s="51"/>
      <c r="U447" s="44"/>
      <c r="V447" s="43"/>
      <c r="W447" s="52" t="str">
        <f t="shared" si="86"/>
        <v/>
      </c>
      <c r="X447" s="44"/>
      <c r="Z447" s="53" t="str">
        <f>IF($D447="","",IFERROR(MATCH($D447,Îlots!$D$8:$D$57,0),""))</f>
        <v/>
      </c>
      <c r="AA447" s="53" t="str">
        <f>IF($G447="","",IFERROR(MATCH($G447,Fertilisants!$B$8:$B$47,0),""))</f>
        <v/>
      </c>
      <c r="AB447" s="53" t="str">
        <f>IF($Z447="","",INDEX(Îlots!$E$8:$E$57,$Z447))</f>
        <v/>
      </c>
      <c r="AC447" s="53" t="str">
        <f>IF($Z447="","",INDEX(Îlots!$G$8:$G$57,$Z447)&amp;"")</f>
        <v/>
      </c>
      <c r="AD447" s="53" t="str">
        <f>IF($Z447="","",IF($F447=ApportCouvert,OccCouvert,INDEX(Îlots!$O$8:$O$57,$Z447)&amp;""))</f>
        <v/>
      </c>
      <c r="AE447" s="53" t="str">
        <f t="shared" si="87"/>
        <v/>
      </c>
      <c r="AF447" s="53" t="str">
        <f t="shared" si="88"/>
        <v/>
      </c>
      <c r="AG447" s="53" t="str">
        <f t="shared" si="89"/>
        <v/>
      </c>
      <c r="AH447" s="53">
        <f t="shared" si="90"/>
        <v>0</v>
      </c>
      <c r="AI447" s="53">
        <f t="shared" si="91"/>
        <v>0</v>
      </c>
      <c r="AJ447" s="53">
        <f t="shared" si="92"/>
        <v>0</v>
      </c>
      <c r="AK447" s="53">
        <f t="shared" si="93"/>
        <v>0</v>
      </c>
      <c r="AL447" s="53">
        <f t="shared" si="94"/>
        <v>0</v>
      </c>
      <c r="AM447" s="53">
        <f>IF($AA447="",0,IF(INDEX(Fertilisants!$C$8:$C$47,$AA447)="Effluent d'élevage",1,0))</f>
        <v>0</v>
      </c>
      <c r="AN447" s="53" t="str">
        <f>IF($AA447="","",IF(INDEX(Fertilisants!$C$8:$C$47,$AA447)="Engrais minéral","Minéral","Organique"))</f>
        <v/>
      </c>
      <c r="AO447" s="53" t="str">
        <f t="shared" si="95"/>
        <v/>
      </c>
      <c r="AP447" s="53" t="str">
        <f t="shared" si="96"/>
        <v/>
      </c>
      <c r="AQ447" s="53" t="str">
        <f t="shared" si="97"/>
        <v/>
      </c>
      <c r="AR447" s="53" t="str">
        <f>IF(AND($D447&lt;&gt;"",$D447=FicheIlot),COUNTIF($D$8:$D447,FicheIlot),"")</f>
        <v/>
      </c>
    </row>
    <row r="448" spans="2:44" ht="18.95" customHeight="1" x14ac:dyDescent="0.25">
      <c r="B448" s="42" t="str">
        <f>IF(C448="","",COUNT($C$8:C448))</f>
        <v/>
      </c>
      <c r="C448" s="43"/>
      <c r="D448" s="44"/>
      <c r="E448" s="45" t="str">
        <f>IF($Z448="","",IF($F448=ApportCouvert,INDEX(Îlots!$I$8:$I$57,$Z448)&amp;"",INDEX(Îlots!$N$8:$N$57,$Z448)&amp;""))</f>
        <v/>
      </c>
      <c r="F448" s="44"/>
      <c r="G448" s="44"/>
      <c r="H448" s="46" t="str">
        <f>IF($AA448="","",INDEX(Fertilisants!$D$8:$D$47,$AA448)&amp;"")</f>
        <v/>
      </c>
      <c r="I448" s="47"/>
      <c r="J448" s="48"/>
      <c r="K448" s="46" t="str">
        <f>IF($AA448="","",INDEX(Fertilisants!$E$8:$E$47,$AA448)&amp;"")</f>
        <v/>
      </c>
      <c r="L448" s="49" t="str">
        <f t="shared" si="84"/>
        <v/>
      </c>
      <c r="M448" s="50" t="str">
        <f>IF(OR($J448="",$AA448=""),"",$J448*N(INDEX(Fertilisants!$G$8:$G$47,$AA448)))</f>
        <v/>
      </c>
      <c r="N448" s="50" t="str">
        <f>IF(OR($J448="",$AA448=""),"",$J448*N(INDEX(Fertilisants!$I$8:$I$47,$AA448)))</f>
        <v/>
      </c>
      <c r="O448" s="50" t="str">
        <f>IF(OR($J448="",$AA448=""),"",$J448*N(INDEX(Fertilisants!$J$8:$J$47,$AA448)))</f>
        <v/>
      </c>
      <c r="P448" s="50" t="str">
        <f>IF(OR($J448="",$AA448=""),"",$J448*N(INDEX(Fertilisants!$K$8:$K$47,$AA448)))</f>
        <v/>
      </c>
      <c r="Q448" s="50" t="str">
        <f t="shared" si="85"/>
        <v/>
      </c>
      <c r="R448" s="44"/>
      <c r="S448" s="44"/>
      <c r="T448" s="51"/>
      <c r="U448" s="44"/>
      <c r="V448" s="43"/>
      <c r="W448" s="52" t="str">
        <f t="shared" si="86"/>
        <v/>
      </c>
      <c r="X448" s="44"/>
      <c r="Z448" s="53" t="str">
        <f>IF($D448="","",IFERROR(MATCH($D448,Îlots!$D$8:$D$57,0),""))</f>
        <v/>
      </c>
      <c r="AA448" s="53" t="str">
        <f>IF($G448="","",IFERROR(MATCH($G448,Fertilisants!$B$8:$B$47,0),""))</f>
        <v/>
      </c>
      <c r="AB448" s="53" t="str">
        <f>IF($Z448="","",INDEX(Îlots!$E$8:$E$57,$Z448))</f>
        <v/>
      </c>
      <c r="AC448" s="53" t="str">
        <f>IF($Z448="","",INDEX(Îlots!$G$8:$G$57,$Z448)&amp;"")</f>
        <v/>
      </c>
      <c r="AD448" s="53" t="str">
        <f>IF($Z448="","",IF($F448=ApportCouvert,OccCouvert,INDEX(Îlots!$O$8:$O$57,$Z448)&amp;""))</f>
        <v/>
      </c>
      <c r="AE448" s="53" t="str">
        <f t="shared" si="87"/>
        <v/>
      </c>
      <c r="AF448" s="53" t="str">
        <f t="shared" si="88"/>
        <v/>
      </c>
      <c r="AG448" s="53" t="str">
        <f t="shared" si="89"/>
        <v/>
      </c>
      <c r="AH448" s="53">
        <f t="shared" si="90"/>
        <v>0</v>
      </c>
      <c r="AI448" s="53">
        <f t="shared" si="91"/>
        <v>0</v>
      </c>
      <c r="AJ448" s="53">
        <f t="shared" si="92"/>
        <v>0</v>
      </c>
      <c r="AK448" s="53">
        <f t="shared" si="93"/>
        <v>0</v>
      </c>
      <c r="AL448" s="53">
        <f t="shared" si="94"/>
        <v>0</v>
      </c>
      <c r="AM448" s="53">
        <f>IF($AA448="",0,IF(INDEX(Fertilisants!$C$8:$C$47,$AA448)="Effluent d'élevage",1,0))</f>
        <v>0</v>
      </c>
      <c r="AN448" s="53" t="str">
        <f>IF($AA448="","",IF(INDEX(Fertilisants!$C$8:$C$47,$AA448)="Engrais minéral","Minéral","Organique"))</f>
        <v/>
      </c>
      <c r="AO448" s="53" t="str">
        <f t="shared" si="95"/>
        <v/>
      </c>
      <c r="AP448" s="53" t="str">
        <f t="shared" si="96"/>
        <v/>
      </c>
      <c r="AQ448" s="53" t="str">
        <f t="shared" si="97"/>
        <v/>
      </c>
      <c r="AR448" s="53" t="str">
        <f>IF(AND($D448&lt;&gt;"",$D448=FicheIlot),COUNTIF($D$8:$D448,FicheIlot),"")</f>
        <v/>
      </c>
    </row>
    <row r="449" spans="2:44" ht="18.95" customHeight="1" x14ac:dyDescent="0.25">
      <c r="B449" s="42" t="str">
        <f>IF(C449="","",COUNT($C$8:C449))</f>
        <v/>
      </c>
      <c r="C449" s="43"/>
      <c r="D449" s="44"/>
      <c r="E449" s="45" t="str">
        <f>IF($Z449="","",IF($F449=ApportCouvert,INDEX(Îlots!$I$8:$I$57,$Z449)&amp;"",INDEX(Îlots!$N$8:$N$57,$Z449)&amp;""))</f>
        <v/>
      </c>
      <c r="F449" s="44"/>
      <c r="G449" s="44"/>
      <c r="H449" s="46" t="str">
        <f>IF($AA449="","",INDEX(Fertilisants!$D$8:$D$47,$AA449)&amp;"")</f>
        <v/>
      </c>
      <c r="I449" s="47"/>
      <c r="J449" s="48"/>
      <c r="K449" s="46" t="str">
        <f>IF($AA449="","",INDEX(Fertilisants!$E$8:$E$47,$AA449)&amp;"")</f>
        <v/>
      </c>
      <c r="L449" s="49" t="str">
        <f t="shared" si="84"/>
        <v/>
      </c>
      <c r="M449" s="50" t="str">
        <f>IF(OR($J449="",$AA449=""),"",$J449*N(INDEX(Fertilisants!$G$8:$G$47,$AA449)))</f>
        <v/>
      </c>
      <c r="N449" s="50" t="str">
        <f>IF(OR($J449="",$AA449=""),"",$J449*N(INDEX(Fertilisants!$I$8:$I$47,$AA449)))</f>
        <v/>
      </c>
      <c r="O449" s="50" t="str">
        <f>IF(OR($J449="",$AA449=""),"",$J449*N(INDEX(Fertilisants!$J$8:$J$47,$AA449)))</f>
        <v/>
      </c>
      <c r="P449" s="50" t="str">
        <f>IF(OR($J449="",$AA449=""),"",$J449*N(INDEX(Fertilisants!$K$8:$K$47,$AA449)))</f>
        <v/>
      </c>
      <c r="Q449" s="50" t="str">
        <f t="shared" si="85"/>
        <v/>
      </c>
      <c r="R449" s="44"/>
      <c r="S449" s="44"/>
      <c r="T449" s="51"/>
      <c r="U449" s="44"/>
      <c r="V449" s="43"/>
      <c r="W449" s="52" t="str">
        <f t="shared" si="86"/>
        <v/>
      </c>
      <c r="X449" s="44"/>
      <c r="Z449" s="53" t="str">
        <f>IF($D449="","",IFERROR(MATCH($D449,Îlots!$D$8:$D$57,0),""))</f>
        <v/>
      </c>
      <c r="AA449" s="53" t="str">
        <f>IF($G449="","",IFERROR(MATCH($G449,Fertilisants!$B$8:$B$47,0),""))</f>
        <v/>
      </c>
      <c r="AB449" s="53" t="str">
        <f>IF($Z449="","",INDEX(Îlots!$E$8:$E$57,$Z449))</f>
        <v/>
      </c>
      <c r="AC449" s="53" t="str">
        <f>IF($Z449="","",INDEX(Îlots!$G$8:$G$57,$Z449)&amp;"")</f>
        <v/>
      </c>
      <c r="AD449" s="53" t="str">
        <f>IF($Z449="","",IF($F449=ApportCouvert,OccCouvert,INDEX(Îlots!$O$8:$O$57,$Z449)&amp;""))</f>
        <v/>
      </c>
      <c r="AE449" s="53" t="str">
        <f t="shared" si="87"/>
        <v/>
      </c>
      <c r="AF449" s="53" t="str">
        <f t="shared" si="88"/>
        <v/>
      </c>
      <c r="AG449" s="53" t="str">
        <f t="shared" si="89"/>
        <v/>
      </c>
      <c r="AH449" s="53">
        <f t="shared" si="90"/>
        <v>0</v>
      </c>
      <c r="AI449" s="53">
        <f t="shared" si="91"/>
        <v>0</v>
      </c>
      <c r="AJ449" s="53">
        <f t="shared" si="92"/>
        <v>0</v>
      </c>
      <c r="AK449" s="53">
        <f t="shared" si="93"/>
        <v>0</v>
      </c>
      <c r="AL449" s="53">
        <f t="shared" si="94"/>
        <v>0</v>
      </c>
      <c r="AM449" s="53">
        <f>IF($AA449="",0,IF(INDEX(Fertilisants!$C$8:$C$47,$AA449)="Effluent d'élevage",1,0))</f>
        <v>0</v>
      </c>
      <c r="AN449" s="53" t="str">
        <f>IF($AA449="","",IF(INDEX(Fertilisants!$C$8:$C$47,$AA449)="Engrais minéral","Minéral","Organique"))</f>
        <v/>
      </c>
      <c r="AO449" s="53" t="str">
        <f t="shared" si="95"/>
        <v/>
      </c>
      <c r="AP449" s="53" t="str">
        <f t="shared" si="96"/>
        <v/>
      </c>
      <c r="AQ449" s="53" t="str">
        <f t="shared" si="97"/>
        <v/>
      </c>
      <c r="AR449" s="53" t="str">
        <f>IF(AND($D449&lt;&gt;"",$D449=FicheIlot),COUNTIF($D$8:$D449,FicheIlot),"")</f>
        <v/>
      </c>
    </row>
    <row r="450" spans="2:44" ht="18.95" customHeight="1" x14ac:dyDescent="0.25">
      <c r="B450" s="42" t="str">
        <f>IF(C450="","",COUNT($C$8:C450))</f>
        <v/>
      </c>
      <c r="C450" s="43"/>
      <c r="D450" s="44"/>
      <c r="E450" s="45" t="str">
        <f>IF($Z450="","",IF($F450=ApportCouvert,INDEX(Îlots!$I$8:$I$57,$Z450)&amp;"",INDEX(Îlots!$N$8:$N$57,$Z450)&amp;""))</f>
        <v/>
      </c>
      <c r="F450" s="44"/>
      <c r="G450" s="44"/>
      <c r="H450" s="46" t="str">
        <f>IF($AA450="","",INDEX(Fertilisants!$D$8:$D$47,$AA450)&amp;"")</f>
        <v/>
      </c>
      <c r="I450" s="47"/>
      <c r="J450" s="48"/>
      <c r="K450" s="46" t="str">
        <f>IF($AA450="","",INDEX(Fertilisants!$E$8:$E$47,$AA450)&amp;"")</f>
        <v/>
      </c>
      <c r="L450" s="49" t="str">
        <f t="shared" si="84"/>
        <v/>
      </c>
      <c r="M450" s="50" t="str">
        <f>IF(OR($J450="",$AA450=""),"",$J450*N(INDEX(Fertilisants!$G$8:$G$47,$AA450)))</f>
        <v/>
      </c>
      <c r="N450" s="50" t="str">
        <f>IF(OR($J450="",$AA450=""),"",$J450*N(INDEX(Fertilisants!$I$8:$I$47,$AA450)))</f>
        <v/>
      </c>
      <c r="O450" s="50" t="str">
        <f>IF(OR($J450="",$AA450=""),"",$J450*N(INDEX(Fertilisants!$J$8:$J$47,$AA450)))</f>
        <v/>
      </c>
      <c r="P450" s="50" t="str">
        <f>IF(OR($J450="",$AA450=""),"",$J450*N(INDEX(Fertilisants!$K$8:$K$47,$AA450)))</f>
        <v/>
      </c>
      <c r="Q450" s="50" t="str">
        <f t="shared" si="85"/>
        <v/>
      </c>
      <c r="R450" s="44"/>
      <c r="S450" s="44"/>
      <c r="T450" s="51"/>
      <c r="U450" s="44"/>
      <c r="V450" s="43"/>
      <c r="W450" s="52" t="str">
        <f t="shared" si="86"/>
        <v/>
      </c>
      <c r="X450" s="44"/>
      <c r="Z450" s="53" t="str">
        <f>IF($D450="","",IFERROR(MATCH($D450,Îlots!$D$8:$D$57,0),""))</f>
        <v/>
      </c>
      <c r="AA450" s="53" t="str">
        <f>IF($G450="","",IFERROR(MATCH($G450,Fertilisants!$B$8:$B$47,0),""))</f>
        <v/>
      </c>
      <c r="AB450" s="53" t="str">
        <f>IF($Z450="","",INDEX(Îlots!$E$8:$E$57,$Z450))</f>
        <v/>
      </c>
      <c r="AC450" s="53" t="str">
        <f>IF($Z450="","",INDEX(Îlots!$G$8:$G$57,$Z450)&amp;"")</f>
        <v/>
      </c>
      <c r="AD450" s="53" t="str">
        <f>IF($Z450="","",IF($F450=ApportCouvert,OccCouvert,INDEX(Îlots!$O$8:$O$57,$Z450)&amp;""))</f>
        <v/>
      </c>
      <c r="AE450" s="53" t="str">
        <f t="shared" si="87"/>
        <v/>
      </c>
      <c r="AF450" s="53" t="str">
        <f t="shared" si="88"/>
        <v/>
      </c>
      <c r="AG450" s="53" t="str">
        <f t="shared" si="89"/>
        <v/>
      </c>
      <c r="AH450" s="53">
        <f t="shared" si="90"/>
        <v>0</v>
      </c>
      <c r="AI450" s="53">
        <f t="shared" si="91"/>
        <v>0</v>
      </c>
      <c r="AJ450" s="53">
        <f t="shared" si="92"/>
        <v>0</v>
      </c>
      <c r="AK450" s="53">
        <f t="shared" si="93"/>
        <v>0</v>
      </c>
      <c r="AL450" s="53">
        <f t="shared" si="94"/>
        <v>0</v>
      </c>
      <c r="AM450" s="53">
        <f>IF($AA450="",0,IF(INDEX(Fertilisants!$C$8:$C$47,$AA450)="Effluent d'élevage",1,0))</f>
        <v>0</v>
      </c>
      <c r="AN450" s="53" t="str">
        <f>IF($AA450="","",IF(INDEX(Fertilisants!$C$8:$C$47,$AA450)="Engrais minéral","Minéral","Organique"))</f>
        <v/>
      </c>
      <c r="AO450" s="53" t="str">
        <f t="shared" si="95"/>
        <v/>
      </c>
      <c r="AP450" s="53" t="str">
        <f t="shared" si="96"/>
        <v/>
      </c>
      <c r="AQ450" s="53" t="str">
        <f t="shared" si="97"/>
        <v/>
      </c>
      <c r="AR450" s="53" t="str">
        <f>IF(AND($D450&lt;&gt;"",$D450=FicheIlot),COUNTIF($D$8:$D450,FicheIlot),"")</f>
        <v/>
      </c>
    </row>
    <row r="451" spans="2:44" ht="18.95" customHeight="1" x14ac:dyDescent="0.25">
      <c r="B451" s="42" t="str">
        <f>IF(C451="","",COUNT($C$8:C451))</f>
        <v/>
      </c>
      <c r="C451" s="43"/>
      <c r="D451" s="44"/>
      <c r="E451" s="45" t="str">
        <f>IF($Z451="","",IF($F451=ApportCouvert,INDEX(Îlots!$I$8:$I$57,$Z451)&amp;"",INDEX(Îlots!$N$8:$N$57,$Z451)&amp;""))</f>
        <v/>
      </c>
      <c r="F451" s="44"/>
      <c r="G451" s="44"/>
      <c r="H451" s="46" t="str">
        <f>IF($AA451="","",INDEX(Fertilisants!$D$8:$D$47,$AA451)&amp;"")</f>
        <v/>
      </c>
      <c r="I451" s="47"/>
      <c r="J451" s="48"/>
      <c r="K451" s="46" t="str">
        <f>IF($AA451="","",INDEX(Fertilisants!$E$8:$E$47,$AA451)&amp;"")</f>
        <v/>
      </c>
      <c r="L451" s="49" t="str">
        <f t="shared" si="84"/>
        <v/>
      </c>
      <c r="M451" s="50" t="str">
        <f>IF(OR($J451="",$AA451=""),"",$J451*N(INDEX(Fertilisants!$G$8:$G$47,$AA451)))</f>
        <v/>
      </c>
      <c r="N451" s="50" t="str">
        <f>IF(OR($J451="",$AA451=""),"",$J451*N(INDEX(Fertilisants!$I$8:$I$47,$AA451)))</f>
        <v/>
      </c>
      <c r="O451" s="50" t="str">
        <f>IF(OR($J451="",$AA451=""),"",$J451*N(INDEX(Fertilisants!$J$8:$J$47,$AA451)))</f>
        <v/>
      </c>
      <c r="P451" s="50" t="str">
        <f>IF(OR($J451="",$AA451=""),"",$J451*N(INDEX(Fertilisants!$K$8:$K$47,$AA451)))</f>
        <v/>
      </c>
      <c r="Q451" s="50" t="str">
        <f t="shared" si="85"/>
        <v/>
      </c>
      <c r="R451" s="44"/>
      <c r="S451" s="44"/>
      <c r="T451" s="51"/>
      <c r="U451" s="44"/>
      <c r="V451" s="43"/>
      <c r="W451" s="52" t="str">
        <f t="shared" si="86"/>
        <v/>
      </c>
      <c r="X451" s="44"/>
      <c r="Z451" s="53" t="str">
        <f>IF($D451="","",IFERROR(MATCH($D451,Îlots!$D$8:$D$57,0),""))</f>
        <v/>
      </c>
      <c r="AA451" s="53" t="str">
        <f>IF($G451="","",IFERROR(MATCH($G451,Fertilisants!$B$8:$B$47,0),""))</f>
        <v/>
      </c>
      <c r="AB451" s="53" t="str">
        <f>IF($Z451="","",INDEX(Îlots!$E$8:$E$57,$Z451))</f>
        <v/>
      </c>
      <c r="AC451" s="53" t="str">
        <f>IF($Z451="","",INDEX(Îlots!$G$8:$G$57,$Z451)&amp;"")</f>
        <v/>
      </c>
      <c r="AD451" s="53" t="str">
        <f>IF($Z451="","",IF($F451=ApportCouvert,OccCouvert,INDEX(Îlots!$O$8:$O$57,$Z451)&amp;""))</f>
        <v/>
      </c>
      <c r="AE451" s="53" t="str">
        <f t="shared" si="87"/>
        <v/>
      </c>
      <c r="AF451" s="53" t="str">
        <f t="shared" si="88"/>
        <v/>
      </c>
      <c r="AG451" s="53" t="str">
        <f t="shared" si="89"/>
        <v/>
      </c>
      <c r="AH451" s="53">
        <f t="shared" si="90"/>
        <v>0</v>
      </c>
      <c r="AI451" s="53">
        <f t="shared" si="91"/>
        <v>0</v>
      </c>
      <c r="AJ451" s="53">
        <f t="shared" si="92"/>
        <v>0</v>
      </c>
      <c r="AK451" s="53">
        <f t="shared" si="93"/>
        <v>0</v>
      </c>
      <c r="AL451" s="53">
        <f t="shared" si="94"/>
        <v>0</v>
      </c>
      <c r="AM451" s="53">
        <f>IF($AA451="",0,IF(INDEX(Fertilisants!$C$8:$C$47,$AA451)="Effluent d'élevage",1,0))</f>
        <v>0</v>
      </c>
      <c r="AN451" s="53" t="str">
        <f>IF($AA451="","",IF(INDEX(Fertilisants!$C$8:$C$47,$AA451)="Engrais minéral","Minéral","Organique"))</f>
        <v/>
      </c>
      <c r="AO451" s="53" t="str">
        <f t="shared" si="95"/>
        <v/>
      </c>
      <c r="AP451" s="53" t="str">
        <f t="shared" si="96"/>
        <v/>
      </c>
      <c r="AQ451" s="53" t="str">
        <f t="shared" si="97"/>
        <v/>
      </c>
      <c r="AR451" s="53" t="str">
        <f>IF(AND($D451&lt;&gt;"",$D451=FicheIlot),COUNTIF($D$8:$D451,FicheIlot),"")</f>
        <v/>
      </c>
    </row>
    <row r="452" spans="2:44" ht="18.95" customHeight="1" x14ac:dyDescent="0.25">
      <c r="B452" s="42" t="str">
        <f>IF(C452="","",COUNT($C$8:C452))</f>
        <v/>
      </c>
      <c r="C452" s="43"/>
      <c r="D452" s="44"/>
      <c r="E452" s="45" t="str">
        <f>IF($Z452="","",IF($F452=ApportCouvert,INDEX(Îlots!$I$8:$I$57,$Z452)&amp;"",INDEX(Îlots!$N$8:$N$57,$Z452)&amp;""))</f>
        <v/>
      </c>
      <c r="F452" s="44"/>
      <c r="G452" s="44"/>
      <c r="H452" s="46" t="str">
        <f>IF($AA452="","",INDEX(Fertilisants!$D$8:$D$47,$AA452)&amp;"")</f>
        <v/>
      </c>
      <c r="I452" s="47"/>
      <c r="J452" s="48"/>
      <c r="K452" s="46" t="str">
        <f>IF($AA452="","",INDEX(Fertilisants!$E$8:$E$47,$AA452)&amp;"")</f>
        <v/>
      </c>
      <c r="L452" s="49" t="str">
        <f t="shared" si="84"/>
        <v/>
      </c>
      <c r="M452" s="50" t="str">
        <f>IF(OR($J452="",$AA452=""),"",$J452*N(INDEX(Fertilisants!$G$8:$G$47,$AA452)))</f>
        <v/>
      </c>
      <c r="N452" s="50" t="str">
        <f>IF(OR($J452="",$AA452=""),"",$J452*N(INDEX(Fertilisants!$I$8:$I$47,$AA452)))</f>
        <v/>
      </c>
      <c r="O452" s="50" t="str">
        <f>IF(OR($J452="",$AA452=""),"",$J452*N(INDEX(Fertilisants!$J$8:$J$47,$AA452)))</f>
        <v/>
      </c>
      <c r="P452" s="50" t="str">
        <f>IF(OR($J452="",$AA452=""),"",$J452*N(INDEX(Fertilisants!$K$8:$K$47,$AA452)))</f>
        <v/>
      </c>
      <c r="Q452" s="50" t="str">
        <f t="shared" si="85"/>
        <v/>
      </c>
      <c r="R452" s="44"/>
      <c r="S452" s="44"/>
      <c r="T452" s="51"/>
      <c r="U452" s="44"/>
      <c r="V452" s="43"/>
      <c r="W452" s="52" t="str">
        <f t="shared" si="86"/>
        <v/>
      </c>
      <c r="X452" s="44"/>
      <c r="Z452" s="53" t="str">
        <f>IF($D452="","",IFERROR(MATCH($D452,Îlots!$D$8:$D$57,0),""))</f>
        <v/>
      </c>
      <c r="AA452" s="53" t="str">
        <f>IF($G452="","",IFERROR(MATCH($G452,Fertilisants!$B$8:$B$47,0),""))</f>
        <v/>
      </c>
      <c r="AB452" s="53" t="str">
        <f>IF($Z452="","",INDEX(Îlots!$E$8:$E$57,$Z452))</f>
        <v/>
      </c>
      <c r="AC452" s="53" t="str">
        <f>IF($Z452="","",INDEX(Îlots!$G$8:$G$57,$Z452)&amp;"")</f>
        <v/>
      </c>
      <c r="AD452" s="53" t="str">
        <f>IF($Z452="","",IF($F452=ApportCouvert,OccCouvert,INDEX(Îlots!$O$8:$O$57,$Z452)&amp;""))</f>
        <v/>
      </c>
      <c r="AE452" s="53" t="str">
        <f t="shared" si="87"/>
        <v/>
      </c>
      <c r="AF452" s="53" t="str">
        <f t="shared" si="88"/>
        <v/>
      </c>
      <c r="AG452" s="53" t="str">
        <f t="shared" si="89"/>
        <v/>
      </c>
      <c r="AH452" s="53">
        <f t="shared" si="90"/>
        <v>0</v>
      </c>
      <c r="AI452" s="53">
        <f t="shared" si="91"/>
        <v>0</v>
      </c>
      <c r="AJ452" s="53">
        <f t="shared" si="92"/>
        <v>0</v>
      </c>
      <c r="AK452" s="53">
        <f t="shared" si="93"/>
        <v>0</v>
      </c>
      <c r="AL452" s="53">
        <f t="shared" si="94"/>
        <v>0</v>
      </c>
      <c r="AM452" s="53">
        <f>IF($AA452="",0,IF(INDEX(Fertilisants!$C$8:$C$47,$AA452)="Effluent d'élevage",1,0))</f>
        <v>0</v>
      </c>
      <c r="AN452" s="53" t="str">
        <f>IF($AA452="","",IF(INDEX(Fertilisants!$C$8:$C$47,$AA452)="Engrais minéral","Minéral","Organique"))</f>
        <v/>
      </c>
      <c r="AO452" s="53" t="str">
        <f t="shared" si="95"/>
        <v/>
      </c>
      <c r="AP452" s="53" t="str">
        <f t="shared" si="96"/>
        <v/>
      </c>
      <c r="AQ452" s="53" t="str">
        <f t="shared" si="97"/>
        <v/>
      </c>
      <c r="AR452" s="53" t="str">
        <f>IF(AND($D452&lt;&gt;"",$D452=FicheIlot),COUNTIF($D$8:$D452,FicheIlot),"")</f>
        <v/>
      </c>
    </row>
    <row r="453" spans="2:44" ht="18.95" customHeight="1" x14ac:dyDescent="0.25">
      <c r="B453" s="42" t="str">
        <f>IF(C453="","",COUNT($C$8:C453))</f>
        <v/>
      </c>
      <c r="C453" s="43"/>
      <c r="D453" s="44"/>
      <c r="E453" s="45" t="str">
        <f>IF($Z453="","",IF($F453=ApportCouvert,INDEX(Îlots!$I$8:$I$57,$Z453)&amp;"",INDEX(Îlots!$N$8:$N$57,$Z453)&amp;""))</f>
        <v/>
      </c>
      <c r="F453" s="44"/>
      <c r="G453" s="44"/>
      <c r="H453" s="46" t="str">
        <f>IF($AA453="","",INDEX(Fertilisants!$D$8:$D$47,$AA453)&amp;"")</f>
        <v/>
      </c>
      <c r="I453" s="47"/>
      <c r="J453" s="48"/>
      <c r="K453" s="46" t="str">
        <f>IF($AA453="","",INDEX(Fertilisants!$E$8:$E$47,$AA453)&amp;"")</f>
        <v/>
      </c>
      <c r="L453" s="49" t="str">
        <f t="shared" si="84"/>
        <v/>
      </c>
      <c r="M453" s="50" t="str">
        <f>IF(OR($J453="",$AA453=""),"",$J453*N(INDEX(Fertilisants!$G$8:$G$47,$AA453)))</f>
        <v/>
      </c>
      <c r="N453" s="50" t="str">
        <f>IF(OR($J453="",$AA453=""),"",$J453*N(INDEX(Fertilisants!$I$8:$I$47,$AA453)))</f>
        <v/>
      </c>
      <c r="O453" s="50" t="str">
        <f>IF(OR($J453="",$AA453=""),"",$J453*N(INDEX(Fertilisants!$J$8:$J$47,$AA453)))</f>
        <v/>
      </c>
      <c r="P453" s="50" t="str">
        <f>IF(OR($J453="",$AA453=""),"",$J453*N(INDEX(Fertilisants!$K$8:$K$47,$AA453)))</f>
        <v/>
      </c>
      <c r="Q453" s="50" t="str">
        <f t="shared" si="85"/>
        <v/>
      </c>
      <c r="R453" s="44"/>
      <c r="S453" s="44"/>
      <c r="T453" s="51"/>
      <c r="U453" s="44"/>
      <c r="V453" s="43"/>
      <c r="W453" s="52" t="str">
        <f t="shared" si="86"/>
        <v/>
      </c>
      <c r="X453" s="44"/>
      <c r="Z453" s="53" t="str">
        <f>IF($D453="","",IFERROR(MATCH($D453,Îlots!$D$8:$D$57,0),""))</f>
        <v/>
      </c>
      <c r="AA453" s="53" t="str">
        <f>IF($G453="","",IFERROR(MATCH($G453,Fertilisants!$B$8:$B$47,0),""))</f>
        <v/>
      </c>
      <c r="AB453" s="53" t="str">
        <f>IF($Z453="","",INDEX(Îlots!$E$8:$E$57,$Z453))</f>
        <v/>
      </c>
      <c r="AC453" s="53" t="str">
        <f>IF($Z453="","",INDEX(Îlots!$G$8:$G$57,$Z453)&amp;"")</f>
        <v/>
      </c>
      <c r="AD453" s="53" t="str">
        <f>IF($Z453="","",IF($F453=ApportCouvert,OccCouvert,INDEX(Îlots!$O$8:$O$57,$Z453)&amp;""))</f>
        <v/>
      </c>
      <c r="AE453" s="53" t="str">
        <f t="shared" si="87"/>
        <v/>
      </c>
      <c r="AF453" s="53" t="str">
        <f t="shared" si="88"/>
        <v/>
      </c>
      <c r="AG453" s="53" t="str">
        <f t="shared" si="89"/>
        <v/>
      </c>
      <c r="AH453" s="53">
        <f t="shared" si="90"/>
        <v>0</v>
      </c>
      <c r="AI453" s="53">
        <f t="shared" si="91"/>
        <v>0</v>
      </c>
      <c r="AJ453" s="53">
        <f t="shared" si="92"/>
        <v>0</v>
      </c>
      <c r="AK453" s="53">
        <f t="shared" si="93"/>
        <v>0</v>
      </c>
      <c r="AL453" s="53">
        <f t="shared" si="94"/>
        <v>0</v>
      </c>
      <c r="AM453" s="53">
        <f>IF($AA453="",0,IF(INDEX(Fertilisants!$C$8:$C$47,$AA453)="Effluent d'élevage",1,0))</f>
        <v>0</v>
      </c>
      <c r="AN453" s="53" t="str">
        <f>IF($AA453="","",IF(INDEX(Fertilisants!$C$8:$C$47,$AA453)="Engrais minéral","Minéral","Organique"))</f>
        <v/>
      </c>
      <c r="AO453" s="53" t="str">
        <f t="shared" si="95"/>
        <v/>
      </c>
      <c r="AP453" s="53" t="str">
        <f t="shared" si="96"/>
        <v/>
      </c>
      <c r="AQ453" s="53" t="str">
        <f t="shared" si="97"/>
        <v/>
      </c>
      <c r="AR453" s="53" t="str">
        <f>IF(AND($D453&lt;&gt;"",$D453=FicheIlot),COUNTIF($D$8:$D453,FicheIlot),"")</f>
        <v/>
      </c>
    </row>
    <row r="454" spans="2:44" ht="18.95" customHeight="1" x14ac:dyDescent="0.25">
      <c r="B454" s="42" t="str">
        <f>IF(C454="","",COUNT($C$8:C454))</f>
        <v/>
      </c>
      <c r="C454" s="43"/>
      <c r="D454" s="44"/>
      <c r="E454" s="45" t="str">
        <f>IF($Z454="","",IF($F454=ApportCouvert,INDEX(Îlots!$I$8:$I$57,$Z454)&amp;"",INDEX(Îlots!$N$8:$N$57,$Z454)&amp;""))</f>
        <v/>
      </c>
      <c r="F454" s="44"/>
      <c r="G454" s="44"/>
      <c r="H454" s="46" t="str">
        <f>IF($AA454="","",INDEX(Fertilisants!$D$8:$D$47,$AA454)&amp;"")</f>
        <v/>
      </c>
      <c r="I454" s="47"/>
      <c r="J454" s="48"/>
      <c r="K454" s="46" t="str">
        <f>IF($AA454="","",INDEX(Fertilisants!$E$8:$E$47,$AA454)&amp;"")</f>
        <v/>
      </c>
      <c r="L454" s="49" t="str">
        <f t="shared" si="84"/>
        <v/>
      </c>
      <c r="M454" s="50" t="str">
        <f>IF(OR($J454="",$AA454=""),"",$J454*N(INDEX(Fertilisants!$G$8:$G$47,$AA454)))</f>
        <v/>
      </c>
      <c r="N454" s="50" t="str">
        <f>IF(OR($J454="",$AA454=""),"",$J454*N(INDEX(Fertilisants!$I$8:$I$47,$AA454)))</f>
        <v/>
      </c>
      <c r="O454" s="50" t="str">
        <f>IF(OR($J454="",$AA454=""),"",$J454*N(INDEX(Fertilisants!$J$8:$J$47,$AA454)))</f>
        <v/>
      </c>
      <c r="P454" s="50" t="str">
        <f>IF(OR($J454="",$AA454=""),"",$J454*N(INDEX(Fertilisants!$K$8:$K$47,$AA454)))</f>
        <v/>
      </c>
      <c r="Q454" s="50" t="str">
        <f t="shared" si="85"/>
        <v/>
      </c>
      <c r="R454" s="44"/>
      <c r="S454" s="44"/>
      <c r="T454" s="51"/>
      <c r="U454" s="44"/>
      <c r="V454" s="43"/>
      <c r="W454" s="52" t="str">
        <f t="shared" si="86"/>
        <v/>
      </c>
      <c r="X454" s="44"/>
      <c r="Z454" s="53" t="str">
        <f>IF($D454="","",IFERROR(MATCH($D454,Îlots!$D$8:$D$57,0),""))</f>
        <v/>
      </c>
      <c r="AA454" s="53" t="str">
        <f>IF($G454="","",IFERROR(MATCH($G454,Fertilisants!$B$8:$B$47,0),""))</f>
        <v/>
      </c>
      <c r="AB454" s="53" t="str">
        <f>IF($Z454="","",INDEX(Îlots!$E$8:$E$57,$Z454))</f>
        <v/>
      </c>
      <c r="AC454" s="53" t="str">
        <f>IF($Z454="","",INDEX(Îlots!$G$8:$G$57,$Z454)&amp;"")</f>
        <v/>
      </c>
      <c r="AD454" s="53" t="str">
        <f>IF($Z454="","",IF($F454=ApportCouvert,OccCouvert,INDEX(Îlots!$O$8:$O$57,$Z454)&amp;""))</f>
        <v/>
      </c>
      <c r="AE454" s="53" t="str">
        <f t="shared" si="87"/>
        <v/>
      </c>
      <c r="AF454" s="53" t="str">
        <f t="shared" si="88"/>
        <v/>
      </c>
      <c r="AG454" s="53" t="str">
        <f t="shared" si="89"/>
        <v/>
      </c>
      <c r="AH454" s="53">
        <f t="shared" si="90"/>
        <v>0</v>
      </c>
      <c r="AI454" s="53">
        <f t="shared" si="91"/>
        <v>0</v>
      </c>
      <c r="AJ454" s="53">
        <f t="shared" si="92"/>
        <v>0</v>
      </c>
      <c r="AK454" s="53">
        <f t="shared" si="93"/>
        <v>0</v>
      </c>
      <c r="AL454" s="53">
        <f t="shared" si="94"/>
        <v>0</v>
      </c>
      <c r="AM454" s="53">
        <f>IF($AA454="",0,IF(INDEX(Fertilisants!$C$8:$C$47,$AA454)="Effluent d'élevage",1,0))</f>
        <v>0</v>
      </c>
      <c r="AN454" s="53" t="str">
        <f>IF($AA454="","",IF(INDEX(Fertilisants!$C$8:$C$47,$AA454)="Engrais minéral","Minéral","Organique"))</f>
        <v/>
      </c>
      <c r="AO454" s="53" t="str">
        <f t="shared" si="95"/>
        <v/>
      </c>
      <c r="AP454" s="53" t="str">
        <f t="shared" si="96"/>
        <v/>
      </c>
      <c r="AQ454" s="53" t="str">
        <f t="shared" si="97"/>
        <v/>
      </c>
      <c r="AR454" s="53" t="str">
        <f>IF(AND($D454&lt;&gt;"",$D454=FicheIlot),COUNTIF($D$8:$D454,FicheIlot),"")</f>
        <v/>
      </c>
    </row>
    <row r="455" spans="2:44" ht="18.95" customHeight="1" x14ac:dyDescent="0.25">
      <c r="B455" s="42" t="str">
        <f>IF(C455="","",COUNT($C$8:C455))</f>
        <v/>
      </c>
      <c r="C455" s="43"/>
      <c r="D455" s="44"/>
      <c r="E455" s="45" t="str">
        <f>IF($Z455="","",IF($F455=ApportCouvert,INDEX(Îlots!$I$8:$I$57,$Z455)&amp;"",INDEX(Îlots!$N$8:$N$57,$Z455)&amp;""))</f>
        <v/>
      </c>
      <c r="F455" s="44"/>
      <c r="G455" s="44"/>
      <c r="H455" s="46" t="str">
        <f>IF($AA455="","",INDEX(Fertilisants!$D$8:$D$47,$AA455)&amp;"")</f>
        <v/>
      </c>
      <c r="I455" s="47"/>
      <c r="J455" s="48"/>
      <c r="K455" s="46" t="str">
        <f>IF($AA455="","",INDEX(Fertilisants!$E$8:$E$47,$AA455)&amp;"")</f>
        <v/>
      </c>
      <c r="L455" s="49" t="str">
        <f t="shared" si="84"/>
        <v/>
      </c>
      <c r="M455" s="50" t="str">
        <f>IF(OR($J455="",$AA455=""),"",$J455*N(INDEX(Fertilisants!$G$8:$G$47,$AA455)))</f>
        <v/>
      </c>
      <c r="N455" s="50" t="str">
        <f>IF(OR($J455="",$AA455=""),"",$J455*N(INDEX(Fertilisants!$I$8:$I$47,$AA455)))</f>
        <v/>
      </c>
      <c r="O455" s="50" t="str">
        <f>IF(OR($J455="",$AA455=""),"",$J455*N(INDEX(Fertilisants!$J$8:$J$47,$AA455)))</f>
        <v/>
      </c>
      <c r="P455" s="50" t="str">
        <f>IF(OR($J455="",$AA455=""),"",$J455*N(INDEX(Fertilisants!$K$8:$K$47,$AA455)))</f>
        <v/>
      </c>
      <c r="Q455" s="50" t="str">
        <f t="shared" si="85"/>
        <v/>
      </c>
      <c r="R455" s="44"/>
      <c r="S455" s="44"/>
      <c r="T455" s="51"/>
      <c r="U455" s="44"/>
      <c r="V455" s="43"/>
      <c r="W455" s="52" t="str">
        <f t="shared" si="86"/>
        <v/>
      </c>
      <c r="X455" s="44"/>
      <c r="Z455" s="53" t="str">
        <f>IF($D455="","",IFERROR(MATCH($D455,Îlots!$D$8:$D$57,0),""))</f>
        <v/>
      </c>
      <c r="AA455" s="53" t="str">
        <f>IF($G455="","",IFERROR(MATCH($G455,Fertilisants!$B$8:$B$47,0),""))</f>
        <v/>
      </c>
      <c r="AB455" s="53" t="str">
        <f>IF($Z455="","",INDEX(Îlots!$E$8:$E$57,$Z455))</f>
        <v/>
      </c>
      <c r="AC455" s="53" t="str">
        <f>IF($Z455="","",INDEX(Îlots!$G$8:$G$57,$Z455)&amp;"")</f>
        <v/>
      </c>
      <c r="AD455" s="53" t="str">
        <f>IF($Z455="","",IF($F455=ApportCouvert,OccCouvert,INDEX(Îlots!$O$8:$O$57,$Z455)&amp;""))</f>
        <v/>
      </c>
      <c r="AE455" s="53" t="str">
        <f t="shared" si="87"/>
        <v/>
      </c>
      <c r="AF455" s="53" t="str">
        <f t="shared" si="88"/>
        <v/>
      </c>
      <c r="AG455" s="53" t="str">
        <f t="shared" si="89"/>
        <v/>
      </c>
      <c r="AH455" s="53">
        <f t="shared" si="90"/>
        <v>0</v>
      </c>
      <c r="AI455" s="53">
        <f t="shared" si="91"/>
        <v>0</v>
      </c>
      <c r="AJ455" s="53">
        <f t="shared" si="92"/>
        <v>0</v>
      </c>
      <c r="AK455" s="53">
        <f t="shared" si="93"/>
        <v>0</v>
      </c>
      <c r="AL455" s="53">
        <f t="shared" si="94"/>
        <v>0</v>
      </c>
      <c r="AM455" s="53">
        <f>IF($AA455="",0,IF(INDEX(Fertilisants!$C$8:$C$47,$AA455)="Effluent d'élevage",1,0))</f>
        <v>0</v>
      </c>
      <c r="AN455" s="53" t="str">
        <f>IF($AA455="","",IF(INDEX(Fertilisants!$C$8:$C$47,$AA455)="Engrais minéral","Minéral","Organique"))</f>
        <v/>
      </c>
      <c r="AO455" s="53" t="str">
        <f t="shared" si="95"/>
        <v/>
      </c>
      <c r="AP455" s="53" t="str">
        <f t="shared" si="96"/>
        <v/>
      </c>
      <c r="AQ455" s="53" t="str">
        <f t="shared" si="97"/>
        <v/>
      </c>
      <c r="AR455" s="53" t="str">
        <f>IF(AND($D455&lt;&gt;"",$D455=FicheIlot),COUNTIF($D$8:$D455,FicheIlot),"")</f>
        <v/>
      </c>
    </row>
    <row r="456" spans="2:44" ht="18.95" customHeight="1" x14ac:dyDescent="0.25">
      <c r="B456" s="42" t="str">
        <f>IF(C456="","",COUNT($C$8:C456))</f>
        <v/>
      </c>
      <c r="C456" s="43"/>
      <c r="D456" s="44"/>
      <c r="E456" s="45" t="str">
        <f>IF($Z456="","",IF($F456=ApportCouvert,INDEX(Îlots!$I$8:$I$57,$Z456)&amp;"",INDEX(Îlots!$N$8:$N$57,$Z456)&amp;""))</f>
        <v/>
      </c>
      <c r="F456" s="44"/>
      <c r="G456" s="44"/>
      <c r="H456" s="46" t="str">
        <f>IF($AA456="","",INDEX(Fertilisants!$D$8:$D$47,$AA456)&amp;"")</f>
        <v/>
      </c>
      <c r="I456" s="47"/>
      <c r="J456" s="48"/>
      <c r="K456" s="46" t="str">
        <f>IF($AA456="","",INDEX(Fertilisants!$E$8:$E$47,$AA456)&amp;"")</f>
        <v/>
      </c>
      <c r="L456" s="49" t="str">
        <f t="shared" ref="L456:L507" si="98">IF(OR($I456="",$J456=""),"",$I456*$J456)</f>
        <v/>
      </c>
      <c r="M456" s="50" t="str">
        <f>IF(OR($J456="",$AA456=""),"",$J456*N(INDEX(Fertilisants!$G$8:$G$47,$AA456)))</f>
        <v/>
      </c>
      <c r="N456" s="50" t="str">
        <f>IF(OR($J456="",$AA456=""),"",$J456*N(INDEX(Fertilisants!$I$8:$I$47,$AA456)))</f>
        <v/>
      </c>
      <c r="O456" s="50" t="str">
        <f>IF(OR($J456="",$AA456=""),"",$J456*N(INDEX(Fertilisants!$J$8:$J$47,$AA456)))</f>
        <v/>
      </c>
      <c r="P456" s="50" t="str">
        <f>IF(OR($J456="",$AA456=""),"",$J456*N(INDEX(Fertilisants!$K$8:$K$47,$AA456)))</f>
        <v/>
      </c>
      <c r="Q456" s="50" t="str">
        <f t="shared" ref="Q456:Q507" si="99">IF(OR($I456="",$M456=""),"",$I456*$M456)</f>
        <v/>
      </c>
      <c r="R456" s="44"/>
      <c r="S456" s="44"/>
      <c r="T456" s="51"/>
      <c r="U456" s="44"/>
      <c r="V456" s="43"/>
      <c r="W456" s="52" t="str">
        <f t="shared" ref="W456:W507" si="100">IF($C456="","",IF(OR($D456="",$G456="",$I456="",$J456=""),"Incomplet",IF(OR($R456="Enneigé",$R456="Détrempé",$R456="Inondé",AND($R456="Gelé",$H456&lt;&gt;"Type 0",$H456&lt;&gt;"Type Ia")),"Sol interdit",IF($AL456=1,"Période interdite",IF(AND(ISNUMBER($AB456),$I456&gt;$AB456+0.001),"Surface &gt; îlot",IF(OR($C456&lt;DebutCampagne,$C456&gt;FinCampagne),"Hors campagne",IF(AND(ISNUMBER($V456),$V456-$C456&gt;DelaiSaisie),"Saisie tardive","Conforme")))))))</f>
        <v/>
      </c>
      <c r="X456" s="44"/>
      <c r="Z456" s="53" t="str">
        <f>IF($D456="","",IFERROR(MATCH($D456,Îlots!$D$8:$D$57,0),""))</f>
        <v/>
      </c>
      <c r="AA456" s="53" t="str">
        <f>IF($G456="","",IFERROR(MATCH($G456,Fertilisants!$B$8:$B$47,0),""))</f>
        <v/>
      </c>
      <c r="AB456" s="53" t="str">
        <f>IF($Z456="","",INDEX(Îlots!$E$8:$E$57,$Z456))</f>
        <v/>
      </c>
      <c r="AC456" s="53" t="str">
        <f>IF($Z456="","",INDEX(Îlots!$G$8:$G$57,$Z456)&amp;"")</f>
        <v/>
      </c>
      <c r="AD456" s="53" t="str">
        <f>IF($Z456="","",IF($F456=ApportCouvert,OccCouvert,INDEX(Îlots!$O$8:$O$57,$Z456)&amp;""))</f>
        <v/>
      </c>
      <c r="AE456" s="53" t="str">
        <f t="shared" ref="AE456:AE507" si="101">IF(OR($AD456="",$AC456="Non",ZoneVulnerable="Non"),"",IFERROR(MATCH($AD456,CalOccupations,0),""))</f>
        <v/>
      </c>
      <c r="AF456" s="53" t="str">
        <f t="shared" ref="AF456:AF507" si="102">IF($H456="","",IFERROR(MATCH($H456,CalTypes,0),""))</f>
        <v/>
      </c>
      <c r="AG456" s="53" t="str">
        <f t="shared" ref="AG456:AG507" si="103">IF(ISNUMBER($C456),MONTH($C456)*100+DAY($C456),"")</f>
        <v/>
      </c>
      <c r="AH456" s="53">
        <f t="shared" ref="AH456:AH507" si="104">IF(OR($AE456="",$AF456=""),0,IF(N(INDEX(CalPrincipal,$AE456,$AF456+0))=0,0,MONTH(INDEX(CalPrincipal,$AE456,$AF456+0))*100+DAY(INDEX(CalPrincipal,$AE456,$AF456+0))))</f>
        <v>0</v>
      </c>
      <c r="AI456" s="53">
        <f t="shared" ref="AI456:AI507" si="105">IF(OR($AE456="",$AF456=""),0,IF(N(INDEX(CalPrincipal,$AE456,$AF456+1))=0,0,MONTH(INDEX(CalPrincipal,$AE456,$AF456+1))*100+DAY(INDEX(CalPrincipal,$AE456,$AF456+1))))</f>
        <v>0</v>
      </c>
      <c r="AJ456" s="53">
        <f t="shared" ref="AJ456:AJ507" si="106">IF(OR($AE456="",$AF456=""),0,IF(N(INDEX(CalComplement,$AE456,$AF456+0))=0,0,MONTH(INDEX(CalComplement,$AE456,$AF456+0))*100+DAY(INDEX(CalComplement,$AE456,$AF456+0))))</f>
        <v>0</v>
      </c>
      <c r="AK456" s="53">
        <f t="shared" ref="AK456:AK507" si="107">IF(OR($AE456="",$AF456=""),0,IF(N(INDEX(CalComplement,$AE456,$AF456+1))=0,0,MONTH(INDEX(CalComplement,$AE456,$AF456+1))*100+DAY(INDEX(CalComplement,$AE456,$AF456+1))))</f>
        <v>0</v>
      </c>
      <c r="AL456" s="53">
        <f t="shared" ref="AL456:AL507" si="108">IF(OR($AE456="",$AF456="",$AG456=""),0,IF(OR(AND($AH456&gt;0,IF($AH456&lt;=$AI456,AND($AG456&gt;=$AH456,$AG456&lt;=$AI456),OR($AG456&gt;=$AH456,$AG456&lt;=$AI456))),AND($AJ456&gt;0,IF($AJ456&lt;=$AK456,AND($AG456&gt;=$AJ456,$AG456&lt;=$AK456),OR($AG456&gt;=$AJ456,$AG456&lt;=$AK456)))),1,0))</f>
        <v>0</v>
      </c>
      <c r="AM456" s="53">
        <f>IF($AA456="",0,IF(INDEX(Fertilisants!$C$8:$C$47,$AA456)="Effluent d'élevage",1,0))</f>
        <v>0</v>
      </c>
      <c r="AN456" s="53" t="str">
        <f>IF($AA456="","",IF(INDEX(Fertilisants!$C$8:$C$47,$AA456)="Engrais minéral","Minéral","Organique"))</f>
        <v/>
      </c>
      <c r="AO456" s="53" t="str">
        <f t="shared" ref="AO456:AO507" si="109">IF(OR($I456="",$N456=""),"",$I456*$N456)</f>
        <v/>
      </c>
      <c r="AP456" s="53" t="str">
        <f t="shared" ref="AP456:AP507" si="110">IF(OR($I456="",$O456=""),"",$I456*$O456)</f>
        <v/>
      </c>
      <c r="AQ456" s="53" t="str">
        <f t="shared" ref="AQ456:AQ507" si="111">IF(OR($I456="",$P456=""),"",$I456*$P456)</f>
        <v/>
      </c>
      <c r="AR456" s="53" t="str">
        <f>IF(AND($D456&lt;&gt;"",$D456=FicheIlot),COUNTIF($D$8:$D456,FicheIlot),"")</f>
        <v/>
      </c>
    </row>
    <row r="457" spans="2:44" ht="18.95" customHeight="1" x14ac:dyDescent="0.25">
      <c r="B457" s="42" t="str">
        <f>IF(C457="","",COUNT($C$8:C457))</f>
        <v/>
      </c>
      <c r="C457" s="43"/>
      <c r="D457" s="44"/>
      <c r="E457" s="45" t="str">
        <f>IF($Z457="","",IF($F457=ApportCouvert,INDEX(Îlots!$I$8:$I$57,$Z457)&amp;"",INDEX(Îlots!$N$8:$N$57,$Z457)&amp;""))</f>
        <v/>
      </c>
      <c r="F457" s="44"/>
      <c r="G457" s="44"/>
      <c r="H457" s="46" t="str">
        <f>IF($AA457="","",INDEX(Fertilisants!$D$8:$D$47,$AA457)&amp;"")</f>
        <v/>
      </c>
      <c r="I457" s="47"/>
      <c r="J457" s="48"/>
      <c r="K457" s="46" t="str">
        <f>IF($AA457="","",INDEX(Fertilisants!$E$8:$E$47,$AA457)&amp;"")</f>
        <v/>
      </c>
      <c r="L457" s="49" t="str">
        <f t="shared" si="98"/>
        <v/>
      </c>
      <c r="M457" s="50" t="str">
        <f>IF(OR($J457="",$AA457=""),"",$J457*N(INDEX(Fertilisants!$G$8:$G$47,$AA457)))</f>
        <v/>
      </c>
      <c r="N457" s="50" t="str">
        <f>IF(OR($J457="",$AA457=""),"",$J457*N(INDEX(Fertilisants!$I$8:$I$47,$AA457)))</f>
        <v/>
      </c>
      <c r="O457" s="50" t="str">
        <f>IF(OR($J457="",$AA457=""),"",$J457*N(INDEX(Fertilisants!$J$8:$J$47,$AA457)))</f>
        <v/>
      </c>
      <c r="P457" s="50" t="str">
        <f>IF(OR($J457="",$AA457=""),"",$J457*N(INDEX(Fertilisants!$K$8:$K$47,$AA457)))</f>
        <v/>
      </c>
      <c r="Q457" s="50" t="str">
        <f t="shared" si="99"/>
        <v/>
      </c>
      <c r="R457" s="44"/>
      <c r="S457" s="44"/>
      <c r="T457" s="51"/>
      <c r="U457" s="44"/>
      <c r="V457" s="43"/>
      <c r="W457" s="52" t="str">
        <f t="shared" si="100"/>
        <v/>
      </c>
      <c r="X457" s="44"/>
      <c r="Z457" s="53" t="str">
        <f>IF($D457="","",IFERROR(MATCH($D457,Îlots!$D$8:$D$57,0),""))</f>
        <v/>
      </c>
      <c r="AA457" s="53" t="str">
        <f>IF($G457="","",IFERROR(MATCH($G457,Fertilisants!$B$8:$B$47,0),""))</f>
        <v/>
      </c>
      <c r="AB457" s="53" t="str">
        <f>IF($Z457="","",INDEX(Îlots!$E$8:$E$57,$Z457))</f>
        <v/>
      </c>
      <c r="AC457" s="53" t="str">
        <f>IF($Z457="","",INDEX(Îlots!$G$8:$G$57,$Z457)&amp;"")</f>
        <v/>
      </c>
      <c r="AD457" s="53" t="str">
        <f>IF($Z457="","",IF($F457=ApportCouvert,OccCouvert,INDEX(Îlots!$O$8:$O$57,$Z457)&amp;""))</f>
        <v/>
      </c>
      <c r="AE457" s="53" t="str">
        <f t="shared" si="101"/>
        <v/>
      </c>
      <c r="AF457" s="53" t="str">
        <f t="shared" si="102"/>
        <v/>
      </c>
      <c r="AG457" s="53" t="str">
        <f t="shared" si="103"/>
        <v/>
      </c>
      <c r="AH457" s="53">
        <f t="shared" si="104"/>
        <v>0</v>
      </c>
      <c r="AI457" s="53">
        <f t="shared" si="105"/>
        <v>0</v>
      </c>
      <c r="AJ457" s="53">
        <f t="shared" si="106"/>
        <v>0</v>
      </c>
      <c r="AK457" s="53">
        <f t="shared" si="107"/>
        <v>0</v>
      </c>
      <c r="AL457" s="53">
        <f t="shared" si="108"/>
        <v>0</v>
      </c>
      <c r="AM457" s="53">
        <f>IF($AA457="",0,IF(INDEX(Fertilisants!$C$8:$C$47,$AA457)="Effluent d'élevage",1,0))</f>
        <v>0</v>
      </c>
      <c r="AN457" s="53" t="str">
        <f>IF($AA457="","",IF(INDEX(Fertilisants!$C$8:$C$47,$AA457)="Engrais minéral","Minéral","Organique"))</f>
        <v/>
      </c>
      <c r="AO457" s="53" t="str">
        <f t="shared" si="109"/>
        <v/>
      </c>
      <c r="AP457" s="53" t="str">
        <f t="shared" si="110"/>
        <v/>
      </c>
      <c r="AQ457" s="53" t="str">
        <f t="shared" si="111"/>
        <v/>
      </c>
      <c r="AR457" s="53" t="str">
        <f>IF(AND($D457&lt;&gt;"",$D457=FicheIlot),COUNTIF($D$8:$D457,FicheIlot),"")</f>
        <v/>
      </c>
    </row>
    <row r="458" spans="2:44" ht="18.95" customHeight="1" x14ac:dyDescent="0.25">
      <c r="B458" s="42" t="str">
        <f>IF(C458="","",COUNT($C$8:C458))</f>
        <v/>
      </c>
      <c r="C458" s="43"/>
      <c r="D458" s="44"/>
      <c r="E458" s="45" t="str">
        <f>IF($Z458="","",IF($F458=ApportCouvert,INDEX(Îlots!$I$8:$I$57,$Z458)&amp;"",INDEX(Îlots!$N$8:$N$57,$Z458)&amp;""))</f>
        <v/>
      </c>
      <c r="F458" s="44"/>
      <c r="G458" s="44"/>
      <c r="H458" s="46" t="str">
        <f>IF($AA458="","",INDEX(Fertilisants!$D$8:$D$47,$AA458)&amp;"")</f>
        <v/>
      </c>
      <c r="I458" s="47"/>
      <c r="J458" s="48"/>
      <c r="K458" s="46" t="str">
        <f>IF($AA458="","",INDEX(Fertilisants!$E$8:$E$47,$AA458)&amp;"")</f>
        <v/>
      </c>
      <c r="L458" s="49" t="str">
        <f t="shared" si="98"/>
        <v/>
      </c>
      <c r="M458" s="50" t="str">
        <f>IF(OR($J458="",$AA458=""),"",$J458*N(INDEX(Fertilisants!$G$8:$G$47,$AA458)))</f>
        <v/>
      </c>
      <c r="N458" s="50" t="str">
        <f>IF(OR($J458="",$AA458=""),"",$J458*N(INDEX(Fertilisants!$I$8:$I$47,$AA458)))</f>
        <v/>
      </c>
      <c r="O458" s="50" t="str">
        <f>IF(OR($J458="",$AA458=""),"",$J458*N(INDEX(Fertilisants!$J$8:$J$47,$AA458)))</f>
        <v/>
      </c>
      <c r="P458" s="50" t="str">
        <f>IF(OR($J458="",$AA458=""),"",$J458*N(INDEX(Fertilisants!$K$8:$K$47,$AA458)))</f>
        <v/>
      </c>
      <c r="Q458" s="50" t="str">
        <f t="shared" si="99"/>
        <v/>
      </c>
      <c r="R458" s="44"/>
      <c r="S458" s="44"/>
      <c r="T458" s="51"/>
      <c r="U458" s="44"/>
      <c r="V458" s="43"/>
      <c r="W458" s="52" t="str">
        <f t="shared" si="100"/>
        <v/>
      </c>
      <c r="X458" s="44"/>
      <c r="Z458" s="53" t="str">
        <f>IF($D458="","",IFERROR(MATCH($D458,Îlots!$D$8:$D$57,0),""))</f>
        <v/>
      </c>
      <c r="AA458" s="53" t="str">
        <f>IF($G458="","",IFERROR(MATCH($G458,Fertilisants!$B$8:$B$47,0),""))</f>
        <v/>
      </c>
      <c r="AB458" s="53" t="str">
        <f>IF($Z458="","",INDEX(Îlots!$E$8:$E$57,$Z458))</f>
        <v/>
      </c>
      <c r="AC458" s="53" t="str">
        <f>IF($Z458="","",INDEX(Îlots!$G$8:$G$57,$Z458)&amp;"")</f>
        <v/>
      </c>
      <c r="AD458" s="53" t="str">
        <f>IF($Z458="","",IF($F458=ApportCouvert,OccCouvert,INDEX(Îlots!$O$8:$O$57,$Z458)&amp;""))</f>
        <v/>
      </c>
      <c r="AE458" s="53" t="str">
        <f t="shared" si="101"/>
        <v/>
      </c>
      <c r="AF458" s="53" t="str">
        <f t="shared" si="102"/>
        <v/>
      </c>
      <c r="AG458" s="53" t="str">
        <f t="shared" si="103"/>
        <v/>
      </c>
      <c r="AH458" s="53">
        <f t="shared" si="104"/>
        <v>0</v>
      </c>
      <c r="AI458" s="53">
        <f t="shared" si="105"/>
        <v>0</v>
      </c>
      <c r="AJ458" s="53">
        <f t="shared" si="106"/>
        <v>0</v>
      </c>
      <c r="AK458" s="53">
        <f t="shared" si="107"/>
        <v>0</v>
      </c>
      <c r="AL458" s="53">
        <f t="shared" si="108"/>
        <v>0</v>
      </c>
      <c r="AM458" s="53">
        <f>IF($AA458="",0,IF(INDEX(Fertilisants!$C$8:$C$47,$AA458)="Effluent d'élevage",1,0))</f>
        <v>0</v>
      </c>
      <c r="AN458" s="53" t="str">
        <f>IF($AA458="","",IF(INDEX(Fertilisants!$C$8:$C$47,$AA458)="Engrais minéral","Minéral","Organique"))</f>
        <v/>
      </c>
      <c r="AO458" s="53" t="str">
        <f t="shared" si="109"/>
        <v/>
      </c>
      <c r="AP458" s="53" t="str">
        <f t="shared" si="110"/>
        <v/>
      </c>
      <c r="AQ458" s="53" t="str">
        <f t="shared" si="111"/>
        <v/>
      </c>
      <c r="AR458" s="53" t="str">
        <f>IF(AND($D458&lt;&gt;"",$D458=FicheIlot),COUNTIF($D$8:$D458,FicheIlot),"")</f>
        <v/>
      </c>
    </row>
    <row r="459" spans="2:44" ht="18.95" customHeight="1" x14ac:dyDescent="0.25">
      <c r="B459" s="42" t="str">
        <f>IF(C459="","",COUNT($C$8:C459))</f>
        <v/>
      </c>
      <c r="C459" s="43"/>
      <c r="D459" s="44"/>
      <c r="E459" s="45" t="str">
        <f>IF($Z459="","",IF($F459=ApportCouvert,INDEX(Îlots!$I$8:$I$57,$Z459)&amp;"",INDEX(Îlots!$N$8:$N$57,$Z459)&amp;""))</f>
        <v/>
      </c>
      <c r="F459" s="44"/>
      <c r="G459" s="44"/>
      <c r="H459" s="46" t="str">
        <f>IF($AA459="","",INDEX(Fertilisants!$D$8:$D$47,$AA459)&amp;"")</f>
        <v/>
      </c>
      <c r="I459" s="47"/>
      <c r="J459" s="48"/>
      <c r="K459" s="46" t="str">
        <f>IF($AA459="","",INDEX(Fertilisants!$E$8:$E$47,$AA459)&amp;"")</f>
        <v/>
      </c>
      <c r="L459" s="49" t="str">
        <f t="shared" si="98"/>
        <v/>
      </c>
      <c r="M459" s="50" t="str">
        <f>IF(OR($J459="",$AA459=""),"",$J459*N(INDEX(Fertilisants!$G$8:$G$47,$AA459)))</f>
        <v/>
      </c>
      <c r="N459" s="50" t="str">
        <f>IF(OR($J459="",$AA459=""),"",$J459*N(INDEX(Fertilisants!$I$8:$I$47,$AA459)))</f>
        <v/>
      </c>
      <c r="O459" s="50" t="str">
        <f>IF(OR($J459="",$AA459=""),"",$J459*N(INDEX(Fertilisants!$J$8:$J$47,$AA459)))</f>
        <v/>
      </c>
      <c r="P459" s="50" t="str">
        <f>IF(OR($J459="",$AA459=""),"",$J459*N(INDEX(Fertilisants!$K$8:$K$47,$AA459)))</f>
        <v/>
      </c>
      <c r="Q459" s="50" t="str">
        <f t="shared" si="99"/>
        <v/>
      </c>
      <c r="R459" s="44"/>
      <c r="S459" s="44"/>
      <c r="T459" s="51"/>
      <c r="U459" s="44"/>
      <c r="V459" s="43"/>
      <c r="W459" s="52" t="str">
        <f t="shared" si="100"/>
        <v/>
      </c>
      <c r="X459" s="44"/>
      <c r="Z459" s="53" t="str">
        <f>IF($D459="","",IFERROR(MATCH($D459,Îlots!$D$8:$D$57,0),""))</f>
        <v/>
      </c>
      <c r="AA459" s="53" t="str">
        <f>IF($G459="","",IFERROR(MATCH($G459,Fertilisants!$B$8:$B$47,0),""))</f>
        <v/>
      </c>
      <c r="AB459" s="53" t="str">
        <f>IF($Z459="","",INDEX(Îlots!$E$8:$E$57,$Z459))</f>
        <v/>
      </c>
      <c r="AC459" s="53" t="str">
        <f>IF($Z459="","",INDEX(Îlots!$G$8:$G$57,$Z459)&amp;"")</f>
        <v/>
      </c>
      <c r="AD459" s="53" t="str">
        <f>IF($Z459="","",IF($F459=ApportCouvert,OccCouvert,INDEX(Îlots!$O$8:$O$57,$Z459)&amp;""))</f>
        <v/>
      </c>
      <c r="AE459" s="53" t="str">
        <f t="shared" si="101"/>
        <v/>
      </c>
      <c r="AF459" s="53" t="str">
        <f t="shared" si="102"/>
        <v/>
      </c>
      <c r="AG459" s="53" t="str">
        <f t="shared" si="103"/>
        <v/>
      </c>
      <c r="AH459" s="53">
        <f t="shared" si="104"/>
        <v>0</v>
      </c>
      <c r="AI459" s="53">
        <f t="shared" si="105"/>
        <v>0</v>
      </c>
      <c r="AJ459" s="53">
        <f t="shared" si="106"/>
        <v>0</v>
      </c>
      <c r="AK459" s="53">
        <f t="shared" si="107"/>
        <v>0</v>
      </c>
      <c r="AL459" s="53">
        <f t="shared" si="108"/>
        <v>0</v>
      </c>
      <c r="AM459" s="53">
        <f>IF($AA459="",0,IF(INDEX(Fertilisants!$C$8:$C$47,$AA459)="Effluent d'élevage",1,0))</f>
        <v>0</v>
      </c>
      <c r="AN459" s="53" t="str">
        <f>IF($AA459="","",IF(INDEX(Fertilisants!$C$8:$C$47,$AA459)="Engrais minéral","Minéral","Organique"))</f>
        <v/>
      </c>
      <c r="AO459" s="53" t="str">
        <f t="shared" si="109"/>
        <v/>
      </c>
      <c r="AP459" s="53" t="str">
        <f t="shared" si="110"/>
        <v/>
      </c>
      <c r="AQ459" s="53" t="str">
        <f t="shared" si="111"/>
        <v/>
      </c>
      <c r="AR459" s="53" t="str">
        <f>IF(AND($D459&lt;&gt;"",$D459=FicheIlot),COUNTIF($D$8:$D459,FicheIlot),"")</f>
        <v/>
      </c>
    </row>
    <row r="460" spans="2:44" ht="18.95" customHeight="1" x14ac:dyDescent="0.25">
      <c r="B460" s="42" t="str">
        <f>IF(C460="","",COUNT($C$8:C460))</f>
        <v/>
      </c>
      <c r="C460" s="43"/>
      <c r="D460" s="44"/>
      <c r="E460" s="45" t="str">
        <f>IF($Z460="","",IF($F460=ApportCouvert,INDEX(Îlots!$I$8:$I$57,$Z460)&amp;"",INDEX(Îlots!$N$8:$N$57,$Z460)&amp;""))</f>
        <v/>
      </c>
      <c r="F460" s="44"/>
      <c r="G460" s="44"/>
      <c r="H460" s="46" t="str">
        <f>IF($AA460="","",INDEX(Fertilisants!$D$8:$D$47,$AA460)&amp;"")</f>
        <v/>
      </c>
      <c r="I460" s="47"/>
      <c r="J460" s="48"/>
      <c r="K460" s="46" t="str">
        <f>IF($AA460="","",INDEX(Fertilisants!$E$8:$E$47,$AA460)&amp;"")</f>
        <v/>
      </c>
      <c r="L460" s="49" t="str">
        <f t="shared" si="98"/>
        <v/>
      </c>
      <c r="M460" s="50" t="str">
        <f>IF(OR($J460="",$AA460=""),"",$J460*N(INDEX(Fertilisants!$G$8:$G$47,$AA460)))</f>
        <v/>
      </c>
      <c r="N460" s="50" t="str">
        <f>IF(OR($J460="",$AA460=""),"",$J460*N(INDEX(Fertilisants!$I$8:$I$47,$AA460)))</f>
        <v/>
      </c>
      <c r="O460" s="50" t="str">
        <f>IF(OR($J460="",$AA460=""),"",$J460*N(INDEX(Fertilisants!$J$8:$J$47,$AA460)))</f>
        <v/>
      </c>
      <c r="P460" s="50" t="str">
        <f>IF(OR($J460="",$AA460=""),"",$J460*N(INDEX(Fertilisants!$K$8:$K$47,$AA460)))</f>
        <v/>
      </c>
      <c r="Q460" s="50" t="str">
        <f t="shared" si="99"/>
        <v/>
      </c>
      <c r="R460" s="44"/>
      <c r="S460" s="44"/>
      <c r="T460" s="51"/>
      <c r="U460" s="44"/>
      <c r="V460" s="43"/>
      <c r="W460" s="52" t="str">
        <f t="shared" si="100"/>
        <v/>
      </c>
      <c r="X460" s="44"/>
      <c r="Z460" s="53" t="str">
        <f>IF($D460="","",IFERROR(MATCH($D460,Îlots!$D$8:$D$57,0),""))</f>
        <v/>
      </c>
      <c r="AA460" s="53" t="str">
        <f>IF($G460="","",IFERROR(MATCH($G460,Fertilisants!$B$8:$B$47,0),""))</f>
        <v/>
      </c>
      <c r="AB460" s="53" t="str">
        <f>IF($Z460="","",INDEX(Îlots!$E$8:$E$57,$Z460))</f>
        <v/>
      </c>
      <c r="AC460" s="53" t="str">
        <f>IF($Z460="","",INDEX(Îlots!$G$8:$G$57,$Z460)&amp;"")</f>
        <v/>
      </c>
      <c r="AD460" s="53" t="str">
        <f>IF($Z460="","",IF($F460=ApportCouvert,OccCouvert,INDEX(Îlots!$O$8:$O$57,$Z460)&amp;""))</f>
        <v/>
      </c>
      <c r="AE460" s="53" t="str">
        <f t="shared" si="101"/>
        <v/>
      </c>
      <c r="AF460" s="53" t="str">
        <f t="shared" si="102"/>
        <v/>
      </c>
      <c r="AG460" s="53" t="str">
        <f t="shared" si="103"/>
        <v/>
      </c>
      <c r="AH460" s="53">
        <f t="shared" si="104"/>
        <v>0</v>
      </c>
      <c r="AI460" s="53">
        <f t="shared" si="105"/>
        <v>0</v>
      </c>
      <c r="AJ460" s="53">
        <f t="shared" si="106"/>
        <v>0</v>
      </c>
      <c r="AK460" s="53">
        <f t="shared" si="107"/>
        <v>0</v>
      </c>
      <c r="AL460" s="53">
        <f t="shared" si="108"/>
        <v>0</v>
      </c>
      <c r="AM460" s="53">
        <f>IF($AA460="",0,IF(INDEX(Fertilisants!$C$8:$C$47,$AA460)="Effluent d'élevage",1,0))</f>
        <v>0</v>
      </c>
      <c r="AN460" s="53" t="str">
        <f>IF($AA460="","",IF(INDEX(Fertilisants!$C$8:$C$47,$AA460)="Engrais minéral","Minéral","Organique"))</f>
        <v/>
      </c>
      <c r="AO460" s="53" t="str">
        <f t="shared" si="109"/>
        <v/>
      </c>
      <c r="AP460" s="53" t="str">
        <f t="shared" si="110"/>
        <v/>
      </c>
      <c r="AQ460" s="53" t="str">
        <f t="shared" si="111"/>
        <v/>
      </c>
      <c r="AR460" s="53" t="str">
        <f>IF(AND($D460&lt;&gt;"",$D460=FicheIlot),COUNTIF($D$8:$D460,FicheIlot),"")</f>
        <v/>
      </c>
    </row>
    <row r="461" spans="2:44" ht="18.95" customHeight="1" x14ac:dyDescent="0.25">
      <c r="B461" s="42" t="str">
        <f>IF(C461="","",COUNT($C$8:C461))</f>
        <v/>
      </c>
      <c r="C461" s="43"/>
      <c r="D461" s="44"/>
      <c r="E461" s="45" t="str">
        <f>IF($Z461="","",IF($F461=ApportCouvert,INDEX(Îlots!$I$8:$I$57,$Z461)&amp;"",INDEX(Îlots!$N$8:$N$57,$Z461)&amp;""))</f>
        <v/>
      </c>
      <c r="F461" s="44"/>
      <c r="G461" s="44"/>
      <c r="H461" s="46" t="str">
        <f>IF($AA461="","",INDEX(Fertilisants!$D$8:$D$47,$AA461)&amp;"")</f>
        <v/>
      </c>
      <c r="I461" s="47"/>
      <c r="J461" s="48"/>
      <c r="K461" s="46" t="str">
        <f>IF($AA461="","",INDEX(Fertilisants!$E$8:$E$47,$AA461)&amp;"")</f>
        <v/>
      </c>
      <c r="L461" s="49" t="str">
        <f t="shared" si="98"/>
        <v/>
      </c>
      <c r="M461" s="50" t="str">
        <f>IF(OR($J461="",$AA461=""),"",$J461*N(INDEX(Fertilisants!$G$8:$G$47,$AA461)))</f>
        <v/>
      </c>
      <c r="N461" s="50" t="str">
        <f>IF(OR($J461="",$AA461=""),"",$J461*N(INDEX(Fertilisants!$I$8:$I$47,$AA461)))</f>
        <v/>
      </c>
      <c r="O461" s="50" t="str">
        <f>IF(OR($J461="",$AA461=""),"",$J461*N(INDEX(Fertilisants!$J$8:$J$47,$AA461)))</f>
        <v/>
      </c>
      <c r="P461" s="50" t="str">
        <f>IF(OR($J461="",$AA461=""),"",$J461*N(INDEX(Fertilisants!$K$8:$K$47,$AA461)))</f>
        <v/>
      </c>
      <c r="Q461" s="50" t="str">
        <f t="shared" si="99"/>
        <v/>
      </c>
      <c r="R461" s="44"/>
      <c r="S461" s="44"/>
      <c r="T461" s="51"/>
      <c r="U461" s="44"/>
      <c r="V461" s="43"/>
      <c r="W461" s="52" t="str">
        <f t="shared" si="100"/>
        <v/>
      </c>
      <c r="X461" s="44"/>
      <c r="Z461" s="53" t="str">
        <f>IF($D461="","",IFERROR(MATCH($D461,Îlots!$D$8:$D$57,0),""))</f>
        <v/>
      </c>
      <c r="AA461" s="53" t="str">
        <f>IF($G461="","",IFERROR(MATCH($G461,Fertilisants!$B$8:$B$47,0),""))</f>
        <v/>
      </c>
      <c r="AB461" s="53" t="str">
        <f>IF($Z461="","",INDEX(Îlots!$E$8:$E$57,$Z461))</f>
        <v/>
      </c>
      <c r="AC461" s="53" t="str">
        <f>IF($Z461="","",INDEX(Îlots!$G$8:$G$57,$Z461)&amp;"")</f>
        <v/>
      </c>
      <c r="AD461" s="53" t="str">
        <f>IF($Z461="","",IF($F461=ApportCouvert,OccCouvert,INDEX(Îlots!$O$8:$O$57,$Z461)&amp;""))</f>
        <v/>
      </c>
      <c r="AE461" s="53" t="str">
        <f t="shared" si="101"/>
        <v/>
      </c>
      <c r="AF461" s="53" t="str">
        <f t="shared" si="102"/>
        <v/>
      </c>
      <c r="AG461" s="53" t="str">
        <f t="shared" si="103"/>
        <v/>
      </c>
      <c r="AH461" s="53">
        <f t="shared" si="104"/>
        <v>0</v>
      </c>
      <c r="AI461" s="53">
        <f t="shared" si="105"/>
        <v>0</v>
      </c>
      <c r="AJ461" s="53">
        <f t="shared" si="106"/>
        <v>0</v>
      </c>
      <c r="AK461" s="53">
        <f t="shared" si="107"/>
        <v>0</v>
      </c>
      <c r="AL461" s="53">
        <f t="shared" si="108"/>
        <v>0</v>
      </c>
      <c r="AM461" s="53">
        <f>IF($AA461="",0,IF(INDEX(Fertilisants!$C$8:$C$47,$AA461)="Effluent d'élevage",1,0))</f>
        <v>0</v>
      </c>
      <c r="AN461" s="53" t="str">
        <f>IF($AA461="","",IF(INDEX(Fertilisants!$C$8:$C$47,$AA461)="Engrais minéral","Minéral","Organique"))</f>
        <v/>
      </c>
      <c r="AO461" s="53" t="str">
        <f t="shared" si="109"/>
        <v/>
      </c>
      <c r="AP461" s="53" t="str">
        <f t="shared" si="110"/>
        <v/>
      </c>
      <c r="AQ461" s="53" t="str">
        <f t="shared" si="111"/>
        <v/>
      </c>
      <c r="AR461" s="53" t="str">
        <f>IF(AND($D461&lt;&gt;"",$D461=FicheIlot),COUNTIF($D$8:$D461,FicheIlot),"")</f>
        <v/>
      </c>
    </row>
    <row r="462" spans="2:44" ht="18.95" customHeight="1" x14ac:dyDescent="0.25">
      <c r="B462" s="42" t="str">
        <f>IF(C462="","",COUNT($C$8:C462))</f>
        <v/>
      </c>
      <c r="C462" s="43"/>
      <c r="D462" s="44"/>
      <c r="E462" s="45" t="str">
        <f>IF($Z462="","",IF($F462=ApportCouvert,INDEX(Îlots!$I$8:$I$57,$Z462)&amp;"",INDEX(Îlots!$N$8:$N$57,$Z462)&amp;""))</f>
        <v/>
      </c>
      <c r="F462" s="44"/>
      <c r="G462" s="44"/>
      <c r="H462" s="46" t="str">
        <f>IF($AA462="","",INDEX(Fertilisants!$D$8:$D$47,$AA462)&amp;"")</f>
        <v/>
      </c>
      <c r="I462" s="47"/>
      <c r="J462" s="48"/>
      <c r="K462" s="46" t="str">
        <f>IF($AA462="","",INDEX(Fertilisants!$E$8:$E$47,$AA462)&amp;"")</f>
        <v/>
      </c>
      <c r="L462" s="49" t="str">
        <f t="shared" si="98"/>
        <v/>
      </c>
      <c r="M462" s="50" t="str">
        <f>IF(OR($J462="",$AA462=""),"",$J462*N(INDEX(Fertilisants!$G$8:$G$47,$AA462)))</f>
        <v/>
      </c>
      <c r="N462" s="50" t="str">
        <f>IF(OR($J462="",$AA462=""),"",$J462*N(INDEX(Fertilisants!$I$8:$I$47,$AA462)))</f>
        <v/>
      </c>
      <c r="O462" s="50" t="str">
        <f>IF(OR($J462="",$AA462=""),"",$J462*N(INDEX(Fertilisants!$J$8:$J$47,$AA462)))</f>
        <v/>
      </c>
      <c r="P462" s="50" t="str">
        <f>IF(OR($J462="",$AA462=""),"",$J462*N(INDEX(Fertilisants!$K$8:$K$47,$AA462)))</f>
        <v/>
      </c>
      <c r="Q462" s="50" t="str">
        <f t="shared" si="99"/>
        <v/>
      </c>
      <c r="R462" s="44"/>
      <c r="S462" s="44"/>
      <c r="T462" s="51"/>
      <c r="U462" s="44"/>
      <c r="V462" s="43"/>
      <c r="W462" s="52" t="str">
        <f t="shared" si="100"/>
        <v/>
      </c>
      <c r="X462" s="44"/>
      <c r="Z462" s="53" t="str">
        <f>IF($D462="","",IFERROR(MATCH($D462,Îlots!$D$8:$D$57,0),""))</f>
        <v/>
      </c>
      <c r="AA462" s="53" t="str">
        <f>IF($G462="","",IFERROR(MATCH($G462,Fertilisants!$B$8:$B$47,0),""))</f>
        <v/>
      </c>
      <c r="AB462" s="53" t="str">
        <f>IF($Z462="","",INDEX(Îlots!$E$8:$E$57,$Z462))</f>
        <v/>
      </c>
      <c r="AC462" s="53" t="str">
        <f>IF($Z462="","",INDEX(Îlots!$G$8:$G$57,$Z462)&amp;"")</f>
        <v/>
      </c>
      <c r="AD462" s="53" t="str">
        <f>IF($Z462="","",IF($F462=ApportCouvert,OccCouvert,INDEX(Îlots!$O$8:$O$57,$Z462)&amp;""))</f>
        <v/>
      </c>
      <c r="AE462" s="53" t="str">
        <f t="shared" si="101"/>
        <v/>
      </c>
      <c r="AF462" s="53" t="str">
        <f t="shared" si="102"/>
        <v/>
      </c>
      <c r="AG462" s="53" t="str">
        <f t="shared" si="103"/>
        <v/>
      </c>
      <c r="AH462" s="53">
        <f t="shared" si="104"/>
        <v>0</v>
      </c>
      <c r="AI462" s="53">
        <f t="shared" si="105"/>
        <v>0</v>
      </c>
      <c r="AJ462" s="53">
        <f t="shared" si="106"/>
        <v>0</v>
      </c>
      <c r="AK462" s="53">
        <f t="shared" si="107"/>
        <v>0</v>
      </c>
      <c r="AL462" s="53">
        <f t="shared" si="108"/>
        <v>0</v>
      </c>
      <c r="AM462" s="53">
        <f>IF($AA462="",0,IF(INDEX(Fertilisants!$C$8:$C$47,$AA462)="Effluent d'élevage",1,0))</f>
        <v>0</v>
      </c>
      <c r="AN462" s="53" t="str">
        <f>IF($AA462="","",IF(INDEX(Fertilisants!$C$8:$C$47,$AA462)="Engrais minéral","Minéral","Organique"))</f>
        <v/>
      </c>
      <c r="AO462" s="53" t="str">
        <f t="shared" si="109"/>
        <v/>
      </c>
      <c r="AP462" s="53" t="str">
        <f t="shared" si="110"/>
        <v/>
      </c>
      <c r="AQ462" s="53" t="str">
        <f t="shared" si="111"/>
        <v/>
      </c>
      <c r="AR462" s="53" t="str">
        <f>IF(AND($D462&lt;&gt;"",$D462=FicheIlot),COUNTIF($D$8:$D462,FicheIlot),"")</f>
        <v/>
      </c>
    </row>
    <row r="463" spans="2:44" ht="18.95" customHeight="1" x14ac:dyDescent="0.25">
      <c r="B463" s="42" t="str">
        <f>IF(C463="","",COUNT($C$8:C463))</f>
        <v/>
      </c>
      <c r="C463" s="43"/>
      <c r="D463" s="44"/>
      <c r="E463" s="45" t="str">
        <f>IF($Z463="","",IF($F463=ApportCouvert,INDEX(Îlots!$I$8:$I$57,$Z463)&amp;"",INDEX(Îlots!$N$8:$N$57,$Z463)&amp;""))</f>
        <v/>
      </c>
      <c r="F463" s="44"/>
      <c r="G463" s="44"/>
      <c r="H463" s="46" t="str">
        <f>IF($AA463="","",INDEX(Fertilisants!$D$8:$D$47,$AA463)&amp;"")</f>
        <v/>
      </c>
      <c r="I463" s="47"/>
      <c r="J463" s="48"/>
      <c r="K463" s="46" t="str">
        <f>IF($AA463="","",INDEX(Fertilisants!$E$8:$E$47,$AA463)&amp;"")</f>
        <v/>
      </c>
      <c r="L463" s="49" t="str">
        <f t="shared" si="98"/>
        <v/>
      </c>
      <c r="M463" s="50" t="str">
        <f>IF(OR($J463="",$AA463=""),"",$J463*N(INDEX(Fertilisants!$G$8:$G$47,$AA463)))</f>
        <v/>
      </c>
      <c r="N463" s="50" t="str">
        <f>IF(OR($J463="",$AA463=""),"",$J463*N(INDEX(Fertilisants!$I$8:$I$47,$AA463)))</f>
        <v/>
      </c>
      <c r="O463" s="50" t="str">
        <f>IF(OR($J463="",$AA463=""),"",$J463*N(INDEX(Fertilisants!$J$8:$J$47,$AA463)))</f>
        <v/>
      </c>
      <c r="P463" s="50" t="str">
        <f>IF(OR($J463="",$AA463=""),"",$J463*N(INDEX(Fertilisants!$K$8:$K$47,$AA463)))</f>
        <v/>
      </c>
      <c r="Q463" s="50" t="str">
        <f t="shared" si="99"/>
        <v/>
      </c>
      <c r="R463" s="44"/>
      <c r="S463" s="44"/>
      <c r="T463" s="51"/>
      <c r="U463" s="44"/>
      <c r="V463" s="43"/>
      <c r="W463" s="52" t="str">
        <f t="shared" si="100"/>
        <v/>
      </c>
      <c r="X463" s="44"/>
      <c r="Z463" s="53" t="str">
        <f>IF($D463="","",IFERROR(MATCH($D463,Îlots!$D$8:$D$57,0),""))</f>
        <v/>
      </c>
      <c r="AA463" s="53" t="str">
        <f>IF($G463="","",IFERROR(MATCH($G463,Fertilisants!$B$8:$B$47,0),""))</f>
        <v/>
      </c>
      <c r="AB463" s="53" t="str">
        <f>IF($Z463="","",INDEX(Îlots!$E$8:$E$57,$Z463))</f>
        <v/>
      </c>
      <c r="AC463" s="53" t="str">
        <f>IF($Z463="","",INDEX(Îlots!$G$8:$G$57,$Z463)&amp;"")</f>
        <v/>
      </c>
      <c r="AD463" s="53" t="str">
        <f>IF($Z463="","",IF($F463=ApportCouvert,OccCouvert,INDEX(Îlots!$O$8:$O$57,$Z463)&amp;""))</f>
        <v/>
      </c>
      <c r="AE463" s="53" t="str">
        <f t="shared" si="101"/>
        <v/>
      </c>
      <c r="AF463" s="53" t="str">
        <f t="shared" si="102"/>
        <v/>
      </c>
      <c r="AG463" s="53" t="str">
        <f t="shared" si="103"/>
        <v/>
      </c>
      <c r="AH463" s="53">
        <f t="shared" si="104"/>
        <v>0</v>
      </c>
      <c r="AI463" s="53">
        <f t="shared" si="105"/>
        <v>0</v>
      </c>
      <c r="AJ463" s="53">
        <f t="shared" si="106"/>
        <v>0</v>
      </c>
      <c r="AK463" s="53">
        <f t="shared" si="107"/>
        <v>0</v>
      </c>
      <c r="AL463" s="53">
        <f t="shared" si="108"/>
        <v>0</v>
      </c>
      <c r="AM463" s="53">
        <f>IF($AA463="",0,IF(INDEX(Fertilisants!$C$8:$C$47,$AA463)="Effluent d'élevage",1,0))</f>
        <v>0</v>
      </c>
      <c r="AN463" s="53" t="str">
        <f>IF($AA463="","",IF(INDEX(Fertilisants!$C$8:$C$47,$AA463)="Engrais minéral","Minéral","Organique"))</f>
        <v/>
      </c>
      <c r="AO463" s="53" t="str">
        <f t="shared" si="109"/>
        <v/>
      </c>
      <c r="AP463" s="53" t="str">
        <f t="shared" si="110"/>
        <v/>
      </c>
      <c r="AQ463" s="53" t="str">
        <f t="shared" si="111"/>
        <v/>
      </c>
      <c r="AR463" s="53" t="str">
        <f>IF(AND($D463&lt;&gt;"",$D463=FicheIlot),COUNTIF($D$8:$D463,FicheIlot),"")</f>
        <v/>
      </c>
    </row>
    <row r="464" spans="2:44" ht="18.95" customHeight="1" x14ac:dyDescent="0.25">
      <c r="B464" s="42" t="str">
        <f>IF(C464="","",COUNT($C$8:C464))</f>
        <v/>
      </c>
      <c r="C464" s="43"/>
      <c r="D464" s="44"/>
      <c r="E464" s="45" t="str">
        <f>IF($Z464="","",IF($F464=ApportCouvert,INDEX(Îlots!$I$8:$I$57,$Z464)&amp;"",INDEX(Îlots!$N$8:$N$57,$Z464)&amp;""))</f>
        <v/>
      </c>
      <c r="F464" s="44"/>
      <c r="G464" s="44"/>
      <c r="H464" s="46" t="str">
        <f>IF($AA464="","",INDEX(Fertilisants!$D$8:$D$47,$AA464)&amp;"")</f>
        <v/>
      </c>
      <c r="I464" s="47"/>
      <c r="J464" s="48"/>
      <c r="K464" s="46" t="str">
        <f>IF($AA464="","",INDEX(Fertilisants!$E$8:$E$47,$AA464)&amp;"")</f>
        <v/>
      </c>
      <c r="L464" s="49" t="str">
        <f t="shared" si="98"/>
        <v/>
      </c>
      <c r="M464" s="50" t="str">
        <f>IF(OR($J464="",$AA464=""),"",$J464*N(INDEX(Fertilisants!$G$8:$G$47,$AA464)))</f>
        <v/>
      </c>
      <c r="N464" s="50" t="str">
        <f>IF(OR($J464="",$AA464=""),"",$J464*N(INDEX(Fertilisants!$I$8:$I$47,$AA464)))</f>
        <v/>
      </c>
      <c r="O464" s="50" t="str">
        <f>IF(OR($J464="",$AA464=""),"",$J464*N(INDEX(Fertilisants!$J$8:$J$47,$AA464)))</f>
        <v/>
      </c>
      <c r="P464" s="50" t="str">
        <f>IF(OR($J464="",$AA464=""),"",$J464*N(INDEX(Fertilisants!$K$8:$K$47,$AA464)))</f>
        <v/>
      </c>
      <c r="Q464" s="50" t="str">
        <f t="shared" si="99"/>
        <v/>
      </c>
      <c r="R464" s="44"/>
      <c r="S464" s="44"/>
      <c r="T464" s="51"/>
      <c r="U464" s="44"/>
      <c r="V464" s="43"/>
      <c r="W464" s="52" t="str">
        <f t="shared" si="100"/>
        <v/>
      </c>
      <c r="X464" s="44"/>
      <c r="Z464" s="53" t="str">
        <f>IF($D464="","",IFERROR(MATCH($D464,Îlots!$D$8:$D$57,0),""))</f>
        <v/>
      </c>
      <c r="AA464" s="53" t="str">
        <f>IF($G464="","",IFERROR(MATCH($G464,Fertilisants!$B$8:$B$47,0),""))</f>
        <v/>
      </c>
      <c r="AB464" s="53" t="str">
        <f>IF($Z464="","",INDEX(Îlots!$E$8:$E$57,$Z464))</f>
        <v/>
      </c>
      <c r="AC464" s="53" t="str">
        <f>IF($Z464="","",INDEX(Îlots!$G$8:$G$57,$Z464)&amp;"")</f>
        <v/>
      </c>
      <c r="AD464" s="53" t="str">
        <f>IF($Z464="","",IF($F464=ApportCouvert,OccCouvert,INDEX(Îlots!$O$8:$O$57,$Z464)&amp;""))</f>
        <v/>
      </c>
      <c r="AE464" s="53" t="str">
        <f t="shared" si="101"/>
        <v/>
      </c>
      <c r="AF464" s="53" t="str">
        <f t="shared" si="102"/>
        <v/>
      </c>
      <c r="AG464" s="53" t="str">
        <f t="shared" si="103"/>
        <v/>
      </c>
      <c r="AH464" s="53">
        <f t="shared" si="104"/>
        <v>0</v>
      </c>
      <c r="AI464" s="53">
        <f t="shared" si="105"/>
        <v>0</v>
      </c>
      <c r="AJ464" s="53">
        <f t="shared" si="106"/>
        <v>0</v>
      </c>
      <c r="AK464" s="53">
        <f t="shared" si="107"/>
        <v>0</v>
      </c>
      <c r="AL464" s="53">
        <f t="shared" si="108"/>
        <v>0</v>
      </c>
      <c r="AM464" s="53">
        <f>IF($AA464="",0,IF(INDEX(Fertilisants!$C$8:$C$47,$AA464)="Effluent d'élevage",1,0))</f>
        <v>0</v>
      </c>
      <c r="AN464" s="53" t="str">
        <f>IF($AA464="","",IF(INDEX(Fertilisants!$C$8:$C$47,$AA464)="Engrais minéral","Minéral","Organique"))</f>
        <v/>
      </c>
      <c r="AO464" s="53" t="str">
        <f t="shared" si="109"/>
        <v/>
      </c>
      <c r="AP464" s="53" t="str">
        <f t="shared" si="110"/>
        <v/>
      </c>
      <c r="AQ464" s="53" t="str">
        <f t="shared" si="111"/>
        <v/>
      </c>
      <c r="AR464" s="53" t="str">
        <f>IF(AND($D464&lt;&gt;"",$D464=FicheIlot),COUNTIF($D$8:$D464,FicheIlot),"")</f>
        <v/>
      </c>
    </row>
    <row r="465" spans="2:44" ht="18.95" customHeight="1" x14ac:dyDescent="0.25">
      <c r="B465" s="42" t="str">
        <f>IF(C465="","",COUNT($C$8:C465))</f>
        <v/>
      </c>
      <c r="C465" s="43"/>
      <c r="D465" s="44"/>
      <c r="E465" s="45" t="str">
        <f>IF($Z465="","",IF($F465=ApportCouvert,INDEX(Îlots!$I$8:$I$57,$Z465)&amp;"",INDEX(Îlots!$N$8:$N$57,$Z465)&amp;""))</f>
        <v/>
      </c>
      <c r="F465" s="44"/>
      <c r="G465" s="44"/>
      <c r="H465" s="46" t="str">
        <f>IF($AA465="","",INDEX(Fertilisants!$D$8:$D$47,$AA465)&amp;"")</f>
        <v/>
      </c>
      <c r="I465" s="47"/>
      <c r="J465" s="48"/>
      <c r="K465" s="46" t="str">
        <f>IF($AA465="","",INDEX(Fertilisants!$E$8:$E$47,$AA465)&amp;"")</f>
        <v/>
      </c>
      <c r="L465" s="49" t="str">
        <f t="shared" si="98"/>
        <v/>
      </c>
      <c r="M465" s="50" t="str">
        <f>IF(OR($J465="",$AA465=""),"",$J465*N(INDEX(Fertilisants!$G$8:$G$47,$AA465)))</f>
        <v/>
      </c>
      <c r="N465" s="50" t="str">
        <f>IF(OR($J465="",$AA465=""),"",$J465*N(INDEX(Fertilisants!$I$8:$I$47,$AA465)))</f>
        <v/>
      </c>
      <c r="O465" s="50" t="str">
        <f>IF(OR($J465="",$AA465=""),"",$J465*N(INDEX(Fertilisants!$J$8:$J$47,$AA465)))</f>
        <v/>
      </c>
      <c r="P465" s="50" t="str">
        <f>IF(OR($J465="",$AA465=""),"",$J465*N(INDEX(Fertilisants!$K$8:$K$47,$AA465)))</f>
        <v/>
      </c>
      <c r="Q465" s="50" t="str">
        <f t="shared" si="99"/>
        <v/>
      </c>
      <c r="R465" s="44"/>
      <c r="S465" s="44"/>
      <c r="T465" s="51"/>
      <c r="U465" s="44"/>
      <c r="V465" s="43"/>
      <c r="W465" s="52" t="str">
        <f t="shared" si="100"/>
        <v/>
      </c>
      <c r="X465" s="44"/>
      <c r="Z465" s="53" t="str">
        <f>IF($D465="","",IFERROR(MATCH($D465,Îlots!$D$8:$D$57,0),""))</f>
        <v/>
      </c>
      <c r="AA465" s="53" t="str">
        <f>IF($G465="","",IFERROR(MATCH($G465,Fertilisants!$B$8:$B$47,0),""))</f>
        <v/>
      </c>
      <c r="AB465" s="53" t="str">
        <f>IF($Z465="","",INDEX(Îlots!$E$8:$E$57,$Z465))</f>
        <v/>
      </c>
      <c r="AC465" s="53" t="str">
        <f>IF($Z465="","",INDEX(Îlots!$G$8:$G$57,$Z465)&amp;"")</f>
        <v/>
      </c>
      <c r="AD465" s="53" t="str">
        <f>IF($Z465="","",IF($F465=ApportCouvert,OccCouvert,INDEX(Îlots!$O$8:$O$57,$Z465)&amp;""))</f>
        <v/>
      </c>
      <c r="AE465" s="53" t="str">
        <f t="shared" si="101"/>
        <v/>
      </c>
      <c r="AF465" s="53" t="str">
        <f t="shared" si="102"/>
        <v/>
      </c>
      <c r="AG465" s="53" t="str">
        <f t="shared" si="103"/>
        <v/>
      </c>
      <c r="AH465" s="53">
        <f t="shared" si="104"/>
        <v>0</v>
      </c>
      <c r="AI465" s="53">
        <f t="shared" si="105"/>
        <v>0</v>
      </c>
      <c r="AJ465" s="53">
        <f t="shared" si="106"/>
        <v>0</v>
      </c>
      <c r="AK465" s="53">
        <f t="shared" si="107"/>
        <v>0</v>
      </c>
      <c r="AL465" s="53">
        <f t="shared" si="108"/>
        <v>0</v>
      </c>
      <c r="AM465" s="53">
        <f>IF($AA465="",0,IF(INDEX(Fertilisants!$C$8:$C$47,$AA465)="Effluent d'élevage",1,0))</f>
        <v>0</v>
      </c>
      <c r="AN465" s="53" t="str">
        <f>IF($AA465="","",IF(INDEX(Fertilisants!$C$8:$C$47,$AA465)="Engrais minéral","Minéral","Organique"))</f>
        <v/>
      </c>
      <c r="AO465" s="53" t="str">
        <f t="shared" si="109"/>
        <v/>
      </c>
      <c r="AP465" s="53" t="str">
        <f t="shared" si="110"/>
        <v/>
      </c>
      <c r="AQ465" s="53" t="str">
        <f t="shared" si="111"/>
        <v/>
      </c>
      <c r="AR465" s="53" t="str">
        <f>IF(AND($D465&lt;&gt;"",$D465=FicheIlot),COUNTIF($D$8:$D465,FicheIlot),"")</f>
        <v/>
      </c>
    </row>
    <row r="466" spans="2:44" ht="18.95" customHeight="1" x14ac:dyDescent="0.25">
      <c r="B466" s="42" t="str">
        <f>IF(C466="","",COUNT($C$8:C466))</f>
        <v/>
      </c>
      <c r="C466" s="43"/>
      <c r="D466" s="44"/>
      <c r="E466" s="45" t="str">
        <f>IF($Z466="","",IF($F466=ApportCouvert,INDEX(Îlots!$I$8:$I$57,$Z466)&amp;"",INDEX(Îlots!$N$8:$N$57,$Z466)&amp;""))</f>
        <v/>
      </c>
      <c r="F466" s="44"/>
      <c r="G466" s="44"/>
      <c r="H466" s="46" t="str">
        <f>IF($AA466="","",INDEX(Fertilisants!$D$8:$D$47,$AA466)&amp;"")</f>
        <v/>
      </c>
      <c r="I466" s="47"/>
      <c r="J466" s="48"/>
      <c r="K466" s="46" t="str">
        <f>IF($AA466="","",INDEX(Fertilisants!$E$8:$E$47,$AA466)&amp;"")</f>
        <v/>
      </c>
      <c r="L466" s="49" t="str">
        <f t="shared" si="98"/>
        <v/>
      </c>
      <c r="M466" s="50" t="str">
        <f>IF(OR($J466="",$AA466=""),"",$J466*N(INDEX(Fertilisants!$G$8:$G$47,$AA466)))</f>
        <v/>
      </c>
      <c r="N466" s="50" t="str">
        <f>IF(OR($J466="",$AA466=""),"",$J466*N(INDEX(Fertilisants!$I$8:$I$47,$AA466)))</f>
        <v/>
      </c>
      <c r="O466" s="50" t="str">
        <f>IF(OR($J466="",$AA466=""),"",$J466*N(INDEX(Fertilisants!$J$8:$J$47,$AA466)))</f>
        <v/>
      </c>
      <c r="P466" s="50" t="str">
        <f>IF(OR($J466="",$AA466=""),"",$J466*N(INDEX(Fertilisants!$K$8:$K$47,$AA466)))</f>
        <v/>
      </c>
      <c r="Q466" s="50" t="str">
        <f t="shared" si="99"/>
        <v/>
      </c>
      <c r="R466" s="44"/>
      <c r="S466" s="44"/>
      <c r="T466" s="51"/>
      <c r="U466" s="44"/>
      <c r="V466" s="43"/>
      <c r="W466" s="52" t="str">
        <f t="shared" si="100"/>
        <v/>
      </c>
      <c r="X466" s="44"/>
      <c r="Z466" s="53" t="str">
        <f>IF($D466="","",IFERROR(MATCH($D466,Îlots!$D$8:$D$57,0),""))</f>
        <v/>
      </c>
      <c r="AA466" s="53" t="str">
        <f>IF($G466="","",IFERROR(MATCH($G466,Fertilisants!$B$8:$B$47,0),""))</f>
        <v/>
      </c>
      <c r="AB466" s="53" t="str">
        <f>IF($Z466="","",INDEX(Îlots!$E$8:$E$57,$Z466))</f>
        <v/>
      </c>
      <c r="AC466" s="53" t="str">
        <f>IF($Z466="","",INDEX(Îlots!$G$8:$G$57,$Z466)&amp;"")</f>
        <v/>
      </c>
      <c r="AD466" s="53" t="str">
        <f>IF($Z466="","",IF($F466=ApportCouvert,OccCouvert,INDEX(Îlots!$O$8:$O$57,$Z466)&amp;""))</f>
        <v/>
      </c>
      <c r="AE466" s="53" t="str">
        <f t="shared" si="101"/>
        <v/>
      </c>
      <c r="AF466" s="53" t="str">
        <f t="shared" si="102"/>
        <v/>
      </c>
      <c r="AG466" s="53" t="str">
        <f t="shared" si="103"/>
        <v/>
      </c>
      <c r="AH466" s="53">
        <f t="shared" si="104"/>
        <v>0</v>
      </c>
      <c r="AI466" s="53">
        <f t="shared" si="105"/>
        <v>0</v>
      </c>
      <c r="AJ466" s="53">
        <f t="shared" si="106"/>
        <v>0</v>
      </c>
      <c r="AK466" s="53">
        <f t="shared" si="107"/>
        <v>0</v>
      </c>
      <c r="AL466" s="53">
        <f t="shared" si="108"/>
        <v>0</v>
      </c>
      <c r="AM466" s="53">
        <f>IF($AA466="",0,IF(INDEX(Fertilisants!$C$8:$C$47,$AA466)="Effluent d'élevage",1,0))</f>
        <v>0</v>
      </c>
      <c r="AN466" s="53" t="str">
        <f>IF($AA466="","",IF(INDEX(Fertilisants!$C$8:$C$47,$AA466)="Engrais minéral","Minéral","Organique"))</f>
        <v/>
      </c>
      <c r="AO466" s="53" t="str">
        <f t="shared" si="109"/>
        <v/>
      </c>
      <c r="AP466" s="53" t="str">
        <f t="shared" si="110"/>
        <v/>
      </c>
      <c r="AQ466" s="53" t="str">
        <f t="shared" si="111"/>
        <v/>
      </c>
      <c r="AR466" s="53" t="str">
        <f>IF(AND($D466&lt;&gt;"",$D466=FicheIlot),COUNTIF($D$8:$D466,FicheIlot),"")</f>
        <v/>
      </c>
    </row>
    <row r="467" spans="2:44" ht="18.95" customHeight="1" x14ac:dyDescent="0.25">
      <c r="B467" s="42" t="str">
        <f>IF(C467="","",COUNT($C$8:C467))</f>
        <v/>
      </c>
      <c r="C467" s="43"/>
      <c r="D467" s="44"/>
      <c r="E467" s="45" t="str">
        <f>IF($Z467="","",IF($F467=ApportCouvert,INDEX(Îlots!$I$8:$I$57,$Z467)&amp;"",INDEX(Îlots!$N$8:$N$57,$Z467)&amp;""))</f>
        <v/>
      </c>
      <c r="F467" s="44"/>
      <c r="G467" s="44"/>
      <c r="H467" s="46" t="str">
        <f>IF($AA467="","",INDEX(Fertilisants!$D$8:$D$47,$AA467)&amp;"")</f>
        <v/>
      </c>
      <c r="I467" s="47"/>
      <c r="J467" s="48"/>
      <c r="K467" s="46" t="str">
        <f>IF($AA467="","",INDEX(Fertilisants!$E$8:$E$47,$AA467)&amp;"")</f>
        <v/>
      </c>
      <c r="L467" s="49" t="str">
        <f t="shared" si="98"/>
        <v/>
      </c>
      <c r="M467" s="50" t="str">
        <f>IF(OR($J467="",$AA467=""),"",$J467*N(INDEX(Fertilisants!$G$8:$G$47,$AA467)))</f>
        <v/>
      </c>
      <c r="N467" s="50" t="str">
        <f>IF(OR($J467="",$AA467=""),"",$J467*N(INDEX(Fertilisants!$I$8:$I$47,$AA467)))</f>
        <v/>
      </c>
      <c r="O467" s="50" t="str">
        <f>IF(OR($J467="",$AA467=""),"",$J467*N(INDEX(Fertilisants!$J$8:$J$47,$AA467)))</f>
        <v/>
      </c>
      <c r="P467" s="50" t="str">
        <f>IF(OR($J467="",$AA467=""),"",$J467*N(INDEX(Fertilisants!$K$8:$K$47,$AA467)))</f>
        <v/>
      </c>
      <c r="Q467" s="50" t="str">
        <f t="shared" si="99"/>
        <v/>
      </c>
      <c r="R467" s="44"/>
      <c r="S467" s="44"/>
      <c r="T467" s="51"/>
      <c r="U467" s="44"/>
      <c r="V467" s="43"/>
      <c r="W467" s="52" t="str">
        <f t="shared" si="100"/>
        <v/>
      </c>
      <c r="X467" s="44"/>
      <c r="Z467" s="53" t="str">
        <f>IF($D467="","",IFERROR(MATCH($D467,Îlots!$D$8:$D$57,0),""))</f>
        <v/>
      </c>
      <c r="AA467" s="53" t="str">
        <f>IF($G467="","",IFERROR(MATCH($G467,Fertilisants!$B$8:$B$47,0),""))</f>
        <v/>
      </c>
      <c r="AB467" s="53" t="str">
        <f>IF($Z467="","",INDEX(Îlots!$E$8:$E$57,$Z467))</f>
        <v/>
      </c>
      <c r="AC467" s="53" t="str">
        <f>IF($Z467="","",INDEX(Îlots!$G$8:$G$57,$Z467)&amp;"")</f>
        <v/>
      </c>
      <c r="AD467" s="53" t="str">
        <f>IF($Z467="","",IF($F467=ApportCouvert,OccCouvert,INDEX(Îlots!$O$8:$O$57,$Z467)&amp;""))</f>
        <v/>
      </c>
      <c r="AE467" s="53" t="str">
        <f t="shared" si="101"/>
        <v/>
      </c>
      <c r="AF467" s="53" t="str">
        <f t="shared" si="102"/>
        <v/>
      </c>
      <c r="AG467" s="53" t="str">
        <f t="shared" si="103"/>
        <v/>
      </c>
      <c r="AH467" s="53">
        <f t="shared" si="104"/>
        <v>0</v>
      </c>
      <c r="AI467" s="53">
        <f t="shared" si="105"/>
        <v>0</v>
      </c>
      <c r="AJ467" s="53">
        <f t="shared" si="106"/>
        <v>0</v>
      </c>
      <c r="AK467" s="53">
        <f t="shared" si="107"/>
        <v>0</v>
      </c>
      <c r="AL467" s="53">
        <f t="shared" si="108"/>
        <v>0</v>
      </c>
      <c r="AM467" s="53">
        <f>IF($AA467="",0,IF(INDEX(Fertilisants!$C$8:$C$47,$AA467)="Effluent d'élevage",1,0))</f>
        <v>0</v>
      </c>
      <c r="AN467" s="53" t="str">
        <f>IF($AA467="","",IF(INDEX(Fertilisants!$C$8:$C$47,$AA467)="Engrais minéral","Minéral","Organique"))</f>
        <v/>
      </c>
      <c r="AO467" s="53" t="str">
        <f t="shared" si="109"/>
        <v/>
      </c>
      <c r="AP467" s="53" t="str">
        <f t="shared" si="110"/>
        <v/>
      </c>
      <c r="AQ467" s="53" t="str">
        <f t="shared" si="111"/>
        <v/>
      </c>
      <c r="AR467" s="53" t="str">
        <f>IF(AND($D467&lt;&gt;"",$D467=FicheIlot),COUNTIF($D$8:$D467,FicheIlot),"")</f>
        <v/>
      </c>
    </row>
    <row r="468" spans="2:44" ht="18.95" customHeight="1" x14ac:dyDescent="0.25">
      <c r="B468" s="42" t="str">
        <f>IF(C468="","",COUNT($C$8:C468))</f>
        <v/>
      </c>
      <c r="C468" s="43"/>
      <c r="D468" s="44"/>
      <c r="E468" s="45" t="str">
        <f>IF($Z468="","",IF($F468=ApportCouvert,INDEX(Îlots!$I$8:$I$57,$Z468)&amp;"",INDEX(Îlots!$N$8:$N$57,$Z468)&amp;""))</f>
        <v/>
      </c>
      <c r="F468" s="44"/>
      <c r="G468" s="44"/>
      <c r="H468" s="46" t="str">
        <f>IF($AA468="","",INDEX(Fertilisants!$D$8:$D$47,$AA468)&amp;"")</f>
        <v/>
      </c>
      <c r="I468" s="47"/>
      <c r="J468" s="48"/>
      <c r="K468" s="46" t="str">
        <f>IF($AA468="","",INDEX(Fertilisants!$E$8:$E$47,$AA468)&amp;"")</f>
        <v/>
      </c>
      <c r="L468" s="49" t="str">
        <f t="shared" si="98"/>
        <v/>
      </c>
      <c r="M468" s="50" t="str">
        <f>IF(OR($J468="",$AA468=""),"",$J468*N(INDEX(Fertilisants!$G$8:$G$47,$AA468)))</f>
        <v/>
      </c>
      <c r="N468" s="50" t="str">
        <f>IF(OR($J468="",$AA468=""),"",$J468*N(INDEX(Fertilisants!$I$8:$I$47,$AA468)))</f>
        <v/>
      </c>
      <c r="O468" s="50" t="str">
        <f>IF(OR($J468="",$AA468=""),"",$J468*N(INDEX(Fertilisants!$J$8:$J$47,$AA468)))</f>
        <v/>
      </c>
      <c r="P468" s="50" t="str">
        <f>IF(OR($J468="",$AA468=""),"",$J468*N(INDEX(Fertilisants!$K$8:$K$47,$AA468)))</f>
        <v/>
      </c>
      <c r="Q468" s="50" t="str">
        <f t="shared" si="99"/>
        <v/>
      </c>
      <c r="R468" s="44"/>
      <c r="S468" s="44"/>
      <c r="T468" s="51"/>
      <c r="U468" s="44"/>
      <c r="V468" s="43"/>
      <c r="W468" s="52" t="str">
        <f t="shared" si="100"/>
        <v/>
      </c>
      <c r="X468" s="44"/>
      <c r="Z468" s="53" t="str">
        <f>IF($D468="","",IFERROR(MATCH($D468,Îlots!$D$8:$D$57,0),""))</f>
        <v/>
      </c>
      <c r="AA468" s="53" t="str">
        <f>IF($G468="","",IFERROR(MATCH($G468,Fertilisants!$B$8:$B$47,0),""))</f>
        <v/>
      </c>
      <c r="AB468" s="53" t="str">
        <f>IF($Z468="","",INDEX(Îlots!$E$8:$E$57,$Z468))</f>
        <v/>
      </c>
      <c r="AC468" s="53" t="str">
        <f>IF($Z468="","",INDEX(Îlots!$G$8:$G$57,$Z468)&amp;"")</f>
        <v/>
      </c>
      <c r="AD468" s="53" t="str">
        <f>IF($Z468="","",IF($F468=ApportCouvert,OccCouvert,INDEX(Îlots!$O$8:$O$57,$Z468)&amp;""))</f>
        <v/>
      </c>
      <c r="AE468" s="53" t="str">
        <f t="shared" si="101"/>
        <v/>
      </c>
      <c r="AF468" s="53" t="str">
        <f t="shared" si="102"/>
        <v/>
      </c>
      <c r="AG468" s="53" t="str">
        <f t="shared" si="103"/>
        <v/>
      </c>
      <c r="AH468" s="53">
        <f t="shared" si="104"/>
        <v>0</v>
      </c>
      <c r="AI468" s="53">
        <f t="shared" si="105"/>
        <v>0</v>
      </c>
      <c r="AJ468" s="53">
        <f t="shared" si="106"/>
        <v>0</v>
      </c>
      <c r="AK468" s="53">
        <f t="shared" si="107"/>
        <v>0</v>
      </c>
      <c r="AL468" s="53">
        <f t="shared" si="108"/>
        <v>0</v>
      </c>
      <c r="AM468" s="53">
        <f>IF($AA468="",0,IF(INDEX(Fertilisants!$C$8:$C$47,$AA468)="Effluent d'élevage",1,0))</f>
        <v>0</v>
      </c>
      <c r="AN468" s="53" t="str">
        <f>IF($AA468="","",IF(INDEX(Fertilisants!$C$8:$C$47,$AA468)="Engrais minéral","Minéral","Organique"))</f>
        <v/>
      </c>
      <c r="AO468" s="53" t="str">
        <f t="shared" si="109"/>
        <v/>
      </c>
      <c r="AP468" s="53" t="str">
        <f t="shared" si="110"/>
        <v/>
      </c>
      <c r="AQ468" s="53" t="str">
        <f t="shared" si="111"/>
        <v/>
      </c>
      <c r="AR468" s="53" t="str">
        <f>IF(AND($D468&lt;&gt;"",$D468=FicheIlot),COUNTIF($D$8:$D468,FicheIlot),"")</f>
        <v/>
      </c>
    </row>
    <row r="469" spans="2:44" ht="18.95" customHeight="1" x14ac:dyDescent="0.25">
      <c r="B469" s="42" t="str">
        <f>IF(C469="","",COUNT($C$8:C469))</f>
        <v/>
      </c>
      <c r="C469" s="43"/>
      <c r="D469" s="44"/>
      <c r="E469" s="45" t="str">
        <f>IF($Z469="","",IF($F469=ApportCouvert,INDEX(Îlots!$I$8:$I$57,$Z469)&amp;"",INDEX(Îlots!$N$8:$N$57,$Z469)&amp;""))</f>
        <v/>
      </c>
      <c r="F469" s="44"/>
      <c r="G469" s="44"/>
      <c r="H469" s="46" t="str">
        <f>IF($AA469="","",INDEX(Fertilisants!$D$8:$D$47,$AA469)&amp;"")</f>
        <v/>
      </c>
      <c r="I469" s="47"/>
      <c r="J469" s="48"/>
      <c r="K469" s="46" t="str">
        <f>IF($AA469="","",INDEX(Fertilisants!$E$8:$E$47,$AA469)&amp;"")</f>
        <v/>
      </c>
      <c r="L469" s="49" t="str">
        <f t="shared" si="98"/>
        <v/>
      </c>
      <c r="M469" s="50" t="str">
        <f>IF(OR($J469="",$AA469=""),"",$J469*N(INDEX(Fertilisants!$G$8:$G$47,$AA469)))</f>
        <v/>
      </c>
      <c r="N469" s="50" t="str">
        <f>IF(OR($J469="",$AA469=""),"",$J469*N(INDEX(Fertilisants!$I$8:$I$47,$AA469)))</f>
        <v/>
      </c>
      <c r="O469" s="50" t="str">
        <f>IF(OR($J469="",$AA469=""),"",$J469*N(INDEX(Fertilisants!$J$8:$J$47,$AA469)))</f>
        <v/>
      </c>
      <c r="P469" s="50" t="str">
        <f>IF(OR($J469="",$AA469=""),"",$J469*N(INDEX(Fertilisants!$K$8:$K$47,$AA469)))</f>
        <v/>
      </c>
      <c r="Q469" s="50" t="str">
        <f t="shared" si="99"/>
        <v/>
      </c>
      <c r="R469" s="44"/>
      <c r="S469" s="44"/>
      <c r="T469" s="51"/>
      <c r="U469" s="44"/>
      <c r="V469" s="43"/>
      <c r="W469" s="52" t="str">
        <f t="shared" si="100"/>
        <v/>
      </c>
      <c r="X469" s="44"/>
      <c r="Z469" s="53" t="str">
        <f>IF($D469="","",IFERROR(MATCH($D469,Îlots!$D$8:$D$57,0),""))</f>
        <v/>
      </c>
      <c r="AA469" s="53" t="str">
        <f>IF($G469="","",IFERROR(MATCH($G469,Fertilisants!$B$8:$B$47,0),""))</f>
        <v/>
      </c>
      <c r="AB469" s="53" t="str">
        <f>IF($Z469="","",INDEX(Îlots!$E$8:$E$57,$Z469))</f>
        <v/>
      </c>
      <c r="AC469" s="53" t="str">
        <f>IF($Z469="","",INDEX(Îlots!$G$8:$G$57,$Z469)&amp;"")</f>
        <v/>
      </c>
      <c r="AD469" s="53" t="str">
        <f>IF($Z469="","",IF($F469=ApportCouvert,OccCouvert,INDEX(Îlots!$O$8:$O$57,$Z469)&amp;""))</f>
        <v/>
      </c>
      <c r="AE469" s="53" t="str">
        <f t="shared" si="101"/>
        <v/>
      </c>
      <c r="AF469" s="53" t="str">
        <f t="shared" si="102"/>
        <v/>
      </c>
      <c r="AG469" s="53" t="str">
        <f t="shared" si="103"/>
        <v/>
      </c>
      <c r="AH469" s="53">
        <f t="shared" si="104"/>
        <v>0</v>
      </c>
      <c r="AI469" s="53">
        <f t="shared" si="105"/>
        <v>0</v>
      </c>
      <c r="AJ469" s="53">
        <f t="shared" si="106"/>
        <v>0</v>
      </c>
      <c r="AK469" s="53">
        <f t="shared" si="107"/>
        <v>0</v>
      </c>
      <c r="AL469" s="53">
        <f t="shared" si="108"/>
        <v>0</v>
      </c>
      <c r="AM469" s="53">
        <f>IF($AA469="",0,IF(INDEX(Fertilisants!$C$8:$C$47,$AA469)="Effluent d'élevage",1,0))</f>
        <v>0</v>
      </c>
      <c r="AN469" s="53" t="str">
        <f>IF($AA469="","",IF(INDEX(Fertilisants!$C$8:$C$47,$AA469)="Engrais minéral","Minéral","Organique"))</f>
        <v/>
      </c>
      <c r="AO469" s="53" t="str">
        <f t="shared" si="109"/>
        <v/>
      </c>
      <c r="AP469" s="53" t="str">
        <f t="shared" si="110"/>
        <v/>
      </c>
      <c r="AQ469" s="53" t="str">
        <f t="shared" si="111"/>
        <v/>
      </c>
      <c r="AR469" s="53" t="str">
        <f>IF(AND($D469&lt;&gt;"",$D469=FicheIlot),COUNTIF($D$8:$D469,FicheIlot),"")</f>
        <v/>
      </c>
    </row>
    <row r="470" spans="2:44" ht="18.95" customHeight="1" x14ac:dyDescent="0.25">
      <c r="B470" s="42" t="str">
        <f>IF(C470="","",COUNT($C$8:C470))</f>
        <v/>
      </c>
      <c r="C470" s="43"/>
      <c r="D470" s="44"/>
      <c r="E470" s="45" t="str">
        <f>IF($Z470="","",IF($F470=ApportCouvert,INDEX(Îlots!$I$8:$I$57,$Z470)&amp;"",INDEX(Îlots!$N$8:$N$57,$Z470)&amp;""))</f>
        <v/>
      </c>
      <c r="F470" s="44"/>
      <c r="G470" s="44"/>
      <c r="H470" s="46" t="str">
        <f>IF($AA470="","",INDEX(Fertilisants!$D$8:$D$47,$AA470)&amp;"")</f>
        <v/>
      </c>
      <c r="I470" s="47"/>
      <c r="J470" s="48"/>
      <c r="K470" s="46" t="str">
        <f>IF($AA470="","",INDEX(Fertilisants!$E$8:$E$47,$AA470)&amp;"")</f>
        <v/>
      </c>
      <c r="L470" s="49" t="str">
        <f t="shared" si="98"/>
        <v/>
      </c>
      <c r="M470" s="50" t="str">
        <f>IF(OR($J470="",$AA470=""),"",$J470*N(INDEX(Fertilisants!$G$8:$G$47,$AA470)))</f>
        <v/>
      </c>
      <c r="N470" s="50" t="str">
        <f>IF(OR($J470="",$AA470=""),"",$J470*N(INDEX(Fertilisants!$I$8:$I$47,$AA470)))</f>
        <v/>
      </c>
      <c r="O470" s="50" t="str">
        <f>IF(OR($J470="",$AA470=""),"",$J470*N(INDEX(Fertilisants!$J$8:$J$47,$AA470)))</f>
        <v/>
      </c>
      <c r="P470" s="50" t="str">
        <f>IF(OR($J470="",$AA470=""),"",$J470*N(INDEX(Fertilisants!$K$8:$K$47,$AA470)))</f>
        <v/>
      </c>
      <c r="Q470" s="50" t="str">
        <f t="shared" si="99"/>
        <v/>
      </c>
      <c r="R470" s="44"/>
      <c r="S470" s="44"/>
      <c r="T470" s="51"/>
      <c r="U470" s="44"/>
      <c r="V470" s="43"/>
      <c r="W470" s="52" t="str">
        <f t="shared" si="100"/>
        <v/>
      </c>
      <c r="X470" s="44"/>
      <c r="Z470" s="53" t="str">
        <f>IF($D470="","",IFERROR(MATCH($D470,Îlots!$D$8:$D$57,0),""))</f>
        <v/>
      </c>
      <c r="AA470" s="53" t="str">
        <f>IF($G470="","",IFERROR(MATCH($G470,Fertilisants!$B$8:$B$47,0),""))</f>
        <v/>
      </c>
      <c r="AB470" s="53" t="str">
        <f>IF($Z470="","",INDEX(Îlots!$E$8:$E$57,$Z470))</f>
        <v/>
      </c>
      <c r="AC470" s="53" t="str">
        <f>IF($Z470="","",INDEX(Îlots!$G$8:$G$57,$Z470)&amp;"")</f>
        <v/>
      </c>
      <c r="AD470" s="53" t="str">
        <f>IF($Z470="","",IF($F470=ApportCouvert,OccCouvert,INDEX(Îlots!$O$8:$O$57,$Z470)&amp;""))</f>
        <v/>
      </c>
      <c r="AE470" s="53" t="str">
        <f t="shared" si="101"/>
        <v/>
      </c>
      <c r="AF470" s="53" t="str">
        <f t="shared" si="102"/>
        <v/>
      </c>
      <c r="AG470" s="53" t="str">
        <f t="shared" si="103"/>
        <v/>
      </c>
      <c r="AH470" s="53">
        <f t="shared" si="104"/>
        <v>0</v>
      </c>
      <c r="AI470" s="53">
        <f t="shared" si="105"/>
        <v>0</v>
      </c>
      <c r="AJ470" s="53">
        <f t="shared" si="106"/>
        <v>0</v>
      </c>
      <c r="AK470" s="53">
        <f t="shared" si="107"/>
        <v>0</v>
      </c>
      <c r="AL470" s="53">
        <f t="shared" si="108"/>
        <v>0</v>
      </c>
      <c r="AM470" s="53">
        <f>IF($AA470="",0,IF(INDEX(Fertilisants!$C$8:$C$47,$AA470)="Effluent d'élevage",1,0))</f>
        <v>0</v>
      </c>
      <c r="AN470" s="53" t="str">
        <f>IF($AA470="","",IF(INDEX(Fertilisants!$C$8:$C$47,$AA470)="Engrais minéral","Minéral","Organique"))</f>
        <v/>
      </c>
      <c r="AO470" s="53" t="str">
        <f t="shared" si="109"/>
        <v/>
      </c>
      <c r="AP470" s="53" t="str">
        <f t="shared" si="110"/>
        <v/>
      </c>
      <c r="AQ470" s="53" t="str">
        <f t="shared" si="111"/>
        <v/>
      </c>
      <c r="AR470" s="53" t="str">
        <f>IF(AND($D470&lt;&gt;"",$D470=FicheIlot),COUNTIF($D$8:$D470,FicheIlot),"")</f>
        <v/>
      </c>
    </row>
    <row r="471" spans="2:44" ht="18.95" customHeight="1" x14ac:dyDescent="0.25">
      <c r="B471" s="42" t="str">
        <f>IF(C471="","",COUNT($C$8:C471))</f>
        <v/>
      </c>
      <c r="C471" s="43"/>
      <c r="D471" s="44"/>
      <c r="E471" s="45" t="str">
        <f>IF($Z471="","",IF($F471=ApportCouvert,INDEX(Îlots!$I$8:$I$57,$Z471)&amp;"",INDEX(Îlots!$N$8:$N$57,$Z471)&amp;""))</f>
        <v/>
      </c>
      <c r="F471" s="44"/>
      <c r="G471" s="44"/>
      <c r="H471" s="46" t="str">
        <f>IF($AA471="","",INDEX(Fertilisants!$D$8:$D$47,$AA471)&amp;"")</f>
        <v/>
      </c>
      <c r="I471" s="47"/>
      <c r="J471" s="48"/>
      <c r="K471" s="46" t="str">
        <f>IF($AA471="","",INDEX(Fertilisants!$E$8:$E$47,$AA471)&amp;"")</f>
        <v/>
      </c>
      <c r="L471" s="49" t="str">
        <f t="shared" si="98"/>
        <v/>
      </c>
      <c r="M471" s="50" t="str">
        <f>IF(OR($J471="",$AA471=""),"",$J471*N(INDEX(Fertilisants!$G$8:$G$47,$AA471)))</f>
        <v/>
      </c>
      <c r="N471" s="50" t="str">
        <f>IF(OR($J471="",$AA471=""),"",$J471*N(INDEX(Fertilisants!$I$8:$I$47,$AA471)))</f>
        <v/>
      </c>
      <c r="O471" s="50" t="str">
        <f>IF(OR($J471="",$AA471=""),"",$J471*N(INDEX(Fertilisants!$J$8:$J$47,$AA471)))</f>
        <v/>
      </c>
      <c r="P471" s="50" t="str">
        <f>IF(OR($J471="",$AA471=""),"",$J471*N(INDEX(Fertilisants!$K$8:$K$47,$AA471)))</f>
        <v/>
      </c>
      <c r="Q471" s="50" t="str">
        <f t="shared" si="99"/>
        <v/>
      </c>
      <c r="R471" s="44"/>
      <c r="S471" s="44"/>
      <c r="T471" s="51"/>
      <c r="U471" s="44"/>
      <c r="V471" s="43"/>
      <c r="W471" s="52" t="str">
        <f t="shared" si="100"/>
        <v/>
      </c>
      <c r="X471" s="44"/>
      <c r="Z471" s="53" t="str">
        <f>IF($D471="","",IFERROR(MATCH($D471,Îlots!$D$8:$D$57,0),""))</f>
        <v/>
      </c>
      <c r="AA471" s="53" t="str">
        <f>IF($G471="","",IFERROR(MATCH($G471,Fertilisants!$B$8:$B$47,0),""))</f>
        <v/>
      </c>
      <c r="AB471" s="53" t="str">
        <f>IF($Z471="","",INDEX(Îlots!$E$8:$E$57,$Z471))</f>
        <v/>
      </c>
      <c r="AC471" s="53" t="str">
        <f>IF($Z471="","",INDEX(Îlots!$G$8:$G$57,$Z471)&amp;"")</f>
        <v/>
      </c>
      <c r="AD471" s="53" t="str">
        <f>IF($Z471="","",IF($F471=ApportCouvert,OccCouvert,INDEX(Îlots!$O$8:$O$57,$Z471)&amp;""))</f>
        <v/>
      </c>
      <c r="AE471" s="53" t="str">
        <f t="shared" si="101"/>
        <v/>
      </c>
      <c r="AF471" s="53" t="str">
        <f t="shared" si="102"/>
        <v/>
      </c>
      <c r="AG471" s="53" t="str">
        <f t="shared" si="103"/>
        <v/>
      </c>
      <c r="AH471" s="53">
        <f t="shared" si="104"/>
        <v>0</v>
      </c>
      <c r="AI471" s="53">
        <f t="shared" si="105"/>
        <v>0</v>
      </c>
      <c r="AJ471" s="53">
        <f t="shared" si="106"/>
        <v>0</v>
      </c>
      <c r="AK471" s="53">
        <f t="shared" si="107"/>
        <v>0</v>
      </c>
      <c r="AL471" s="53">
        <f t="shared" si="108"/>
        <v>0</v>
      </c>
      <c r="AM471" s="53">
        <f>IF($AA471="",0,IF(INDEX(Fertilisants!$C$8:$C$47,$AA471)="Effluent d'élevage",1,0))</f>
        <v>0</v>
      </c>
      <c r="AN471" s="53" t="str">
        <f>IF($AA471="","",IF(INDEX(Fertilisants!$C$8:$C$47,$AA471)="Engrais minéral","Minéral","Organique"))</f>
        <v/>
      </c>
      <c r="AO471" s="53" t="str">
        <f t="shared" si="109"/>
        <v/>
      </c>
      <c r="AP471" s="53" t="str">
        <f t="shared" si="110"/>
        <v/>
      </c>
      <c r="AQ471" s="53" t="str">
        <f t="shared" si="111"/>
        <v/>
      </c>
      <c r="AR471" s="53" t="str">
        <f>IF(AND($D471&lt;&gt;"",$D471=FicheIlot),COUNTIF($D$8:$D471,FicheIlot),"")</f>
        <v/>
      </c>
    </row>
    <row r="472" spans="2:44" ht="18.95" customHeight="1" x14ac:dyDescent="0.25">
      <c r="B472" s="42" t="str">
        <f>IF(C472="","",COUNT($C$8:C472))</f>
        <v/>
      </c>
      <c r="C472" s="43"/>
      <c r="D472" s="44"/>
      <c r="E472" s="45" t="str">
        <f>IF($Z472="","",IF($F472=ApportCouvert,INDEX(Îlots!$I$8:$I$57,$Z472)&amp;"",INDEX(Îlots!$N$8:$N$57,$Z472)&amp;""))</f>
        <v/>
      </c>
      <c r="F472" s="44"/>
      <c r="G472" s="44"/>
      <c r="H472" s="46" t="str">
        <f>IF($AA472="","",INDEX(Fertilisants!$D$8:$D$47,$AA472)&amp;"")</f>
        <v/>
      </c>
      <c r="I472" s="47"/>
      <c r="J472" s="48"/>
      <c r="K472" s="46" t="str">
        <f>IF($AA472="","",INDEX(Fertilisants!$E$8:$E$47,$AA472)&amp;"")</f>
        <v/>
      </c>
      <c r="L472" s="49" t="str">
        <f t="shared" si="98"/>
        <v/>
      </c>
      <c r="M472" s="50" t="str">
        <f>IF(OR($J472="",$AA472=""),"",$J472*N(INDEX(Fertilisants!$G$8:$G$47,$AA472)))</f>
        <v/>
      </c>
      <c r="N472" s="50" t="str">
        <f>IF(OR($J472="",$AA472=""),"",$J472*N(INDEX(Fertilisants!$I$8:$I$47,$AA472)))</f>
        <v/>
      </c>
      <c r="O472" s="50" t="str">
        <f>IF(OR($J472="",$AA472=""),"",$J472*N(INDEX(Fertilisants!$J$8:$J$47,$AA472)))</f>
        <v/>
      </c>
      <c r="P472" s="50" t="str">
        <f>IF(OR($J472="",$AA472=""),"",$J472*N(INDEX(Fertilisants!$K$8:$K$47,$AA472)))</f>
        <v/>
      </c>
      <c r="Q472" s="50" t="str">
        <f t="shared" si="99"/>
        <v/>
      </c>
      <c r="R472" s="44"/>
      <c r="S472" s="44"/>
      <c r="T472" s="51"/>
      <c r="U472" s="44"/>
      <c r="V472" s="43"/>
      <c r="W472" s="52" t="str">
        <f t="shared" si="100"/>
        <v/>
      </c>
      <c r="X472" s="44"/>
      <c r="Z472" s="53" t="str">
        <f>IF($D472="","",IFERROR(MATCH($D472,Îlots!$D$8:$D$57,0),""))</f>
        <v/>
      </c>
      <c r="AA472" s="53" t="str">
        <f>IF($G472="","",IFERROR(MATCH($G472,Fertilisants!$B$8:$B$47,0),""))</f>
        <v/>
      </c>
      <c r="AB472" s="53" t="str">
        <f>IF($Z472="","",INDEX(Îlots!$E$8:$E$57,$Z472))</f>
        <v/>
      </c>
      <c r="AC472" s="53" t="str">
        <f>IF($Z472="","",INDEX(Îlots!$G$8:$G$57,$Z472)&amp;"")</f>
        <v/>
      </c>
      <c r="AD472" s="53" t="str">
        <f>IF($Z472="","",IF($F472=ApportCouvert,OccCouvert,INDEX(Îlots!$O$8:$O$57,$Z472)&amp;""))</f>
        <v/>
      </c>
      <c r="AE472" s="53" t="str">
        <f t="shared" si="101"/>
        <v/>
      </c>
      <c r="AF472" s="53" t="str">
        <f t="shared" si="102"/>
        <v/>
      </c>
      <c r="AG472" s="53" t="str">
        <f t="shared" si="103"/>
        <v/>
      </c>
      <c r="AH472" s="53">
        <f t="shared" si="104"/>
        <v>0</v>
      </c>
      <c r="AI472" s="53">
        <f t="shared" si="105"/>
        <v>0</v>
      </c>
      <c r="AJ472" s="53">
        <f t="shared" si="106"/>
        <v>0</v>
      </c>
      <c r="AK472" s="53">
        <f t="shared" si="107"/>
        <v>0</v>
      </c>
      <c r="AL472" s="53">
        <f t="shared" si="108"/>
        <v>0</v>
      </c>
      <c r="AM472" s="53">
        <f>IF($AA472="",0,IF(INDEX(Fertilisants!$C$8:$C$47,$AA472)="Effluent d'élevage",1,0))</f>
        <v>0</v>
      </c>
      <c r="AN472" s="53" t="str">
        <f>IF($AA472="","",IF(INDEX(Fertilisants!$C$8:$C$47,$AA472)="Engrais minéral","Minéral","Organique"))</f>
        <v/>
      </c>
      <c r="AO472" s="53" t="str">
        <f t="shared" si="109"/>
        <v/>
      </c>
      <c r="AP472" s="53" t="str">
        <f t="shared" si="110"/>
        <v/>
      </c>
      <c r="AQ472" s="53" t="str">
        <f t="shared" si="111"/>
        <v/>
      </c>
      <c r="AR472" s="53" t="str">
        <f>IF(AND($D472&lt;&gt;"",$D472=FicheIlot),COUNTIF($D$8:$D472,FicheIlot),"")</f>
        <v/>
      </c>
    </row>
    <row r="473" spans="2:44" ht="18.95" customHeight="1" x14ac:dyDescent="0.25">
      <c r="B473" s="42" t="str">
        <f>IF(C473="","",COUNT($C$8:C473))</f>
        <v/>
      </c>
      <c r="C473" s="43"/>
      <c r="D473" s="44"/>
      <c r="E473" s="45" t="str">
        <f>IF($Z473="","",IF($F473=ApportCouvert,INDEX(Îlots!$I$8:$I$57,$Z473)&amp;"",INDEX(Îlots!$N$8:$N$57,$Z473)&amp;""))</f>
        <v/>
      </c>
      <c r="F473" s="44"/>
      <c r="G473" s="44"/>
      <c r="H473" s="46" t="str">
        <f>IF($AA473="","",INDEX(Fertilisants!$D$8:$D$47,$AA473)&amp;"")</f>
        <v/>
      </c>
      <c r="I473" s="47"/>
      <c r="J473" s="48"/>
      <c r="K473" s="46" t="str">
        <f>IF($AA473="","",INDEX(Fertilisants!$E$8:$E$47,$AA473)&amp;"")</f>
        <v/>
      </c>
      <c r="L473" s="49" t="str">
        <f t="shared" si="98"/>
        <v/>
      </c>
      <c r="M473" s="50" t="str">
        <f>IF(OR($J473="",$AA473=""),"",$J473*N(INDEX(Fertilisants!$G$8:$G$47,$AA473)))</f>
        <v/>
      </c>
      <c r="N473" s="50" t="str">
        <f>IF(OR($J473="",$AA473=""),"",$J473*N(INDEX(Fertilisants!$I$8:$I$47,$AA473)))</f>
        <v/>
      </c>
      <c r="O473" s="50" t="str">
        <f>IF(OR($J473="",$AA473=""),"",$J473*N(INDEX(Fertilisants!$J$8:$J$47,$AA473)))</f>
        <v/>
      </c>
      <c r="P473" s="50" t="str">
        <f>IF(OR($J473="",$AA473=""),"",$J473*N(INDEX(Fertilisants!$K$8:$K$47,$AA473)))</f>
        <v/>
      </c>
      <c r="Q473" s="50" t="str">
        <f t="shared" si="99"/>
        <v/>
      </c>
      <c r="R473" s="44"/>
      <c r="S473" s="44"/>
      <c r="T473" s="51"/>
      <c r="U473" s="44"/>
      <c r="V473" s="43"/>
      <c r="W473" s="52" t="str">
        <f t="shared" si="100"/>
        <v/>
      </c>
      <c r="X473" s="44"/>
      <c r="Z473" s="53" t="str">
        <f>IF($D473="","",IFERROR(MATCH($D473,Îlots!$D$8:$D$57,0),""))</f>
        <v/>
      </c>
      <c r="AA473" s="53" t="str">
        <f>IF($G473="","",IFERROR(MATCH($G473,Fertilisants!$B$8:$B$47,0),""))</f>
        <v/>
      </c>
      <c r="AB473" s="53" t="str">
        <f>IF($Z473="","",INDEX(Îlots!$E$8:$E$57,$Z473))</f>
        <v/>
      </c>
      <c r="AC473" s="53" t="str">
        <f>IF($Z473="","",INDEX(Îlots!$G$8:$G$57,$Z473)&amp;"")</f>
        <v/>
      </c>
      <c r="AD473" s="53" t="str">
        <f>IF($Z473="","",IF($F473=ApportCouvert,OccCouvert,INDEX(Îlots!$O$8:$O$57,$Z473)&amp;""))</f>
        <v/>
      </c>
      <c r="AE473" s="53" t="str">
        <f t="shared" si="101"/>
        <v/>
      </c>
      <c r="AF473" s="53" t="str">
        <f t="shared" si="102"/>
        <v/>
      </c>
      <c r="AG473" s="53" t="str">
        <f t="shared" si="103"/>
        <v/>
      </c>
      <c r="AH473" s="53">
        <f t="shared" si="104"/>
        <v>0</v>
      </c>
      <c r="AI473" s="53">
        <f t="shared" si="105"/>
        <v>0</v>
      </c>
      <c r="AJ473" s="53">
        <f t="shared" si="106"/>
        <v>0</v>
      </c>
      <c r="AK473" s="53">
        <f t="shared" si="107"/>
        <v>0</v>
      </c>
      <c r="AL473" s="53">
        <f t="shared" si="108"/>
        <v>0</v>
      </c>
      <c r="AM473" s="53">
        <f>IF($AA473="",0,IF(INDEX(Fertilisants!$C$8:$C$47,$AA473)="Effluent d'élevage",1,0))</f>
        <v>0</v>
      </c>
      <c r="AN473" s="53" t="str">
        <f>IF($AA473="","",IF(INDEX(Fertilisants!$C$8:$C$47,$AA473)="Engrais minéral","Minéral","Organique"))</f>
        <v/>
      </c>
      <c r="AO473" s="53" t="str">
        <f t="shared" si="109"/>
        <v/>
      </c>
      <c r="AP473" s="53" t="str">
        <f t="shared" si="110"/>
        <v/>
      </c>
      <c r="AQ473" s="53" t="str">
        <f t="shared" si="111"/>
        <v/>
      </c>
      <c r="AR473" s="53" t="str">
        <f>IF(AND($D473&lt;&gt;"",$D473=FicheIlot),COUNTIF($D$8:$D473,FicheIlot),"")</f>
        <v/>
      </c>
    </row>
    <row r="474" spans="2:44" ht="18.95" customHeight="1" x14ac:dyDescent="0.25">
      <c r="B474" s="42" t="str">
        <f>IF(C474="","",COUNT($C$8:C474))</f>
        <v/>
      </c>
      <c r="C474" s="43"/>
      <c r="D474" s="44"/>
      <c r="E474" s="45" t="str">
        <f>IF($Z474="","",IF($F474=ApportCouvert,INDEX(Îlots!$I$8:$I$57,$Z474)&amp;"",INDEX(Îlots!$N$8:$N$57,$Z474)&amp;""))</f>
        <v/>
      </c>
      <c r="F474" s="44"/>
      <c r="G474" s="44"/>
      <c r="H474" s="46" t="str">
        <f>IF($AA474="","",INDEX(Fertilisants!$D$8:$D$47,$AA474)&amp;"")</f>
        <v/>
      </c>
      <c r="I474" s="47"/>
      <c r="J474" s="48"/>
      <c r="K474" s="46" t="str">
        <f>IF($AA474="","",INDEX(Fertilisants!$E$8:$E$47,$AA474)&amp;"")</f>
        <v/>
      </c>
      <c r="L474" s="49" t="str">
        <f t="shared" si="98"/>
        <v/>
      </c>
      <c r="M474" s="50" t="str">
        <f>IF(OR($J474="",$AA474=""),"",$J474*N(INDEX(Fertilisants!$G$8:$G$47,$AA474)))</f>
        <v/>
      </c>
      <c r="N474" s="50" t="str">
        <f>IF(OR($J474="",$AA474=""),"",$J474*N(INDEX(Fertilisants!$I$8:$I$47,$AA474)))</f>
        <v/>
      </c>
      <c r="O474" s="50" t="str">
        <f>IF(OR($J474="",$AA474=""),"",$J474*N(INDEX(Fertilisants!$J$8:$J$47,$AA474)))</f>
        <v/>
      </c>
      <c r="P474" s="50" t="str">
        <f>IF(OR($J474="",$AA474=""),"",$J474*N(INDEX(Fertilisants!$K$8:$K$47,$AA474)))</f>
        <v/>
      </c>
      <c r="Q474" s="50" t="str">
        <f t="shared" si="99"/>
        <v/>
      </c>
      <c r="R474" s="44"/>
      <c r="S474" s="44"/>
      <c r="T474" s="51"/>
      <c r="U474" s="44"/>
      <c r="V474" s="43"/>
      <c r="W474" s="52" t="str">
        <f t="shared" si="100"/>
        <v/>
      </c>
      <c r="X474" s="44"/>
      <c r="Z474" s="53" t="str">
        <f>IF($D474="","",IFERROR(MATCH($D474,Îlots!$D$8:$D$57,0),""))</f>
        <v/>
      </c>
      <c r="AA474" s="53" t="str">
        <f>IF($G474="","",IFERROR(MATCH($G474,Fertilisants!$B$8:$B$47,0),""))</f>
        <v/>
      </c>
      <c r="AB474" s="53" t="str">
        <f>IF($Z474="","",INDEX(Îlots!$E$8:$E$57,$Z474))</f>
        <v/>
      </c>
      <c r="AC474" s="53" t="str">
        <f>IF($Z474="","",INDEX(Îlots!$G$8:$G$57,$Z474)&amp;"")</f>
        <v/>
      </c>
      <c r="AD474" s="53" t="str">
        <f>IF($Z474="","",IF($F474=ApportCouvert,OccCouvert,INDEX(Îlots!$O$8:$O$57,$Z474)&amp;""))</f>
        <v/>
      </c>
      <c r="AE474" s="53" t="str">
        <f t="shared" si="101"/>
        <v/>
      </c>
      <c r="AF474" s="53" t="str">
        <f t="shared" si="102"/>
        <v/>
      </c>
      <c r="AG474" s="53" t="str">
        <f t="shared" si="103"/>
        <v/>
      </c>
      <c r="AH474" s="53">
        <f t="shared" si="104"/>
        <v>0</v>
      </c>
      <c r="AI474" s="53">
        <f t="shared" si="105"/>
        <v>0</v>
      </c>
      <c r="AJ474" s="53">
        <f t="shared" si="106"/>
        <v>0</v>
      </c>
      <c r="AK474" s="53">
        <f t="shared" si="107"/>
        <v>0</v>
      </c>
      <c r="AL474" s="53">
        <f t="shared" si="108"/>
        <v>0</v>
      </c>
      <c r="AM474" s="53">
        <f>IF($AA474="",0,IF(INDEX(Fertilisants!$C$8:$C$47,$AA474)="Effluent d'élevage",1,0))</f>
        <v>0</v>
      </c>
      <c r="AN474" s="53" t="str">
        <f>IF($AA474="","",IF(INDEX(Fertilisants!$C$8:$C$47,$AA474)="Engrais minéral","Minéral","Organique"))</f>
        <v/>
      </c>
      <c r="AO474" s="53" t="str">
        <f t="shared" si="109"/>
        <v/>
      </c>
      <c r="AP474" s="53" t="str">
        <f t="shared" si="110"/>
        <v/>
      </c>
      <c r="AQ474" s="53" t="str">
        <f t="shared" si="111"/>
        <v/>
      </c>
      <c r="AR474" s="53" t="str">
        <f>IF(AND($D474&lt;&gt;"",$D474=FicheIlot),COUNTIF($D$8:$D474,FicheIlot),"")</f>
        <v/>
      </c>
    </row>
    <row r="475" spans="2:44" ht="18.95" customHeight="1" x14ac:dyDescent="0.25">
      <c r="B475" s="42" t="str">
        <f>IF(C475="","",COUNT($C$8:C475))</f>
        <v/>
      </c>
      <c r="C475" s="43"/>
      <c r="D475" s="44"/>
      <c r="E475" s="45" t="str">
        <f>IF($Z475="","",IF($F475=ApportCouvert,INDEX(Îlots!$I$8:$I$57,$Z475)&amp;"",INDEX(Îlots!$N$8:$N$57,$Z475)&amp;""))</f>
        <v/>
      </c>
      <c r="F475" s="44"/>
      <c r="G475" s="44"/>
      <c r="H475" s="46" t="str">
        <f>IF($AA475="","",INDEX(Fertilisants!$D$8:$D$47,$AA475)&amp;"")</f>
        <v/>
      </c>
      <c r="I475" s="47"/>
      <c r="J475" s="48"/>
      <c r="K475" s="46" t="str">
        <f>IF($AA475="","",INDEX(Fertilisants!$E$8:$E$47,$AA475)&amp;"")</f>
        <v/>
      </c>
      <c r="L475" s="49" t="str">
        <f t="shared" si="98"/>
        <v/>
      </c>
      <c r="M475" s="50" t="str">
        <f>IF(OR($J475="",$AA475=""),"",$J475*N(INDEX(Fertilisants!$G$8:$G$47,$AA475)))</f>
        <v/>
      </c>
      <c r="N475" s="50" t="str">
        <f>IF(OR($J475="",$AA475=""),"",$J475*N(INDEX(Fertilisants!$I$8:$I$47,$AA475)))</f>
        <v/>
      </c>
      <c r="O475" s="50" t="str">
        <f>IF(OR($J475="",$AA475=""),"",$J475*N(INDEX(Fertilisants!$J$8:$J$47,$AA475)))</f>
        <v/>
      </c>
      <c r="P475" s="50" t="str">
        <f>IF(OR($J475="",$AA475=""),"",$J475*N(INDEX(Fertilisants!$K$8:$K$47,$AA475)))</f>
        <v/>
      </c>
      <c r="Q475" s="50" t="str">
        <f t="shared" si="99"/>
        <v/>
      </c>
      <c r="R475" s="44"/>
      <c r="S475" s="44"/>
      <c r="T475" s="51"/>
      <c r="U475" s="44"/>
      <c r="V475" s="43"/>
      <c r="W475" s="52" t="str">
        <f t="shared" si="100"/>
        <v/>
      </c>
      <c r="X475" s="44"/>
      <c r="Z475" s="53" t="str">
        <f>IF($D475="","",IFERROR(MATCH($D475,Îlots!$D$8:$D$57,0),""))</f>
        <v/>
      </c>
      <c r="AA475" s="53" t="str">
        <f>IF($G475="","",IFERROR(MATCH($G475,Fertilisants!$B$8:$B$47,0),""))</f>
        <v/>
      </c>
      <c r="AB475" s="53" t="str">
        <f>IF($Z475="","",INDEX(Îlots!$E$8:$E$57,$Z475))</f>
        <v/>
      </c>
      <c r="AC475" s="53" t="str">
        <f>IF($Z475="","",INDEX(Îlots!$G$8:$G$57,$Z475)&amp;"")</f>
        <v/>
      </c>
      <c r="AD475" s="53" t="str">
        <f>IF($Z475="","",IF($F475=ApportCouvert,OccCouvert,INDEX(Îlots!$O$8:$O$57,$Z475)&amp;""))</f>
        <v/>
      </c>
      <c r="AE475" s="53" t="str">
        <f t="shared" si="101"/>
        <v/>
      </c>
      <c r="AF475" s="53" t="str">
        <f t="shared" si="102"/>
        <v/>
      </c>
      <c r="AG475" s="53" t="str">
        <f t="shared" si="103"/>
        <v/>
      </c>
      <c r="AH475" s="53">
        <f t="shared" si="104"/>
        <v>0</v>
      </c>
      <c r="AI475" s="53">
        <f t="shared" si="105"/>
        <v>0</v>
      </c>
      <c r="AJ475" s="53">
        <f t="shared" si="106"/>
        <v>0</v>
      </c>
      <c r="AK475" s="53">
        <f t="shared" si="107"/>
        <v>0</v>
      </c>
      <c r="AL475" s="53">
        <f t="shared" si="108"/>
        <v>0</v>
      </c>
      <c r="AM475" s="53">
        <f>IF($AA475="",0,IF(INDEX(Fertilisants!$C$8:$C$47,$AA475)="Effluent d'élevage",1,0))</f>
        <v>0</v>
      </c>
      <c r="AN475" s="53" t="str">
        <f>IF($AA475="","",IF(INDEX(Fertilisants!$C$8:$C$47,$AA475)="Engrais minéral","Minéral","Organique"))</f>
        <v/>
      </c>
      <c r="AO475" s="53" t="str">
        <f t="shared" si="109"/>
        <v/>
      </c>
      <c r="AP475" s="53" t="str">
        <f t="shared" si="110"/>
        <v/>
      </c>
      <c r="AQ475" s="53" t="str">
        <f t="shared" si="111"/>
        <v/>
      </c>
      <c r="AR475" s="53" t="str">
        <f>IF(AND($D475&lt;&gt;"",$D475=FicheIlot),COUNTIF($D$8:$D475,FicheIlot),"")</f>
        <v/>
      </c>
    </row>
    <row r="476" spans="2:44" ht="18.95" customHeight="1" x14ac:dyDescent="0.25">
      <c r="B476" s="42" t="str">
        <f>IF(C476="","",COUNT($C$8:C476))</f>
        <v/>
      </c>
      <c r="C476" s="43"/>
      <c r="D476" s="44"/>
      <c r="E476" s="45" t="str">
        <f>IF($Z476="","",IF($F476=ApportCouvert,INDEX(Îlots!$I$8:$I$57,$Z476)&amp;"",INDEX(Îlots!$N$8:$N$57,$Z476)&amp;""))</f>
        <v/>
      </c>
      <c r="F476" s="44"/>
      <c r="G476" s="44"/>
      <c r="H476" s="46" t="str">
        <f>IF($AA476="","",INDEX(Fertilisants!$D$8:$D$47,$AA476)&amp;"")</f>
        <v/>
      </c>
      <c r="I476" s="47"/>
      <c r="J476" s="48"/>
      <c r="K476" s="46" t="str">
        <f>IF($AA476="","",INDEX(Fertilisants!$E$8:$E$47,$AA476)&amp;"")</f>
        <v/>
      </c>
      <c r="L476" s="49" t="str">
        <f t="shared" si="98"/>
        <v/>
      </c>
      <c r="M476" s="50" t="str">
        <f>IF(OR($J476="",$AA476=""),"",$J476*N(INDEX(Fertilisants!$G$8:$G$47,$AA476)))</f>
        <v/>
      </c>
      <c r="N476" s="50" t="str">
        <f>IF(OR($J476="",$AA476=""),"",$J476*N(INDEX(Fertilisants!$I$8:$I$47,$AA476)))</f>
        <v/>
      </c>
      <c r="O476" s="50" t="str">
        <f>IF(OR($J476="",$AA476=""),"",$J476*N(INDEX(Fertilisants!$J$8:$J$47,$AA476)))</f>
        <v/>
      </c>
      <c r="P476" s="50" t="str">
        <f>IF(OR($J476="",$AA476=""),"",$J476*N(INDEX(Fertilisants!$K$8:$K$47,$AA476)))</f>
        <v/>
      </c>
      <c r="Q476" s="50" t="str">
        <f t="shared" si="99"/>
        <v/>
      </c>
      <c r="R476" s="44"/>
      <c r="S476" s="44"/>
      <c r="T476" s="51"/>
      <c r="U476" s="44"/>
      <c r="V476" s="43"/>
      <c r="W476" s="52" t="str">
        <f t="shared" si="100"/>
        <v/>
      </c>
      <c r="X476" s="44"/>
      <c r="Z476" s="53" t="str">
        <f>IF($D476="","",IFERROR(MATCH($D476,Îlots!$D$8:$D$57,0),""))</f>
        <v/>
      </c>
      <c r="AA476" s="53" t="str">
        <f>IF($G476="","",IFERROR(MATCH($G476,Fertilisants!$B$8:$B$47,0),""))</f>
        <v/>
      </c>
      <c r="AB476" s="53" t="str">
        <f>IF($Z476="","",INDEX(Îlots!$E$8:$E$57,$Z476))</f>
        <v/>
      </c>
      <c r="AC476" s="53" t="str">
        <f>IF($Z476="","",INDEX(Îlots!$G$8:$G$57,$Z476)&amp;"")</f>
        <v/>
      </c>
      <c r="AD476" s="53" t="str">
        <f>IF($Z476="","",IF($F476=ApportCouvert,OccCouvert,INDEX(Îlots!$O$8:$O$57,$Z476)&amp;""))</f>
        <v/>
      </c>
      <c r="AE476" s="53" t="str">
        <f t="shared" si="101"/>
        <v/>
      </c>
      <c r="AF476" s="53" t="str">
        <f t="shared" si="102"/>
        <v/>
      </c>
      <c r="AG476" s="53" t="str">
        <f t="shared" si="103"/>
        <v/>
      </c>
      <c r="AH476" s="53">
        <f t="shared" si="104"/>
        <v>0</v>
      </c>
      <c r="AI476" s="53">
        <f t="shared" si="105"/>
        <v>0</v>
      </c>
      <c r="AJ476" s="53">
        <f t="shared" si="106"/>
        <v>0</v>
      </c>
      <c r="AK476" s="53">
        <f t="shared" si="107"/>
        <v>0</v>
      </c>
      <c r="AL476" s="53">
        <f t="shared" si="108"/>
        <v>0</v>
      </c>
      <c r="AM476" s="53">
        <f>IF($AA476="",0,IF(INDEX(Fertilisants!$C$8:$C$47,$AA476)="Effluent d'élevage",1,0))</f>
        <v>0</v>
      </c>
      <c r="AN476" s="53" t="str">
        <f>IF($AA476="","",IF(INDEX(Fertilisants!$C$8:$C$47,$AA476)="Engrais minéral","Minéral","Organique"))</f>
        <v/>
      </c>
      <c r="AO476" s="53" t="str">
        <f t="shared" si="109"/>
        <v/>
      </c>
      <c r="AP476" s="53" t="str">
        <f t="shared" si="110"/>
        <v/>
      </c>
      <c r="AQ476" s="53" t="str">
        <f t="shared" si="111"/>
        <v/>
      </c>
      <c r="AR476" s="53" t="str">
        <f>IF(AND($D476&lt;&gt;"",$D476=FicheIlot),COUNTIF($D$8:$D476,FicheIlot),"")</f>
        <v/>
      </c>
    </row>
    <row r="477" spans="2:44" ht="18.95" customHeight="1" x14ac:dyDescent="0.25">
      <c r="B477" s="42" t="str">
        <f>IF(C477="","",COUNT($C$8:C477))</f>
        <v/>
      </c>
      <c r="C477" s="43"/>
      <c r="D477" s="44"/>
      <c r="E477" s="45" t="str">
        <f>IF($Z477="","",IF($F477=ApportCouvert,INDEX(Îlots!$I$8:$I$57,$Z477)&amp;"",INDEX(Îlots!$N$8:$N$57,$Z477)&amp;""))</f>
        <v/>
      </c>
      <c r="F477" s="44"/>
      <c r="G477" s="44"/>
      <c r="H477" s="46" t="str">
        <f>IF($AA477="","",INDEX(Fertilisants!$D$8:$D$47,$AA477)&amp;"")</f>
        <v/>
      </c>
      <c r="I477" s="47"/>
      <c r="J477" s="48"/>
      <c r="K477" s="46" t="str">
        <f>IF($AA477="","",INDEX(Fertilisants!$E$8:$E$47,$AA477)&amp;"")</f>
        <v/>
      </c>
      <c r="L477" s="49" t="str">
        <f t="shared" si="98"/>
        <v/>
      </c>
      <c r="M477" s="50" t="str">
        <f>IF(OR($J477="",$AA477=""),"",$J477*N(INDEX(Fertilisants!$G$8:$G$47,$AA477)))</f>
        <v/>
      </c>
      <c r="N477" s="50" t="str">
        <f>IF(OR($J477="",$AA477=""),"",$J477*N(INDEX(Fertilisants!$I$8:$I$47,$AA477)))</f>
        <v/>
      </c>
      <c r="O477" s="50" t="str">
        <f>IF(OR($J477="",$AA477=""),"",$J477*N(INDEX(Fertilisants!$J$8:$J$47,$AA477)))</f>
        <v/>
      </c>
      <c r="P477" s="50" t="str">
        <f>IF(OR($J477="",$AA477=""),"",$J477*N(INDEX(Fertilisants!$K$8:$K$47,$AA477)))</f>
        <v/>
      </c>
      <c r="Q477" s="50" t="str">
        <f t="shared" si="99"/>
        <v/>
      </c>
      <c r="R477" s="44"/>
      <c r="S477" s="44"/>
      <c r="T477" s="51"/>
      <c r="U477" s="44"/>
      <c r="V477" s="43"/>
      <c r="W477" s="52" t="str">
        <f t="shared" si="100"/>
        <v/>
      </c>
      <c r="X477" s="44"/>
      <c r="Z477" s="53" t="str">
        <f>IF($D477="","",IFERROR(MATCH($D477,Îlots!$D$8:$D$57,0),""))</f>
        <v/>
      </c>
      <c r="AA477" s="53" t="str">
        <f>IF($G477="","",IFERROR(MATCH($G477,Fertilisants!$B$8:$B$47,0),""))</f>
        <v/>
      </c>
      <c r="AB477" s="53" t="str">
        <f>IF($Z477="","",INDEX(Îlots!$E$8:$E$57,$Z477))</f>
        <v/>
      </c>
      <c r="AC477" s="53" t="str">
        <f>IF($Z477="","",INDEX(Îlots!$G$8:$G$57,$Z477)&amp;"")</f>
        <v/>
      </c>
      <c r="AD477" s="53" t="str">
        <f>IF($Z477="","",IF($F477=ApportCouvert,OccCouvert,INDEX(Îlots!$O$8:$O$57,$Z477)&amp;""))</f>
        <v/>
      </c>
      <c r="AE477" s="53" t="str">
        <f t="shared" si="101"/>
        <v/>
      </c>
      <c r="AF477" s="53" t="str">
        <f t="shared" si="102"/>
        <v/>
      </c>
      <c r="AG477" s="53" t="str">
        <f t="shared" si="103"/>
        <v/>
      </c>
      <c r="AH477" s="53">
        <f t="shared" si="104"/>
        <v>0</v>
      </c>
      <c r="AI477" s="53">
        <f t="shared" si="105"/>
        <v>0</v>
      </c>
      <c r="AJ477" s="53">
        <f t="shared" si="106"/>
        <v>0</v>
      </c>
      <c r="AK477" s="53">
        <f t="shared" si="107"/>
        <v>0</v>
      </c>
      <c r="AL477" s="53">
        <f t="shared" si="108"/>
        <v>0</v>
      </c>
      <c r="AM477" s="53">
        <f>IF($AA477="",0,IF(INDEX(Fertilisants!$C$8:$C$47,$AA477)="Effluent d'élevage",1,0))</f>
        <v>0</v>
      </c>
      <c r="AN477" s="53" t="str">
        <f>IF($AA477="","",IF(INDEX(Fertilisants!$C$8:$C$47,$AA477)="Engrais minéral","Minéral","Organique"))</f>
        <v/>
      </c>
      <c r="AO477" s="53" t="str">
        <f t="shared" si="109"/>
        <v/>
      </c>
      <c r="AP477" s="53" t="str">
        <f t="shared" si="110"/>
        <v/>
      </c>
      <c r="AQ477" s="53" t="str">
        <f t="shared" si="111"/>
        <v/>
      </c>
      <c r="AR477" s="53" t="str">
        <f>IF(AND($D477&lt;&gt;"",$D477=FicheIlot),COUNTIF($D$8:$D477,FicheIlot),"")</f>
        <v/>
      </c>
    </row>
    <row r="478" spans="2:44" ht="18.95" customHeight="1" x14ac:dyDescent="0.25">
      <c r="B478" s="42" t="str">
        <f>IF(C478="","",COUNT($C$8:C478))</f>
        <v/>
      </c>
      <c r="C478" s="43"/>
      <c r="D478" s="44"/>
      <c r="E478" s="45" t="str">
        <f>IF($Z478="","",IF($F478=ApportCouvert,INDEX(Îlots!$I$8:$I$57,$Z478)&amp;"",INDEX(Îlots!$N$8:$N$57,$Z478)&amp;""))</f>
        <v/>
      </c>
      <c r="F478" s="44"/>
      <c r="G478" s="44"/>
      <c r="H478" s="46" t="str">
        <f>IF($AA478="","",INDEX(Fertilisants!$D$8:$D$47,$AA478)&amp;"")</f>
        <v/>
      </c>
      <c r="I478" s="47"/>
      <c r="J478" s="48"/>
      <c r="K478" s="46" t="str">
        <f>IF($AA478="","",INDEX(Fertilisants!$E$8:$E$47,$AA478)&amp;"")</f>
        <v/>
      </c>
      <c r="L478" s="49" t="str">
        <f t="shared" si="98"/>
        <v/>
      </c>
      <c r="M478" s="50" t="str">
        <f>IF(OR($J478="",$AA478=""),"",$J478*N(INDEX(Fertilisants!$G$8:$G$47,$AA478)))</f>
        <v/>
      </c>
      <c r="N478" s="50" t="str">
        <f>IF(OR($J478="",$AA478=""),"",$J478*N(INDEX(Fertilisants!$I$8:$I$47,$AA478)))</f>
        <v/>
      </c>
      <c r="O478" s="50" t="str">
        <f>IF(OR($J478="",$AA478=""),"",$J478*N(INDEX(Fertilisants!$J$8:$J$47,$AA478)))</f>
        <v/>
      </c>
      <c r="P478" s="50" t="str">
        <f>IF(OR($J478="",$AA478=""),"",$J478*N(INDEX(Fertilisants!$K$8:$K$47,$AA478)))</f>
        <v/>
      </c>
      <c r="Q478" s="50" t="str">
        <f t="shared" si="99"/>
        <v/>
      </c>
      <c r="R478" s="44"/>
      <c r="S478" s="44"/>
      <c r="T478" s="51"/>
      <c r="U478" s="44"/>
      <c r="V478" s="43"/>
      <c r="W478" s="52" t="str">
        <f t="shared" si="100"/>
        <v/>
      </c>
      <c r="X478" s="44"/>
      <c r="Z478" s="53" t="str">
        <f>IF($D478="","",IFERROR(MATCH($D478,Îlots!$D$8:$D$57,0),""))</f>
        <v/>
      </c>
      <c r="AA478" s="53" t="str">
        <f>IF($G478="","",IFERROR(MATCH($G478,Fertilisants!$B$8:$B$47,0),""))</f>
        <v/>
      </c>
      <c r="AB478" s="53" t="str">
        <f>IF($Z478="","",INDEX(Îlots!$E$8:$E$57,$Z478))</f>
        <v/>
      </c>
      <c r="AC478" s="53" t="str">
        <f>IF($Z478="","",INDEX(Îlots!$G$8:$G$57,$Z478)&amp;"")</f>
        <v/>
      </c>
      <c r="AD478" s="53" t="str">
        <f>IF($Z478="","",IF($F478=ApportCouvert,OccCouvert,INDEX(Îlots!$O$8:$O$57,$Z478)&amp;""))</f>
        <v/>
      </c>
      <c r="AE478" s="53" t="str">
        <f t="shared" si="101"/>
        <v/>
      </c>
      <c r="AF478" s="53" t="str">
        <f t="shared" si="102"/>
        <v/>
      </c>
      <c r="AG478" s="53" t="str">
        <f t="shared" si="103"/>
        <v/>
      </c>
      <c r="AH478" s="53">
        <f t="shared" si="104"/>
        <v>0</v>
      </c>
      <c r="AI478" s="53">
        <f t="shared" si="105"/>
        <v>0</v>
      </c>
      <c r="AJ478" s="53">
        <f t="shared" si="106"/>
        <v>0</v>
      </c>
      <c r="AK478" s="53">
        <f t="shared" si="107"/>
        <v>0</v>
      </c>
      <c r="AL478" s="53">
        <f t="shared" si="108"/>
        <v>0</v>
      </c>
      <c r="AM478" s="53">
        <f>IF($AA478="",0,IF(INDEX(Fertilisants!$C$8:$C$47,$AA478)="Effluent d'élevage",1,0))</f>
        <v>0</v>
      </c>
      <c r="AN478" s="53" t="str">
        <f>IF($AA478="","",IF(INDEX(Fertilisants!$C$8:$C$47,$AA478)="Engrais minéral","Minéral","Organique"))</f>
        <v/>
      </c>
      <c r="AO478" s="53" t="str">
        <f t="shared" si="109"/>
        <v/>
      </c>
      <c r="AP478" s="53" t="str">
        <f t="shared" si="110"/>
        <v/>
      </c>
      <c r="AQ478" s="53" t="str">
        <f t="shared" si="111"/>
        <v/>
      </c>
      <c r="AR478" s="53" t="str">
        <f>IF(AND($D478&lt;&gt;"",$D478=FicheIlot),COUNTIF($D$8:$D478,FicheIlot),"")</f>
        <v/>
      </c>
    </row>
    <row r="479" spans="2:44" ht="18.95" customHeight="1" x14ac:dyDescent="0.25">
      <c r="B479" s="42" t="str">
        <f>IF(C479="","",COUNT($C$8:C479))</f>
        <v/>
      </c>
      <c r="C479" s="43"/>
      <c r="D479" s="44"/>
      <c r="E479" s="45" t="str">
        <f>IF($Z479="","",IF($F479=ApportCouvert,INDEX(Îlots!$I$8:$I$57,$Z479)&amp;"",INDEX(Îlots!$N$8:$N$57,$Z479)&amp;""))</f>
        <v/>
      </c>
      <c r="F479" s="44"/>
      <c r="G479" s="44"/>
      <c r="H479" s="46" t="str">
        <f>IF($AA479="","",INDEX(Fertilisants!$D$8:$D$47,$AA479)&amp;"")</f>
        <v/>
      </c>
      <c r="I479" s="47"/>
      <c r="J479" s="48"/>
      <c r="K479" s="46" t="str">
        <f>IF($AA479="","",INDEX(Fertilisants!$E$8:$E$47,$AA479)&amp;"")</f>
        <v/>
      </c>
      <c r="L479" s="49" t="str">
        <f t="shared" si="98"/>
        <v/>
      </c>
      <c r="M479" s="50" t="str">
        <f>IF(OR($J479="",$AA479=""),"",$J479*N(INDEX(Fertilisants!$G$8:$G$47,$AA479)))</f>
        <v/>
      </c>
      <c r="N479" s="50" t="str">
        <f>IF(OR($J479="",$AA479=""),"",$J479*N(INDEX(Fertilisants!$I$8:$I$47,$AA479)))</f>
        <v/>
      </c>
      <c r="O479" s="50" t="str">
        <f>IF(OR($J479="",$AA479=""),"",$J479*N(INDEX(Fertilisants!$J$8:$J$47,$AA479)))</f>
        <v/>
      </c>
      <c r="P479" s="50" t="str">
        <f>IF(OR($J479="",$AA479=""),"",$J479*N(INDEX(Fertilisants!$K$8:$K$47,$AA479)))</f>
        <v/>
      </c>
      <c r="Q479" s="50" t="str">
        <f t="shared" si="99"/>
        <v/>
      </c>
      <c r="R479" s="44"/>
      <c r="S479" s="44"/>
      <c r="T479" s="51"/>
      <c r="U479" s="44"/>
      <c r="V479" s="43"/>
      <c r="W479" s="52" t="str">
        <f t="shared" si="100"/>
        <v/>
      </c>
      <c r="X479" s="44"/>
      <c r="Z479" s="53" t="str">
        <f>IF($D479="","",IFERROR(MATCH($D479,Îlots!$D$8:$D$57,0),""))</f>
        <v/>
      </c>
      <c r="AA479" s="53" t="str">
        <f>IF($G479="","",IFERROR(MATCH($G479,Fertilisants!$B$8:$B$47,0),""))</f>
        <v/>
      </c>
      <c r="AB479" s="53" t="str">
        <f>IF($Z479="","",INDEX(Îlots!$E$8:$E$57,$Z479))</f>
        <v/>
      </c>
      <c r="AC479" s="53" t="str">
        <f>IF($Z479="","",INDEX(Îlots!$G$8:$G$57,$Z479)&amp;"")</f>
        <v/>
      </c>
      <c r="AD479" s="53" t="str">
        <f>IF($Z479="","",IF($F479=ApportCouvert,OccCouvert,INDEX(Îlots!$O$8:$O$57,$Z479)&amp;""))</f>
        <v/>
      </c>
      <c r="AE479" s="53" t="str">
        <f t="shared" si="101"/>
        <v/>
      </c>
      <c r="AF479" s="53" t="str">
        <f t="shared" si="102"/>
        <v/>
      </c>
      <c r="AG479" s="53" t="str">
        <f t="shared" si="103"/>
        <v/>
      </c>
      <c r="AH479" s="53">
        <f t="shared" si="104"/>
        <v>0</v>
      </c>
      <c r="AI479" s="53">
        <f t="shared" si="105"/>
        <v>0</v>
      </c>
      <c r="AJ479" s="53">
        <f t="shared" si="106"/>
        <v>0</v>
      </c>
      <c r="AK479" s="53">
        <f t="shared" si="107"/>
        <v>0</v>
      </c>
      <c r="AL479" s="53">
        <f t="shared" si="108"/>
        <v>0</v>
      </c>
      <c r="AM479" s="53">
        <f>IF($AA479="",0,IF(INDEX(Fertilisants!$C$8:$C$47,$AA479)="Effluent d'élevage",1,0))</f>
        <v>0</v>
      </c>
      <c r="AN479" s="53" t="str">
        <f>IF($AA479="","",IF(INDEX(Fertilisants!$C$8:$C$47,$AA479)="Engrais minéral","Minéral","Organique"))</f>
        <v/>
      </c>
      <c r="AO479" s="53" t="str">
        <f t="shared" si="109"/>
        <v/>
      </c>
      <c r="AP479" s="53" t="str">
        <f t="shared" si="110"/>
        <v/>
      </c>
      <c r="AQ479" s="53" t="str">
        <f t="shared" si="111"/>
        <v/>
      </c>
      <c r="AR479" s="53" t="str">
        <f>IF(AND($D479&lt;&gt;"",$D479=FicheIlot),COUNTIF($D$8:$D479,FicheIlot),"")</f>
        <v/>
      </c>
    </row>
    <row r="480" spans="2:44" ht="18.95" customHeight="1" x14ac:dyDescent="0.25">
      <c r="B480" s="42" t="str">
        <f>IF(C480="","",COUNT($C$8:C480))</f>
        <v/>
      </c>
      <c r="C480" s="43"/>
      <c r="D480" s="44"/>
      <c r="E480" s="45" t="str">
        <f>IF($Z480="","",IF($F480=ApportCouvert,INDEX(Îlots!$I$8:$I$57,$Z480)&amp;"",INDEX(Îlots!$N$8:$N$57,$Z480)&amp;""))</f>
        <v/>
      </c>
      <c r="F480" s="44"/>
      <c r="G480" s="44"/>
      <c r="H480" s="46" t="str">
        <f>IF($AA480="","",INDEX(Fertilisants!$D$8:$D$47,$AA480)&amp;"")</f>
        <v/>
      </c>
      <c r="I480" s="47"/>
      <c r="J480" s="48"/>
      <c r="K480" s="46" t="str">
        <f>IF($AA480="","",INDEX(Fertilisants!$E$8:$E$47,$AA480)&amp;"")</f>
        <v/>
      </c>
      <c r="L480" s="49" t="str">
        <f t="shared" si="98"/>
        <v/>
      </c>
      <c r="M480" s="50" t="str">
        <f>IF(OR($J480="",$AA480=""),"",$J480*N(INDEX(Fertilisants!$G$8:$G$47,$AA480)))</f>
        <v/>
      </c>
      <c r="N480" s="50" t="str">
        <f>IF(OR($J480="",$AA480=""),"",$J480*N(INDEX(Fertilisants!$I$8:$I$47,$AA480)))</f>
        <v/>
      </c>
      <c r="O480" s="50" t="str">
        <f>IF(OR($J480="",$AA480=""),"",$J480*N(INDEX(Fertilisants!$J$8:$J$47,$AA480)))</f>
        <v/>
      </c>
      <c r="P480" s="50" t="str">
        <f>IF(OR($J480="",$AA480=""),"",$J480*N(INDEX(Fertilisants!$K$8:$K$47,$AA480)))</f>
        <v/>
      </c>
      <c r="Q480" s="50" t="str">
        <f t="shared" si="99"/>
        <v/>
      </c>
      <c r="R480" s="44"/>
      <c r="S480" s="44"/>
      <c r="T480" s="51"/>
      <c r="U480" s="44"/>
      <c r="V480" s="43"/>
      <c r="W480" s="52" t="str">
        <f t="shared" si="100"/>
        <v/>
      </c>
      <c r="X480" s="44"/>
      <c r="Z480" s="53" t="str">
        <f>IF($D480="","",IFERROR(MATCH($D480,Îlots!$D$8:$D$57,0),""))</f>
        <v/>
      </c>
      <c r="AA480" s="53" t="str">
        <f>IF($G480="","",IFERROR(MATCH($G480,Fertilisants!$B$8:$B$47,0),""))</f>
        <v/>
      </c>
      <c r="AB480" s="53" t="str">
        <f>IF($Z480="","",INDEX(Îlots!$E$8:$E$57,$Z480))</f>
        <v/>
      </c>
      <c r="AC480" s="53" t="str">
        <f>IF($Z480="","",INDEX(Îlots!$G$8:$G$57,$Z480)&amp;"")</f>
        <v/>
      </c>
      <c r="AD480" s="53" t="str">
        <f>IF($Z480="","",IF($F480=ApportCouvert,OccCouvert,INDEX(Îlots!$O$8:$O$57,$Z480)&amp;""))</f>
        <v/>
      </c>
      <c r="AE480" s="53" t="str">
        <f t="shared" si="101"/>
        <v/>
      </c>
      <c r="AF480" s="53" t="str">
        <f t="shared" si="102"/>
        <v/>
      </c>
      <c r="AG480" s="53" t="str">
        <f t="shared" si="103"/>
        <v/>
      </c>
      <c r="AH480" s="53">
        <f t="shared" si="104"/>
        <v>0</v>
      </c>
      <c r="AI480" s="53">
        <f t="shared" si="105"/>
        <v>0</v>
      </c>
      <c r="AJ480" s="53">
        <f t="shared" si="106"/>
        <v>0</v>
      </c>
      <c r="AK480" s="53">
        <f t="shared" si="107"/>
        <v>0</v>
      </c>
      <c r="AL480" s="53">
        <f t="shared" si="108"/>
        <v>0</v>
      </c>
      <c r="AM480" s="53">
        <f>IF($AA480="",0,IF(INDEX(Fertilisants!$C$8:$C$47,$AA480)="Effluent d'élevage",1,0))</f>
        <v>0</v>
      </c>
      <c r="AN480" s="53" t="str">
        <f>IF($AA480="","",IF(INDEX(Fertilisants!$C$8:$C$47,$AA480)="Engrais minéral","Minéral","Organique"))</f>
        <v/>
      </c>
      <c r="AO480" s="53" t="str">
        <f t="shared" si="109"/>
        <v/>
      </c>
      <c r="AP480" s="53" t="str">
        <f t="shared" si="110"/>
        <v/>
      </c>
      <c r="AQ480" s="53" t="str">
        <f t="shared" si="111"/>
        <v/>
      </c>
      <c r="AR480" s="53" t="str">
        <f>IF(AND($D480&lt;&gt;"",$D480=FicheIlot),COUNTIF($D$8:$D480,FicheIlot),"")</f>
        <v/>
      </c>
    </row>
    <row r="481" spans="2:44" ht="18.95" customHeight="1" x14ac:dyDescent="0.25">
      <c r="B481" s="42" t="str">
        <f>IF(C481="","",COUNT($C$8:C481))</f>
        <v/>
      </c>
      <c r="C481" s="43"/>
      <c r="D481" s="44"/>
      <c r="E481" s="45" t="str">
        <f>IF($Z481="","",IF($F481=ApportCouvert,INDEX(Îlots!$I$8:$I$57,$Z481)&amp;"",INDEX(Îlots!$N$8:$N$57,$Z481)&amp;""))</f>
        <v/>
      </c>
      <c r="F481" s="44"/>
      <c r="G481" s="44"/>
      <c r="H481" s="46" t="str">
        <f>IF($AA481="","",INDEX(Fertilisants!$D$8:$D$47,$AA481)&amp;"")</f>
        <v/>
      </c>
      <c r="I481" s="47"/>
      <c r="J481" s="48"/>
      <c r="K481" s="46" t="str">
        <f>IF($AA481="","",INDEX(Fertilisants!$E$8:$E$47,$AA481)&amp;"")</f>
        <v/>
      </c>
      <c r="L481" s="49" t="str">
        <f t="shared" si="98"/>
        <v/>
      </c>
      <c r="M481" s="50" t="str">
        <f>IF(OR($J481="",$AA481=""),"",$J481*N(INDEX(Fertilisants!$G$8:$G$47,$AA481)))</f>
        <v/>
      </c>
      <c r="N481" s="50" t="str">
        <f>IF(OR($J481="",$AA481=""),"",$J481*N(INDEX(Fertilisants!$I$8:$I$47,$AA481)))</f>
        <v/>
      </c>
      <c r="O481" s="50" t="str">
        <f>IF(OR($J481="",$AA481=""),"",$J481*N(INDEX(Fertilisants!$J$8:$J$47,$AA481)))</f>
        <v/>
      </c>
      <c r="P481" s="50" t="str">
        <f>IF(OR($J481="",$AA481=""),"",$J481*N(INDEX(Fertilisants!$K$8:$K$47,$AA481)))</f>
        <v/>
      </c>
      <c r="Q481" s="50" t="str">
        <f t="shared" si="99"/>
        <v/>
      </c>
      <c r="R481" s="44"/>
      <c r="S481" s="44"/>
      <c r="T481" s="51"/>
      <c r="U481" s="44"/>
      <c r="V481" s="43"/>
      <c r="W481" s="52" t="str">
        <f t="shared" si="100"/>
        <v/>
      </c>
      <c r="X481" s="44"/>
      <c r="Z481" s="53" t="str">
        <f>IF($D481="","",IFERROR(MATCH($D481,Îlots!$D$8:$D$57,0),""))</f>
        <v/>
      </c>
      <c r="AA481" s="53" t="str">
        <f>IF($G481="","",IFERROR(MATCH($G481,Fertilisants!$B$8:$B$47,0),""))</f>
        <v/>
      </c>
      <c r="AB481" s="53" t="str">
        <f>IF($Z481="","",INDEX(Îlots!$E$8:$E$57,$Z481))</f>
        <v/>
      </c>
      <c r="AC481" s="53" t="str">
        <f>IF($Z481="","",INDEX(Îlots!$G$8:$G$57,$Z481)&amp;"")</f>
        <v/>
      </c>
      <c r="AD481" s="53" t="str">
        <f>IF($Z481="","",IF($F481=ApportCouvert,OccCouvert,INDEX(Îlots!$O$8:$O$57,$Z481)&amp;""))</f>
        <v/>
      </c>
      <c r="AE481" s="53" t="str">
        <f t="shared" si="101"/>
        <v/>
      </c>
      <c r="AF481" s="53" t="str">
        <f t="shared" si="102"/>
        <v/>
      </c>
      <c r="AG481" s="53" t="str">
        <f t="shared" si="103"/>
        <v/>
      </c>
      <c r="AH481" s="53">
        <f t="shared" si="104"/>
        <v>0</v>
      </c>
      <c r="AI481" s="53">
        <f t="shared" si="105"/>
        <v>0</v>
      </c>
      <c r="AJ481" s="53">
        <f t="shared" si="106"/>
        <v>0</v>
      </c>
      <c r="AK481" s="53">
        <f t="shared" si="107"/>
        <v>0</v>
      </c>
      <c r="AL481" s="53">
        <f t="shared" si="108"/>
        <v>0</v>
      </c>
      <c r="AM481" s="53">
        <f>IF($AA481="",0,IF(INDEX(Fertilisants!$C$8:$C$47,$AA481)="Effluent d'élevage",1,0))</f>
        <v>0</v>
      </c>
      <c r="AN481" s="53" t="str">
        <f>IF($AA481="","",IF(INDEX(Fertilisants!$C$8:$C$47,$AA481)="Engrais minéral","Minéral","Organique"))</f>
        <v/>
      </c>
      <c r="AO481" s="53" t="str">
        <f t="shared" si="109"/>
        <v/>
      </c>
      <c r="AP481" s="53" t="str">
        <f t="shared" si="110"/>
        <v/>
      </c>
      <c r="AQ481" s="53" t="str">
        <f t="shared" si="111"/>
        <v/>
      </c>
      <c r="AR481" s="53" t="str">
        <f>IF(AND($D481&lt;&gt;"",$D481=FicheIlot),COUNTIF($D$8:$D481,FicheIlot),"")</f>
        <v/>
      </c>
    </row>
    <row r="482" spans="2:44" ht="18.95" customHeight="1" x14ac:dyDescent="0.25">
      <c r="B482" s="42" t="str">
        <f>IF(C482="","",COUNT($C$8:C482))</f>
        <v/>
      </c>
      <c r="C482" s="43"/>
      <c r="D482" s="44"/>
      <c r="E482" s="45" t="str">
        <f>IF($Z482="","",IF($F482=ApportCouvert,INDEX(Îlots!$I$8:$I$57,$Z482)&amp;"",INDEX(Îlots!$N$8:$N$57,$Z482)&amp;""))</f>
        <v/>
      </c>
      <c r="F482" s="44"/>
      <c r="G482" s="44"/>
      <c r="H482" s="46" t="str">
        <f>IF($AA482="","",INDEX(Fertilisants!$D$8:$D$47,$AA482)&amp;"")</f>
        <v/>
      </c>
      <c r="I482" s="47"/>
      <c r="J482" s="48"/>
      <c r="K482" s="46" t="str">
        <f>IF($AA482="","",INDEX(Fertilisants!$E$8:$E$47,$AA482)&amp;"")</f>
        <v/>
      </c>
      <c r="L482" s="49" t="str">
        <f t="shared" si="98"/>
        <v/>
      </c>
      <c r="M482" s="50" t="str">
        <f>IF(OR($J482="",$AA482=""),"",$J482*N(INDEX(Fertilisants!$G$8:$G$47,$AA482)))</f>
        <v/>
      </c>
      <c r="N482" s="50" t="str">
        <f>IF(OR($J482="",$AA482=""),"",$J482*N(INDEX(Fertilisants!$I$8:$I$47,$AA482)))</f>
        <v/>
      </c>
      <c r="O482" s="50" t="str">
        <f>IF(OR($J482="",$AA482=""),"",$J482*N(INDEX(Fertilisants!$J$8:$J$47,$AA482)))</f>
        <v/>
      </c>
      <c r="P482" s="50" t="str">
        <f>IF(OR($J482="",$AA482=""),"",$J482*N(INDEX(Fertilisants!$K$8:$K$47,$AA482)))</f>
        <v/>
      </c>
      <c r="Q482" s="50" t="str">
        <f t="shared" si="99"/>
        <v/>
      </c>
      <c r="R482" s="44"/>
      <c r="S482" s="44"/>
      <c r="T482" s="51"/>
      <c r="U482" s="44"/>
      <c r="V482" s="43"/>
      <c r="W482" s="52" t="str">
        <f t="shared" si="100"/>
        <v/>
      </c>
      <c r="X482" s="44"/>
      <c r="Z482" s="53" t="str">
        <f>IF($D482="","",IFERROR(MATCH($D482,Îlots!$D$8:$D$57,0),""))</f>
        <v/>
      </c>
      <c r="AA482" s="53" t="str">
        <f>IF($G482="","",IFERROR(MATCH($G482,Fertilisants!$B$8:$B$47,0),""))</f>
        <v/>
      </c>
      <c r="AB482" s="53" t="str">
        <f>IF($Z482="","",INDEX(Îlots!$E$8:$E$57,$Z482))</f>
        <v/>
      </c>
      <c r="AC482" s="53" t="str">
        <f>IF($Z482="","",INDEX(Îlots!$G$8:$G$57,$Z482)&amp;"")</f>
        <v/>
      </c>
      <c r="AD482" s="53" t="str">
        <f>IF($Z482="","",IF($F482=ApportCouvert,OccCouvert,INDEX(Îlots!$O$8:$O$57,$Z482)&amp;""))</f>
        <v/>
      </c>
      <c r="AE482" s="53" t="str">
        <f t="shared" si="101"/>
        <v/>
      </c>
      <c r="AF482" s="53" t="str">
        <f t="shared" si="102"/>
        <v/>
      </c>
      <c r="AG482" s="53" t="str">
        <f t="shared" si="103"/>
        <v/>
      </c>
      <c r="AH482" s="53">
        <f t="shared" si="104"/>
        <v>0</v>
      </c>
      <c r="AI482" s="53">
        <f t="shared" si="105"/>
        <v>0</v>
      </c>
      <c r="AJ482" s="53">
        <f t="shared" si="106"/>
        <v>0</v>
      </c>
      <c r="AK482" s="53">
        <f t="shared" si="107"/>
        <v>0</v>
      </c>
      <c r="AL482" s="53">
        <f t="shared" si="108"/>
        <v>0</v>
      </c>
      <c r="AM482" s="53">
        <f>IF($AA482="",0,IF(INDEX(Fertilisants!$C$8:$C$47,$AA482)="Effluent d'élevage",1,0))</f>
        <v>0</v>
      </c>
      <c r="AN482" s="53" t="str">
        <f>IF($AA482="","",IF(INDEX(Fertilisants!$C$8:$C$47,$AA482)="Engrais minéral","Minéral","Organique"))</f>
        <v/>
      </c>
      <c r="AO482" s="53" t="str">
        <f t="shared" si="109"/>
        <v/>
      </c>
      <c r="AP482" s="53" t="str">
        <f t="shared" si="110"/>
        <v/>
      </c>
      <c r="AQ482" s="53" t="str">
        <f t="shared" si="111"/>
        <v/>
      </c>
      <c r="AR482" s="53" t="str">
        <f>IF(AND($D482&lt;&gt;"",$D482=FicheIlot),COUNTIF($D$8:$D482,FicheIlot),"")</f>
        <v/>
      </c>
    </row>
    <row r="483" spans="2:44" ht="18.95" customHeight="1" x14ac:dyDescent="0.25">
      <c r="B483" s="42" t="str">
        <f>IF(C483="","",COUNT($C$8:C483))</f>
        <v/>
      </c>
      <c r="C483" s="43"/>
      <c r="D483" s="44"/>
      <c r="E483" s="45" t="str">
        <f>IF($Z483="","",IF($F483=ApportCouvert,INDEX(Îlots!$I$8:$I$57,$Z483)&amp;"",INDEX(Îlots!$N$8:$N$57,$Z483)&amp;""))</f>
        <v/>
      </c>
      <c r="F483" s="44"/>
      <c r="G483" s="44"/>
      <c r="H483" s="46" t="str">
        <f>IF($AA483="","",INDEX(Fertilisants!$D$8:$D$47,$AA483)&amp;"")</f>
        <v/>
      </c>
      <c r="I483" s="47"/>
      <c r="J483" s="48"/>
      <c r="K483" s="46" t="str">
        <f>IF($AA483="","",INDEX(Fertilisants!$E$8:$E$47,$AA483)&amp;"")</f>
        <v/>
      </c>
      <c r="L483" s="49" t="str">
        <f t="shared" si="98"/>
        <v/>
      </c>
      <c r="M483" s="50" t="str">
        <f>IF(OR($J483="",$AA483=""),"",$J483*N(INDEX(Fertilisants!$G$8:$G$47,$AA483)))</f>
        <v/>
      </c>
      <c r="N483" s="50" t="str">
        <f>IF(OR($J483="",$AA483=""),"",$J483*N(INDEX(Fertilisants!$I$8:$I$47,$AA483)))</f>
        <v/>
      </c>
      <c r="O483" s="50" t="str">
        <f>IF(OR($J483="",$AA483=""),"",$J483*N(INDEX(Fertilisants!$J$8:$J$47,$AA483)))</f>
        <v/>
      </c>
      <c r="P483" s="50" t="str">
        <f>IF(OR($J483="",$AA483=""),"",$J483*N(INDEX(Fertilisants!$K$8:$K$47,$AA483)))</f>
        <v/>
      </c>
      <c r="Q483" s="50" t="str">
        <f t="shared" si="99"/>
        <v/>
      </c>
      <c r="R483" s="44"/>
      <c r="S483" s="44"/>
      <c r="T483" s="51"/>
      <c r="U483" s="44"/>
      <c r="V483" s="43"/>
      <c r="W483" s="52" t="str">
        <f t="shared" si="100"/>
        <v/>
      </c>
      <c r="X483" s="44"/>
      <c r="Z483" s="53" t="str">
        <f>IF($D483="","",IFERROR(MATCH($D483,Îlots!$D$8:$D$57,0),""))</f>
        <v/>
      </c>
      <c r="AA483" s="53" t="str">
        <f>IF($G483="","",IFERROR(MATCH($G483,Fertilisants!$B$8:$B$47,0),""))</f>
        <v/>
      </c>
      <c r="AB483" s="53" t="str">
        <f>IF($Z483="","",INDEX(Îlots!$E$8:$E$57,$Z483))</f>
        <v/>
      </c>
      <c r="AC483" s="53" t="str">
        <f>IF($Z483="","",INDEX(Îlots!$G$8:$G$57,$Z483)&amp;"")</f>
        <v/>
      </c>
      <c r="AD483" s="53" t="str">
        <f>IF($Z483="","",IF($F483=ApportCouvert,OccCouvert,INDEX(Îlots!$O$8:$O$57,$Z483)&amp;""))</f>
        <v/>
      </c>
      <c r="AE483" s="53" t="str">
        <f t="shared" si="101"/>
        <v/>
      </c>
      <c r="AF483" s="53" t="str">
        <f t="shared" si="102"/>
        <v/>
      </c>
      <c r="AG483" s="53" t="str">
        <f t="shared" si="103"/>
        <v/>
      </c>
      <c r="AH483" s="53">
        <f t="shared" si="104"/>
        <v>0</v>
      </c>
      <c r="AI483" s="53">
        <f t="shared" si="105"/>
        <v>0</v>
      </c>
      <c r="AJ483" s="53">
        <f t="shared" si="106"/>
        <v>0</v>
      </c>
      <c r="AK483" s="53">
        <f t="shared" si="107"/>
        <v>0</v>
      </c>
      <c r="AL483" s="53">
        <f t="shared" si="108"/>
        <v>0</v>
      </c>
      <c r="AM483" s="53">
        <f>IF($AA483="",0,IF(INDEX(Fertilisants!$C$8:$C$47,$AA483)="Effluent d'élevage",1,0))</f>
        <v>0</v>
      </c>
      <c r="AN483" s="53" t="str">
        <f>IF($AA483="","",IF(INDEX(Fertilisants!$C$8:$C$47,$AA483)="Engrais minéral","Minéral","Organique"))</f>
        <v/>
      </c>
      <c r="AO483" s="53" t="str">
        <f t="shared" si="109"/>
        <v/>
      </c>
      <c r="AP483" s="53" t="str">
        <f t="shared" si="110"/>
        <v/>
      </c>
      <c r="AQ483" s="53" t="str">
        <f t="shared" si="111"/>
        <v/>
      </c>
      <c r="AR483" s="53" t="str">
        <f>IF(AND($D483&lt;&gt;"",$D483=FicheIlot),COUNTIF($D$8:$D483,FicheIlot),"")</f>
        <v/>
      </c>
    </row>
    <row r="484" spans="2:44" ht="18.95" customHeight="1" x14ac:dyDescent="0.25">
      <c r="B484" s="42" t="str">
        <f>IF(C484="","",COUNT($C$8:C484))</f>
        <v/>
      </c>
      <c r="C484" s="43"/>
      <c r="D484" s="44"/>
      <c r="E484" s="45" t="str">
        <f>IF($Z484="","",IF($F484=ApportCouvert,INDEX(Îlots!$I$8:$I$57,$Z484)&amp;"",INDEX(Îlots!$N$8:$N$57,$Z484)&amp;""))</f>
        <v/>
      </c>
      <c r="F484" s="44"/>
      <c r="G484" s="44"/>
      <c r="H484" s="46" t="str">
        <f>IF($AA484="","",INDEX(Fertilisants!$D$8:$D$47,$AA484)&amp;"")</f>
        <v/>
      </c>
      <c r="I484" s="47"/>
      <c r="J484" s="48"/>
      <c r="K484" s="46" t="str">
        <f>IF($AA484="","",INDEX(Fertilisants!$E$8:$E$47,$AA484)&amp;"")</f>
        <v/>
      </c>
      <c r="L484" s="49" t="str">
        <f t="shared" si="98"/>
        <v/>
      </c>
      <c r="M484" s="50" t="str">
        <f>IF(OR($J484="",$AA484=""),"",$J484*N(INDEX(Fertilisants!$G$8:$G$47,$AA484)))</f>
        <v/>
      </c>
      <c r="N484" s="50" t="str">
        <f>IF(OR($J484="",$AA484=""),"",$J484*N(INDEX(Fertilisants!$I$8:$I$47,$AA484)))</f>
        <v/>
      </c>
      <c r="O484" s="50" t="str">
        <f>IF(OR($J484="",$AA484=""),"",$J484*N(INDEX(Fertilisants!$J$8:$J$47,$AA484)))</f>
        <v/>
      </c>
      <c r="P484" s="50" t="str">
        <f>IF(OR($J484="",$AA484=""),"",$J484*N(INDEX(Fertilisants!$K$8:$K$47,$AA484)))</f>
        <v/>
      </c>
      <c r="Q484" s="50" t="str">
        <f t="shared" si="99"/>
        <v/>
      </c>
      <c r="R484" s="44"/>
      <c r="S484" s="44"/>
      <c r="T484" s="51"/>
      <c r="U484" s="44"/>
      <c r="V484" s="43"/>
      <c r="W484" s="52" t="str">
        <f t="shared" si="100"/>
        <v/>
      </c>
      <c r="X484" s="44"/>
      <c r="Z484" s="53" t="str">
        <f>IF($D484="","",IFERROR(MATCH($D484,Îlots!$D$8:$D$57,0),""))</f>
        <v/>
      </c>
      <c r="AA484" s="53" t="str">
        <f>IF($G484="","",IFERROR(MATCH($G484,Fertilisants!$B$8:$B$47,0),""))</f>
        <v/>
      </c>
      <c r="AB484" s="53" t="str">
        <f>IF($Z484="","",INDEX(Îlots!$E$8:$E$57,$Z484))</f>
        <v/>
      </c>
      <c r="AC484" s="53" t="str">
        <f>IF($Z484="","",INDEX(Îlots!$G$8:$G$57,$Z484)&amp;"")</f>
        <v/>
      </c>
      <c r="AD484" s="53" t="str">
        <f>IF($Z484="","",IF($F484=ApportCouvert,OccCouvert,INDEX(Îlots!$O$8:$O$57,$Z484)&amp;""))</f>
        <v/>
      </c>
      <c r="AE484" s="53" t="str">
        <f t="shared" si="101"/>
        <v/>
      </c>
      <c r="AF484" s="53" t="str">
        <f t="shared" si="102"/>
        <v/>
      </c>
      <c r="AG484" s="53" t="str">
        <f t="shared" si="103"/>
        <v/>
      </c>
      <c r="AH484" s="53">
        <f t="shared" si="104"/>
        <v>0</v>
      </c>
      <c r="AI484" s="53">
        <f t="shared" si="105"/>
        <v>0</v>
      </c>
      <c r="AJ484" s="53">
        <f t="shared" si="106"/>
        <v>0</v>
      </c>
      <c r="AK484" s="53">
        <f t="shared" si="107"/>
        <v>0</v>
      </c>
      <c r="AL484" s="53">
        <f t="shared" si="108"/>
        <v>0</v>
      </c>
      <c r="AM484" s="53">
        <f>IF($AA484="",0,IF(INDEX(Fertilisants!$C$8:$C$47,$AA484)="Effluent d'élevage",1,0))</f>
        <v>0</v>
      </c>
      <c r="AN484" s="53" t="str">
        <f>IF($AA484="","",IF(INDEX(Fertilisants!$C$8:$C$47,$AA484)="Engrais minéral","Minéral","Organique"))</f>
        <v/>
      </c>
      <c r="AO484" s="53" t="str">
        <f t="shared" si="109"/>
        <v/>
      </c>
      <c r="AP484" s="53" t="str">
        <f t="shared" si="110"/>
        <v/>
      </c>
      <c r="AQ484" s="53" t="str">
        <f t="shared" si="111"/>
        <v/>
      </c>
      <c r="AR484" s="53" t="str">
        <f>IF(AND($D484&lt;&gt;"",$D484=FicheIlot),COUNTIF($D$8:$D484,FicheIlot),"")</f>
        <v/>
      </c>
    </row>
    <row r="485" spans="2:44" ht="18.95" customHeight="1" x14ac:dyDescent="0.25">
      <c r="B485" s="42" t="str">
        <f>IF(C485="","",COUNT($C$8:C485))</f>
        <v/>
      </c>
      <c r="C485" s="43"/>
      <c r="D485" s="44"/>
      <c r="E485" s="45" t="str">
        <f>IF($Z485="","",IF($F485=ApportCouvert,INDEX(Îlots!$I$8:$I$57,$Z485)&amp;"",INDEX(Îlots!$N$8:$N$57,$Z485)&amp;""))</f>
        <v/>
      </c>
      <c r="F485" s="44"/>
      <c r="G485" s="44"/>
      <c r="H485" s="46" t="str">
        <f>IF($AA485="","",INDEX(Fertilisants!$D$8:$D$47,$AA485)&amp;"")</f>
        <v/>
      </c>
      <c r="I485" s="47"/>
      <c r="J485" s="48"/>
      <c r="K485" s="46" t="str">
        <f>IF($AA485="","",INDEX(Fertilisants!$E$8:$E$47,$AA485)&amp;"")</f>
        <v/>
      </c>
      <c r="L485" s="49" t="str">
        <f t="shared" si="98"/>
        <v/>
      </c>
      <c r="M485" s="50" t="str">
        <f>IF(OR($J485="",$AA485=""),"",$J485*N(INDEX(Fertilisants!$G$8:$G$47,$AA485)))</f>
        <v/>
      </c>
      <c r="N485" s="50" t="str">
        <f>IF(OR($J485="",$AA485=""),"",$J485*N(INDEX(Fertilisants!$I$8:$I$47,$AA485)))</f>
        <v/>
      </c>
      <c r="O485" s="50" t="str">
        <f>IF(OR($J485="",$AA485=""),"",$J485*N(INDEX(Fertilisants!$J$8:$J$47,$AA485)))</f>
        <v/>
      </c>
      <c r="P485" s="50" t="str">
        <f>IF(OR($J485="",$AA485=""),"",$J485*N(INDEX(Fertilisants!$K$8:$K$47,$AA485)))</f>
        <v/>
      </c>
      <c r="Q485" s="50" t="str">
        <f t="shared" si="99"/>
        <v/>
      </c>
      <c r="R485" s="44"/>
      <c r="S485" s="44"/>
      <c r="T485" s="51"/>
      <c r="U485" s="44"/>
      <c r="V485" s="43"/>
      <c r="W485" s="52" t="str">
        <f t="shared" si="100"/>
        <v/>
      </c>
      <c r="X485" s="44"/>
      <c r="Z485" s="53" t="str">
        <f>IF($D485="","",IFERROR(MATCH($D485,Îlots!$D$8:$D$57,0),""))</f>
        <v/>
      </c>
      <c r="AA485" s="53" t="str">
        <f>IF($G485="","",IFERROR(MATCH($G485,Fertilisants!$B$8:$B$47,0),""))</f>
        <v/>
      </c>
      <c r="AB485" s="53" t="str">
        <f>IF($Z485="","",INDEX(Îlots!$E$8:$E$57,$Z485))</f>
        <v/>
      </c>
      <c r="AC485" s="53" t="str">
        <f>IF($Z485="","",INDEX(Îlots!$G$8:$G$57,$Z485)&amp;"")</f>
        <v/>
      </c>
      <c r="AD485" s="53" t="str">
        <f>IF($Z485="","",IF($F485=ApportCouvert,OccCouvert,INDEX(Îlots!$O$8:$O$57,$Z485)&amp;""))</f>
        <v/>
      </c>
      <c r="AE485" s="53" t="str">
        <f t="shared" si="101"/>
        <v/>
      </c>
      <c r="AF485" s="53" t="str">
        <f t="shared" si="102"/>
        <v/>
      </c>
      <c r="AG485" s="53" t="str">
        <f t="shared" si="103"/>
        <v/>
      </c>
      <c r="AH485" s="53">
        <f t="shared" si="104"/>
        <v>0</v>
      </c>
      <c r="AI485" s="53">
        <f t="shared" si="105"/>
        <v>0</v>
      </c>
      <c r="AJ485" s="53">
        <f t="shared" si="106"/>
        <v>0</v>
      </c>
      <c r="AK485" s="53">
        <f t="shared" si="107"/>
        <v>0</v>
      </c>
      <c r="AL485" s="53">
        <f t="shared" si="108"/>
        <v>0</v>
      </c>
      <c r="AM485" s="53">
        <f>IF($AA485="",0,IF(INDEX(Fertilisants!$C$8:$C$47,$AA485)="Effluent d'élevage",1,0))</f>
        <v>0</v>
      </c>
      <c r="AN485" s="53" t="str">
        <f>IF($AA485="","",IF(INDEX(Fertilisants!$C$8:$C$47,$AA485)="Engrais minéral","Minéral","Organique"))</f>
        <v/>
      </c>
      <c r="AO485" s="53" t="str">
        <f t="shared" si="109"/>
        <v/>
      </c>
      <c r="AP485" s="53" t="str">
        <f t="shared" si="110"/>
        <v/>
      </c>
      <c r="AQ485" s="53" t="str">
        <f t="shared" si="111"/>
        <v/>
      </c>
      <c r="AR485" s="53" t="str">
        <f>IF(AND($D485&lt;&gt;"",$D485=FicheIlot),COUNTIF($D$8:$D485,FicheIlot),"")</f>
        <v/>
      </c>
    </row>
    <row r="486" spans="2:44" ht="18.95" customHeight="1" x14ac:dyDescent="0.25">
      <c r="B486" s="42" t="str">
        <f>IF(C486="","",COUNT($C$8:C486))</f>
        <v/>
      </c>
      <c r="C486" s="43"/>
      <c r="D486" s="44"/>
      <c r="E486" s="45" t="str">
        <f>IF($Z486="","",IF($F486=ApportCouvert,INDEX(Îlots!$I$8:$I$57,$Z486)&amp;"",INDEX(Îlots!$N$8:$N$57,$Z486)&amp;""))</f>
        <v/>
      </c>
      <c r="F486" s="44"/>
      <c r="G486" s="44"/>
      <c r="H486" s="46" t="str">
        <f>IF($AA486="","",INDEX(Fertilisants!$D$8:$D$47,$AA486)&amp;"")</f>
        <v/>
      </c>
      <c r="I486" s="47"/>
      <c r="J486" s="48"/>
      <c r="K486" s="46" t="str">
        <f>IF($AA486="","",INDEX(Fertilisants!$E$8:$E$47,$AA486)&amp;"")</f>
        <v/>
      </c>
      <c r="L486" s="49" t="str">
        <f t="shared" si="98"/>
        <v/>
      </c>
      <c r="M486" s="50" t="str">
        <f>IF(OR($J486="",$AA486=""),"",$J486*N(INDEX(Fertilisants!$G$8:$G$47,$AA486)))</f>
        <v/>
      </c>
      <c r="N486" s="50" t="str">
        <f>IF(OR($J486="",$AA486=""),"",$J486*N(INDEX(Fertilisants!$I$8:$I$47,$AA486)))</f>
        <v/>
      </c>
      <c r="O486" s="50" t="str">
        <f>IF(OR($J486="",$AA486=""),"",$J486*N(INDEX(Fertilisants!$J$8:$J$47,$AA486)))</f>
        <v/>
      </c>
      <c r="P486" s="50" t="str">
        <f>IF(OR($J486="",$AA486=""),"",$J486*N(INDEX(Fertilisants!$K$8:$K$47,$AA486)))</f>
        <v/>
      </c>
      <c r="Q486" s="50" t="str">
        <f t="shared" si="99"/>
        <v/>
      </c>
      <c r="R486" s="44"/>
      <c r="S486" s="44"/>
      <c r="T486" s="51"/>
      <c r="U486" s="44"/>
      <c r="V486" s="43"/>
      <c r="W486" s="52" t="str">
        <f t="shared" si="100"/>
        <v/>
      </c>
      <c r="X486" s="44"/>
      <c r="Z486" s="53" t="str">
        <f>IF($D486="","",IFERROR(MATCH($D486,Îlots!$D$8:$D$57,0),""))</f>
        <v/>
      </c>
      <c r="AA486" s="53" t="str">
        <f>IF($G486="","",IFERROR(MATCH($G486,Fertilisants!$B$8:$B$47,0),""))</f>
        <v/>
      </c>
      <c r="AB486" s="53" t="str">
        <f>IF($Z486="","",INDEX(Îlots!$E$8:$E$57,$Z486))</f>
        <v/>
      </c>
      <c r="AC486" s="53" t="str">
        <f>IF($Z486="","",INDEX(Îlots!$G$8:$G$57,$Z486)&amp;"")</f>
        <v/>
      </c>
      <c r="AD486" s="53" t="str">
        <f>IF($Z486="","",IF($F486=ApportCouvert,OccCouvert,INDEX(Îlots!$O$8:$O$57,$Z486)&amp;""))</f>
        <v/>
      </c>
      <c r="AE486" s="53" t="str">
        <f t="shared" si="101"/>
        <v/>
      </c>
      <c r="AF486" s="53" t="str">
        <f t="shared" si="102"/>
        <v/>
      </c>
      <c r="AG486" s="53" t="str">
        <f t="shared" si="103"/>
        <v/>
      </c>
      <c r="AH486" s="53">
        <f t="shared" si="104"/>
        <v>0</v>
      </c>
      <c r="AI486" s="53">
        <f t="shared" si="105"/>
        <v>0</v>
      </c>
      <c r="AJ486" s="53">
        <f t="shared" si="106"/>
        <v>0</v>
      </c>
      <c r="AK486" s="53">
        <f t="shared" si="107"/>
        <v>0</v>
      </c>
      <c r="AL486" s="53">
        <f t="shared" si="108"/>
        <v>0</v>
      </c>
      <c r="AM486" s="53">
        <f>IF($AA486="",0,IF(INDEX(Fertilisants!$C$8:$C$47,$AA486)="Effluent d'élevage",1,0))</f>
        <v>0</v>
      </c>
      <c r="AN486" s="53" t="str">
        <f>IF($AA486="","",IF(INDEX(Fertilisants!$C$8:$C$47,$AA486)="Engrais minéral","Minéral","Organique"))</f>
        <v/>
      </c>
      <c r="AO486" s="53" t="str">
        <f t="shared" si="109"/>
        <v/>
      </c>
      <c r="AP486" s="53" t="str">
        <f t="shared" si="110"/>
        <v/>
      </c>
      <c r="AQ486" s="53" t="str">
        <f t="shared" si="111"/>
        <v/>
      </c>
      <c r="AR486" s="53" t="str">
        <f>IF(AND($D486&lt;&gt;"",$D486=FicheIlot),COUNTIF($D$8:$D486,FicheIlot),"")</f>
        <v/>
      </c>
    </row>
    <row r="487" spans="2:44" ht="18.95" customHeight="1" x14ac:dyDescent="0.25">
      <c r="B487" s="42" t="str">
        <f>IF(C487="","",COUNT($C$8:C487))</f>
        <v/>
      </c>
      <c r="C487" s="43"/>
      <c r="D487" s="44"/>
      <c r="E487" s="45" t="str">
        <f>IF($Z487="","",IF($F487=ApportCouvert,INDEX(Îlots!$I$8:$I$57,$Z487)&amp;"",INDEX(Îlots!$N$8:$N$57,$Z487)&amp;""))</f>
        <v/>
      </c>
      <c r="F487" s="44"/>
      <c r="G487" s="44"/>
      <c r="H487" s="46" t="str">
        <f>IF($AA487="","",INDEX(Fertilisants!$D$8:$D$47,$AA487)&amp;"")</f>
        <v/>
      </c>
      <c r="I487" s="47"/>
      <c r="J487" s="48"/>
      <c r="K487" s="46" t="str">
        <f>IF($AA487="","",INDEX(Fertilisants!$E$8:$E$47,$AA487)&amp;"")</f>
        <v/>
      </c>
      <c r="L487" s="49" t="str">
        <f t="shared" si="98"/>
        <v/>
      </c>
      <c r="M487" s="50" t="str">
        <f>IF(OR($J487="",$AA487=""),"",$J487*N(INDEX(Fertilisants!$G$8:$G$47,$AA487)))</f>
        <v/>
      </c>
      <c r="N487" s="50" t="str">
        <f>IF(OR($J487="",$AA487=""),"",$J487*N(INDEX(Fertilisants!$I$8:$I$47,$AA487)))</f>
        <v/>
      </c>
      <c r="O487" s="50" t="str">
        <f>IF(OR($J487="",$AA487=""),"",$J487*N(INDEX(Fertilisants!$J$8:$J$47,$AA487)))</f>
        <v/>
      </c>
      <c r="P487" s="50" t="str">
        <f>IF(OR($J487="",$AA487=""),"",$J487*N(INDEX(Fertilisants!$K$8:$K$47,$AA487)))</f>
        <v/>
      </c>
      <c r="Q487" s="50" t="str">
        <f t="shared" si="99"/>
        <v/>
      </c>
      <c r="R487" s="44"/>
      <c r="S487" s="44"/>
      <c r="T487" s="51"/>
      <c r="U487" s="44"/>
      <c r="V487" s="43"/>
      <c r="W487" s="52" t="str">
        <f t="shared" si="100"/>
        <v/>
      </c>
      <c r="X487" s="44"/>
      <c r="Z487" s="53" t="str">
        <f>IF($D487="","",IFERROR(MATCH($D487,Îlots!$D$8:$D$57,0),""))</f>
        <v/>
      </c>
      <c r="AA487" s="53" t="str">
        <f>IF($G487="","",IFERROR(MATCH($G487,Fertilisants!$B$8:$B$47,0),""))</f>
        <v/>
      </c>
      <c r="AB487" s="53" t="str">
        <f>IF($Z487="","",INDEX(Îlots!$E$8:$E$57,$Z487))</f>
        <v/>
      </c>
      <c r="AC487" s="53" t="str">
        <f>IF($Z487="","",INDEX(Îlots!$G$8:$G$57,$Z487)&amp;"")</f>
        <v/>
      </c>
      <c r="AD487" s="53" t="str">
        <f>IF($Z487="","",IF($F487=ApportCouvert,OccCouvert,INDEX(Îlots!$O$8:$O$57,$Z487)&amp;""))</f>
        <v/>
      </c>
      <c r="AE487" s="53" t="str">
        <f t="shared" si="101"/>
        <v/>
      </c>
      <c r="AF487" s="53" t="str">
        <f t="shared" si="102"/>
        <v/>
      </c>
      <c r="AG487" s="53" t="str">
        <f t="shared" si="103"/>
        <v/>
      </c>
      <c r="AH487" s="53">
        <f t="shared" si="104"/>
        <v>0</v>
      </c>
      <c r="AI487" s="53">
        <f t="shared" si="105"/>
        <v>0</v>
      </c>
      <c r="AJ487" s="53">
        <f t="shared" si="106"/>
        <v>0</v>
      </c>
      <c r="AK487" s="53">
        <f t="shared" si="107"/>
        <v>0</v>
      </c>
      <c r="AL487" s="53">
        <f t="shared" si="108"/>
        <v>0</v>
      </c>
      <c r="AM487" s="53">
        <f>IF($AA487="",0,IF(INDEX(Fertilisants!$C$8:$C$47,$AA487)="Effluent d'élevage",1,0))</f>
        <v>0</v>
      </c>
      <c r="AN487" s="53" t="str">
        <f>IF($AA487="","",IF(INDEX(Fertilisants!$C$8:$C$47,$AA487)="Engrais minéral","Minéral","Organique"))</f>
        <v/>
      </c>
      <c r="AO487" s="53" t="str">
        <f t="shared" si="109"/>
        <v/>
      </c>
      <c r="AP487" s="53" t="str">
        <f t="shared" si="110"/>
        <v/>
      </c>
      <c r="AQ487" s="53" t="str">
        <f t="shared" si="111"/>
        <v/>
      </c>
      <c r="AR487" s="53" t="str">
        <f>IF(AND($D487&lt;&gt;"",$D487=FicheIlot),COUNTIF($D$8:$D487,FicheIlot),"")</f>
        <v/>
      </c>
    </row>
    <row r="488" spans="2:44" ht="18.95" customHeight="1" x14ac:dyDescent="0.25">
      <c r="B488" s="42" t="str">
        <f>IF(C488="","",COUNT($C$8:C488))</f>
        <v/>
      </c>
      <c r="C488" s="43"/>
      <c r="D488" s="44"/>
      <c r="E488" s="45" t="str">
        <f>IF($Z488="","",IF($F488=ApportCouvert,INDEX(Îlots!$I$8:$I$57,$Z488)&amp;"",INDEX(Îlots!$N$8:$N$57,$Z488)&amp;""))</f>
        <v/>
      </c>
      <c r="F488" s="44"/>
      <c r="G488" s="44"/>
      <c r="H488" s="46" t="str">
        <f>IF($AA488="","",INDEX(Fertilisants!$D$8:$D$47,$AA488)&amp;"")</f>
        <v/>
      </c>
      <c r="I488" s="47"/>
      <c r="J488" s="48"/>
      <c r="K488" s="46" t="str">
        <f>IF($AA488="","",INDEX(Fertilisants!$E$8:$E$47,$AA488)&amp;"")</f>
        <v/>
      </c>
      <c r="L488" s="49" t="str">
        <f t="shared" si="98"/>
        <v/>
      </c>
      <c r="M488" s="50" t="str">
        <f>IF(OR($J488="",$AA488=""),"",$J488*N(INDEX(Fertilisants!$G$8:$G$47,$AA488)))</f>
        <v/>
      </c>
      <c r="N488" s="50" t="str">
        <f>IF(OR($J488="",$AA488=""),"",$J488*N(INDEX(Fertilisants!$I$8:$I$47,$AA488)))</f>
        <v/>
      </c>
      <c r="O488" s="50" t="str">
        <f>IF(OR($J488="",$AA488=""),"",$J488*N(INDEX(Fertilisants!$J$8:$J$47,$AA488)))</f>
        <v/>
      </c>
      <c r="P488" s="50" t="str">
        <f>IF(OR($J488="",$AA488=""),"",$J488*N(INDEX(Fertilisants!$K$8:$K$47,$AA488)))</f>
        <v/>
      </c>
      <c r="Q488" s="50" t="str">
        <f t="shared" si="99"/>
        <v/>
      </c>
      <c r="R488" s="44"/>
      <c r="S488" s="44"/>
      <c r="T488" s="51"/>
      <c r="U488" s="44"/>
      <c r="V488" s="43"/>
      <c r="W488" s="52" t="str">
        <f t="shared" si="100"/>
        <v/>
      </c>
      <c r="X488" s="44"/>
      <c r="Z488" s="53" t="str">
        <f>IF($D488="","",IFERROR(MATCH($D488,Îlots!$D$8:$D$57,0),""))</f>
        <v/>
      </c>
      <c r="AA488" s="53" t="str">
        <f>IF($G488="","",IFERROR(MATCH($G488,Fertilisants!$B$8:$B$47,0),""))</f>
        <v/>
      </c>
      <c r="AB488" s="53" t="str">
        <f>IF($Z488="","",INDEX(Îlots!$E$8:$E$57,$Z488))</f>
        <v/>
      </c>
      <c r="AC488" s="53" t="str">
        <f>IF($Z488="","",INDEX(Îlots!$G$8:$G$57,$Z488)&amp;"")</f>
        <v/>
      </c>
      <c r="AD488" s="53" t="str">
        <f>IF($Z488="","",IF($F488=ApportCouvert,OccCouvert,INDEX(Îlots!$O$8:$O$57,$Z488)&amp;""))</f>
        <v/>
      </c>
      <c r="AE488" s="53" t="str">
        <f t="shared" si="101"/>
        <v/>
      </c>
      <c r="AF488" s="53" t="str">
        <f t="shared" si="102"/>
        <v/>
      </c>
      <c r="AG488" s="53" t="str">
        <f t="shared" si="103"/>
        <v/>
      </c>
      <c r="AH488" s="53">
        <f t="shared" si="104"/>
        <v>0</v>
      </c>
      <c r="AI488" s="53">
        <f t="shared" si="105"/>
        <v>0</v>
      </c>
      <c r="AJ488" s="53">
        <f t="shared" si="106"/>
        <v>0</v>
      </c>
      <c r="AK488" s="53">
        <f t="shared" si="107"/>
        <v>0</v>
      </c>
      <c r="AL488" s="53">
        <f t="shared" si="108"/>
        <v>0</v>
      </c>
      <c r="AM488" s="53">
        <f>IF($AA488="",0,IF(INDEX(Fertilisants!$C$8:$C$47,$AA488)="Effluent d'élevage",1,0))</f>
        <v>0</v>
      </c>
      <c r="AN488" s="53" t="str">
        <f>IF($AA488="","",IF(INDEX(Fertilisants!$C$8:$C$47,$AA488)="Engrais minéral","Minéral","Organique"))</f>
        <v/>
      </c>
      <c r="AO488" s="53" t="str">
        <f t="shared" si="109"/>
        <v/>
      </c>
      <c r="AP488" s="53" t="str">
        <f t="shared" si="110"/>
        <v/>
      </c>
      <c r="AQ488" s="53" t="str">
        <f t="shared" si="111"/>
        <v/>
      </c>
      <c r="AR488" s="53" t="str">
        <f>IF(AND($D488&lt;&gt;"",$D488=FicheIlot),COUNTIF($D$8:$D488,FicheIlot),"")</f>
        <v/>
      </c>
    </row>
    <row r="489" spans="2:44" ht="18.95" customHeight="1" x14ac:dyDescent="0.25">
      <c r="B489" s="42" t="str">
        <f>IF(C489="","",COUNT($C$8:C489))</f>
        <v/>
      </c>
      <c r="C489" s="43"/>
      <c r="D489" s="44"/>
      <c r="E489" s="45" t="str">
        <f>IF($Z489="","",IF($F489=ApportCouvert,INDEX(Îlots!$I$8:$I$57,$Z489)&amp;"",INDEX(Îlots!$N$8:$N$57,$Z489)&amp;""))</f>
        <v/>
      </c>
      <c r="F489" s="44"/>
      <c r="G489" s="44"/>
      <c r="H489" s="46" t="str">
        <f>IF($AA489="","",INDEX(Fertilisants!$D$8:$D$47,$AA489)&amp;"")</f>
        <v/>
      </c>
      <c r="I489" s="47"/>
      <c r="J489" s="48"/>
      <c r="K489" s="46" t="str">
        <f>IF($AA489="","",INDEX(Fertilisants!$E$8:$E$47,$AA489)&amp;"")</f>
        <v/>
      </c>
      <c r="L489" s="49" t="str">
        <f t="shared" si="98"/>
        <v/>
      </c>
      <c r="M489" s="50" t="str">
        <f>IF(OR($J489="",$AA489=""),"",$J489*N(INDEX(Fertilisants!$G$8:$G$47,$AA489)))</f>
        <v/>
      </c>
      <c r="N489" s="50" t="str">
        <f>IF(OR($J489="",$AA489=""),"",$J489*N(INDEX(Fertilisants!$I$8:$I$47,$AA489)))</f>
        <v/>
      </c>
      <c r="O489" s="50" t="str">
        <f>IF(OR($J489="",$AA489=""),"",$J489*N(INDEX(Fertilisants!$J$8:$J$47,$AA489)))</f>
        <v/>
      </c>
      <c r="P489" s="50" t="str">
        <f>IF(OR($J489="",$AA489=""),"",$J489*N(INDEX(Fertilisants!$K$8:$K$47,$AA489)))</f>
        <v/>
      </c>
      <c r="Q489" s="50" t="str">
        <f t="shared" si="99"/>
        <v/>
      </c>
      <c r="R489" s="44"/>
      <c r="S489" s="44"/>
      <c r="T489" s="51"/>
      <c r="U489" s="44"/>
      <c r="V489" s="43"/>
      <c r="W489" s="52" t="str">
        <f t="shared" si="100"/>
        <v/>
      </c>
      <c r="X489" s="44"/>
      <c r="Z489" s="53" t="str">
        <f>IF($D489="","",IFERROR(MATCH($D489,Îlots!$D$8:$D$57,0),""))</f>
        <v/>
      </c>
      <c r="AA489" s="53" t="str">
        <f>IF($G489="","",IFERROR(MATCH($G489,Fertilisants!$B$8:$B$47,0),""))</f>
        <v/>
      </c>
      <c r="AB489" s="53" t="str">
        <f>IF($Z489="","",INDEX(Îlots!$E$8:$E$57,$Z489))</f>
        <v/>
      </c>
      <c r="AC489" s="53" t="str">
        <f>IF($Z489="","",INDEX(Îlots!$G$8:$G$57,$Z489)&amp;"")</f>
        <v/>
      </c>
      <c r="AD489" s="53" t="str">
        <f>IF($Z489="","",IF($F489=ApportCouvert,OccCouvert,INDEX(Îlots!$O$8:$O$57,$Z489)&amp;""))</f>
        <v/>
      </c>
      <c r="AE489" s="53" t="str">
        <f t="shared" si="101"/>
        <v/>
      </c>
      <c r="AF489" s="53" t="str">
        <f t="shared" si="102"/>
        <v/>
      </c>
      <c r="AG489" s="53" t="str">
        <f t="shared" si="103"/>
        <v/>
      </c>
      <c r="AH489" s="53">
        <f t="shared" si="104"/>
        <v>0</v>
      </c>
      <c r="AI489" s="53">
        <f t="shared" si="105"/>
        <v>0</v>
      </c>
      <c r="AJ489" s="53">
        <f t="shared" si="106"/>
        <v>0</v>
      </c>
      <c r="AK489" s="53">
        <f t="shared" si="107"/>
        <v>0</v>
      </c>
      <c r="AL489" s="53">
        <f t="shared" si="108"/>
        <v>0</v>
      </c>
      <c r="AM489" s="53">
        <f>IF($AA489="",0,IF(INDEX(Fertilisants!$C$8:$C$47,$AA489)="Effluent d'élevage",1,0))</f>
        <v>0</v>
      </c>
      <c r="AN489" s="53" t="str">
        <f>IF($AA489="","",IF(INDEX(Fertilisants!$C$8:$C$47,$AA489)="Engrais minéral","Minéral","Organique"))</f>
        <v/>
      </c>
      <c r="AO489" s="53" t="str">
        <f t="shared" si="109"/>
        <v/>
      </c>
      <c r="AP489" s="53" t="str">
        <f t="shared" si="110"/>
        <v/>
      </c>
      <c r="AQ489" s="53" t="str">
        <f t="shared" si="111"/>
        <v/>
      </c>
      <c r="AR489" s="53" t="str">
        <f>IF(AND($D489&lt;&gt;"",$D489=FicheIlot),COUNTIF($D$8:$D489,FicheIlot),"")</f>
        <v/>
      </c>
    </row>
    <row r="490" spans="2:44" ht="18.95" customHeight="1" x14ac:dyDescent="0.25">
      <c r="B490" s="42" t="str">
        <f>IF(C490="","",COUNT($C$8:C490))</f>
        <v/>
      </c>
      <c r="C490" s="43"/>
      <c r="D490" s="44"/>
      <c r="E490" s="45" t="str">
        <f>IF($Z490="","",IF($F490=ApportCouvert,INDEX(Îlots!$I$8:$I$57,$Z490)&amp;"",INDEX(Îlots!$N$8:$N$57,$Z490)&amp;""))</f>
        <v/>
      </c>
      <c r="F490" s="44"/>
      <c r="G490" s="44"/>
      <c r="H490" s="46" t="str">
        <f>IF($AA490="","",INDEX(Fertilisants!$D$8:$D$47,$AA490)&amp;"")</f>
        <v/>
      </c>
      <c r="I490" s="47"/>
      <c r="J490" s="48"/>
      <c r="K490" s="46" t="str">
        <f>IF($AA490="","",INDEX(Fertilisants!$E$8:$E$47,$AA490)&amp;"")</f>
        <v/>
      </c>
      <c r="L490" s="49" t="str">
        <f t="shared" si="98"/>
        <v/>
      </c>
      <c r="M490" s="50" t="str">
        <f>IF(OR($J490="",$AA490=""),"",$J490*N(INDEX(Fertilisants!$G$8:$G$47,$AA490)))</f>
        <v/>
      </c>
      <c r="N490" s="50" t="str">
        <f>IF(OR($J490="",$AA490=""),"",$J490*N(INDEX(Fertilisants!$I$8:$I$47,$AA490)))</f>
        <v/>
      </c>
      <c r="O490" s="50" t="str">
        <f>IF(OR($J490="",$AA490=""),"",$J490*N(INDEX(Fertilisants!$J$8:$J$47,$AA490)))</f>
        <v/>
      </c>
      <c r="P490" s="50" t="str">
        <f>IF(OR($J490="",$AA490=""),"",$J490*N(INDEX(Fertilisants!$K$8:$K$47,$AA490)))</f>
        <v/>
      </c>
      <c r="Q490" s="50" t="str">
        <f t="shared" si="99"/>
        <v/>
      </c>
      <c r="R490" s="44"/>
      <c r="S490" s="44"/>
      <c r="T490" s="51"/>
      <c r="U490" s="44"/>
      <c r="V490" s="43"/>
      <c r="W490" s="52" t="str">
        <f t="shared" si="100"/>
        <v/>
      </c>
      <c r="X490" s="44"/>
      <c r="Z490" s="53" t="str">
        <f>IF($D490="","",IFERROR(MATCH($D490,Îlots!$D$8:$D$57,0),""))</f>
        <v/>
      </c>
      <c r="AA490" s="53" t="str">
        <f>IF($G490="","",IFERROR(MATCH($G490,Fertilisants!$B$8:$B$47,0),""))</f>
        <v/>
      </c>
      <c r="AB490" s="53" t="str">
        <f>IF($Z490="","",INDEX(Îlots!$E$8:$E$57,$Z490))</f>
        <v/>
      </c>
      <c r="AC490" s="53" t="str">
        <f>IF($Z490="","",INDEX(Îlots!$G$8:$G$57,$Z490)&amp;"")</f>
        <v/>
      </c>
      <c r="AD490" s="53" t="str">
        <f>IF($Z490="","",IF($F490=ApportCouvert,OccCouvert,INDEX(Îlots!$O$8:$O$57,$Z490)&amp;""))</f>
        <v/>
      </c>
      <c r="AE490" s="53" t="str">
        <f t="shared" si="101"/>
        <v/>
      </c>
      <c r="AF490" s="53" t="str">
        <f t="shared" si="102"/>
        <v/>
      </c>
      <c r="AG490" s="53" t="str">
        <f t="shared" si="103"/>
        <v/>
      </c>
      <c r="AH490" s="53">
        <f t="shared" si="104"/>
        <v>0</v>
      </c>
      <c r="AI490" s="53">
        <f t="shared" si="105"/>
        <v>0</v>
      </c>
      <c r="AJ490" s="53">
        <f t="shared" si="106"/>
        <v>0</v>
      </c>
      <c r="AK490" s="53">
        <f t="shared" si="107"/>
        <v>0</v>
      </c>
      <c r="AL490" s="53">
        <f t="shared" si="108"/>
        <v>0</v>
      </c>
      <c r="AM490" s="53">
        <f>IF($AA490="",0,IF(INDEX(Fertilisants!$C$8:$C$47,$AA490)="Effluent d'élevage",1,0))</f>
        <v>0</v>
      </c>
      <c r="AN490" s="53" t="str">
        <f>IF($AA490="","",IF(INDEX(Fertilisants!$C$8:$C$47,$AA490)="Engrais minéral","Minéral","Organique"))</f>
        <v/>
      </c>
      <c r="AO490" s="53" t="str">
        <f t="shared" si="109"/>
        <v/>
      </c>
      <c r="AP490" s="53" t="str">
        <f t="shared" si="110"/>
        <v/>
      </c>
      <c r="AQ490" s="53" t="str">
        <f t="shared" si="111"/>
        <v/>
      </c>
      <c r="AR490" s="53" t="str">
        <f>IF(AND($D490&lt;&gt;"",$D490=FicheIlot),COUNTIF($D$8:$D490,FicheIlot),"")</f>
        <v/>
      </c>
    </row>
    <row r="491" spans="2:44" ht="18.95" customHeight="1" x14ac:dyDescent="0.25">
      <c r="B491" s="42" t="str">
        <f>IF(C491="","",COUNT($C$8:C491))</f>
        <v/>
      </c>
      <c r="C491" s="43"/>
      <c r="D491" s="44"/>
      <c r="E491" s="45" t="str">
        <f>IF($Z491="","",IF($F491=ApportCouvert,INDEX(Îlots!$I$8:$I$57,$Z491)&amp;"",INDEX(Îlots!$N$8:$N$57,$Z491)&amp;""))</f>
        <v/>
      </c>
      <c r="F491" s="44"/>
      <c r="G491" s="44"/>
      <c r="H491" s="46" t="str">
        <f>IF($AA491="","",INDEX(Fertilisants!$D$8:$D$47,$AA491)&amp;"")</f>
        <v/>
      </c>
      <c r="I491" s="47"/>
      <c r="J491" s="48"/>
      <c r="K491" s="46" t="str">
        <f>IF($AA491="","",INDEX(Fertilisants!$E$8:$E$47,$AA491)&amp;"")</f>
        <v/>
      </c>
      <c r="L491" s="49" t="str">
        <f t="shared" si="98"/>
        <v/>
      </c>
      <c r="M491" s="50" t="str">
        <f>IF(OR($J491="",$AA491=""),"",$J491*N(INDEX(Fertilisants!$G$8:$G$47,$AA491)))</f>
        <v/>
      </c>
      <c r="N491" s="50" t="str">
        <f>IF(OR($J491="",$AA491=""),"",$J491*N(INDEX(Fertilisants!$I$8:$I$47,$AA491)))</f>
        <v/>
      </c>
      <c r="O491" s="50" t="str">
        <f>IF(OR($J491="",$AA491=""),"",$J491*N(INDEX(Fertilisants!$J$8:$J$47,$AA491)))</f>
        <v/>
      </c>
      <c r="P491" s="50" t="str">
        <f>IF(OR($J491="",$AA491=""),"",$J491*N(INDEX(Fertilisants!$K$8:$K$47,$AA491)))</f>
        <v/>
      </c>
      <c r="Q491" s="50" t="str">
        <f t="shared" si="99"/>
        <v/>
      </c>
      <c r="R491" s="44"/>
      <c r="S491" s="44"/>
      <c r="T491" s="51"/>
      <c r="U491" s="44"/>
      <c r="V491" s="43"/>
      <c r="W491" s="52" t="str">
        <f t="shared" si="100"/>
        <v/>
      </c>
      <c r="X491" s="44"/>
      <c r="Z491" s="53" t="str">
        <f>IF($D491="","",IFERROR(MATCH($D491,Îlots!$D$8:$D$57,0),""))</f>
        <v/>
      </c>
      <c r="AA491" s="53" t="str">
        <f>IF($G491="","",IFERROR(MATCH($G491,Fertilisants!$B$8:$B$47,0),""))</f>
        <v/>
      </c>
      <c r="AB491" s="53" t="str">
        <f>IF($Z491="","",INDEX(Îlots!$E$8:$E$57,$Z491))</f>
        <v/>
      </c>
      <c r="AC491" s="53" t="str">
        <f>IF($Z491="","",INDEX(Îlots!$G$8:$G$57,$Z491)&amp;"")</f>
        <v/>
      </c>
      <c r="AD491" s="53" t="str">
        <f>IF($Z491="","",IF($F491=ApportCouvert,OccCouvert,INDEX(Îlots!$O$8:$O$57,$Z491)&amp;""))</f>
        <v/>
      </c>
      <c r="AE491" s="53" t="str">
        <f t="shared" si="101"/>
        <v/>
      </c>
      <c r="AF491" s="53" t="str">
        <f t="shared" si="102"/>
        <v/>
      </c>
      <c r="AG491" s="53" t="str">
        <f t="shared" si="103"/>
        <v/>
      </c>
      <c r="AH491" s="53">
        <f t="shared" si="104"/>
        <v>0</v>
      </c>
      <c r="AI491" s="53">
        <f t="shared" si="105"/>
        <v>0</v>
      </c>
      <c r="AJ491" s="53">
        <f t="shared" si="106"/>
        <v>0</v>
      </c>
      <c r="AK491" s="53">
        <f t="shared" si="107"/>
        <v>0</v>
      </c>
      <c r="AL491" s="53">
        <f t="shared" si="108"/>
        <v>0</v>
      </c>
      <c r="AM491" s="53">
        <f>IF($AA491="",0,IF(INDEX(Fertilisants!$C$8:$C$47,$AA491)="Effluent d'élevage",1,0))</f>
        <v>0</v>
      </c>
      <c r="AN491" s="53" t="str">
        <f>IF($AA491="","",IF(INDEX(Fertilisants!$C$8:$C$47,$AA491)="Engrais minéral","Minéral","Organique"))</f>
        <v/>
      </c>
      <c r="AO491" s="53" t="str">
        <f t="shared" si="109"/>
        <v/>
      </c>
      <c r="AP491" s="53" t="str">
        <f t="shared" si="110"/>
        <v/>
      </c>
      <c r="AQ491" s="53" t="str">
        <f t="shared" si="111"/>
        <v/>
      </c>
      <c r="AR491" s="53" t="str">
        <f>IF(AND($D491&lt;&gt;"",$D491=FicheIlot),COUNTIF($D$8:$D491,FicheIlot),"")</f>
        <v/>
      </c>
    </row>
    <row r="492" spans="2:44" ht="18.95" customHeight="1" x14ac:dyDescent="0.25">
      <c r="B492" s="42" t="str">
        <f>IF(C492="","",COUNT($C$8:C492))</f>
        <v/>
      </c>
      <c r="C492" s="43"/>
      <c r="D492" s="44"/>
      <c r="E492" s="45" t="str">
        <f>IF($Z492="","",IF($F492=ApportCouvert,INDEX(Îlots!$I$8:$I$57,$Z492)&amp;"",INDEX(Îlots!$N$8:$N$57,$Z492)&amp;""))</f>
        <v/>
      </c>
      <c r="F492" s="44"/>
      <c r="G492" s="44"/>
      <c r="H492" s="46" t="str">
        <f>IF($AA492="","",INDEX(Fertilisants!$D$8:$D$47,$AA492)&amp;"")</f>
        <v/>
      </c>
      <c r="I492" s="47"/>
      <c r="J492" s="48"/>
      <c r="K492" s="46" t="str">
        <f>IF($AA492="","",INDEX(Fertilisants!$E$8:$E$47,$AA492)&amp;"")</f>
        <v/>
      </c>
      <c r="L492" s="49" t="str">
        <f t="shared" si="98"/>
        <v/>
      </c>
      <c r="M492" s="50" t="str">
        <f>IF(OR($J492="",$AA492=""),"",$J492*N(INDEX(Fertilisants!$G$8:$G$47,$AA492)))</f>
        <v/>
      </c>
      <c r="N492" s="50" t="str">
        <f>IF(OR($J492="",$AA492=""),"",$J492*N(INDEX(Fertilisants!$I$8:$I$47,$AA492)))</f>
        <v/>
      </c>
      <c r="O492" s="50" t="str">
        <f>IF(OR($J492="",$AA492=""),"",$J492*N(INDEX(Fertilisants!$J$8:$J$47,$AA492)))</f>
        <v/>
      </c>
      <c r="P492" s="50" t="str">
        <f>IF(OR($J492="",$AA492=""),"",$J492*N(INDEX(Fertilisants!$K$8:$K$47,$AA492)))</f>
        <v/>
      </c>
      <c r="Q492" s="50" t="str">
        <f t="shared" si="99"/>
        <v/>
      </c>
      <c r="R492" s="44"/>
      <c r="S492" s="44"/>
      <c r="T492" s="51"/>
      <c r="U492" s="44"/>
      <c r="V492" s="43"/>
      <c r="W492" s="52" t="str">
        <f t="shared" si="100"/>
        <v/>
      </c>
      <c r="X492" s="44"/>
      <c r="Z492" s="53" t="str">
        <f>IF($D492="","",IFERROR(MATCH($D492,Îlots!$D$8:$D$57,0),""))</f>
        <v/>
      </c>
      <c r="AA492" s="53" t="str">
        <f>IF($G492="","",IFERROR(MATCH($G492,Fertilisants!$B$8:$B$47,0),""))</f>
        <v/>
      </c>
      <c r="AB492" s="53" t="str">
        <f>IF($Z492="","",INDEX(Îlots!$E$8:$E$57,$Z492))</f>
        <v/>
      </c>
      <c r="AC492" s="53" t="str">
        <f>IF($Z492="","",INDEX(Îlots!$G$8:$G$57,$Z492)&amp;"")</f>
        <v/>
      </c>
      <c r="AD492" s="53" t="str">
        <f>IF($Z492="","",IF($F492=ApportCouvert,OccCouvert,INDEX(Îlots!$O$8:$O$57,$Z492)&amp;""))</f>
        <v/>
      </c>
      <c r="AE492" s="53" t="str">
        <f t="shared" si="101"/>
        <v/>
      </c>
      <c r="AF492" s="53" t="str">
        <f t="shared" si="102"/>
        <v/>
      </c>
      <c r="AG492" s="53" t="str">
        <f t="shared" si="103"/>
        <v/>
      </c>
      <c r="AH492" s="53">
        <f t="shared" si="104"/>
        <v>0</v>
      </c>
      <c r="AI492" s="53">
        <f t="shared" si="105"/>
        <v>0</v>
      </c>
      <c r="AJ492" s="53">
        <f t="shared" si="106"/>
        <v>0</v>
      </c>
      <c r="AK492" s="53">
        <f t="shared" si="107"/>
        <v>0</v>
      </c>
      <c r="AL492" s="53">
        <f t="shared" si="108"/>
        <v>0</v>
      </c>
      <c r="AM492" s="53">
        <f>IF($AA492="",0,IF(INDEX(Fertilisants!$C$8:$C$47,$AA492)="Effluent d'élevage",1,0))</f>
        <v>0</v>
      </c>
      <c r="AN492" s="53" t="str">
        <f>IF($AA492="","",IF(INDEX(Fertilisants!$C$8:$C$47,$AA492)="Engrais minéral","Minéral","Organique"))</f>
        <v/>
      </c>
      <c r="AO492" s="53" t="str">
        <f t="shared" si="109"/>
        <v/>
      </c>
      <c r="AP492" s="53" t="str">
        <f t="shared" si="110"/>
        <v/>
      </c>
      <c r="AQ492" s="53" t="str">
        <f t="shared" si="111"/>
        <v/>
      </c>
      <c r="AR492" s="53" t="str">
        <f>IF(AND($D492&lt;&gt;"",$D492=FicheIlot),COUNTIF($D$8:$D492,FicheIlot),"")</f>
        <v/>
      </c>
    </row>
    <row r="493" spans="2:44" ht="18.95" customHeight="1" x14ac:dyDescent="0.25">
      <c r="B493" s="42" t="str">
        <f>IF(C493="","",COUNT($C$8:C493))</f>
        <v/>
      </c>
      <c r="C493" s="43"/>
      <c r="D493" s="44"/>
      <c r="E493" s="45" t="str">
        <f>IF($Z493="","",IF($F493=ApportCouvert,INDEX(Îlots!$I$8:$I$57,$Z493)&amp;"",INDEX(Îlots!$N$8:$N$57,$Z493)&amp;""))</f>
        <v/>
      </c>
      <c r="F493" s="44"/>
      <c r="G493" s="44"/>
      <c r="H493" s="46" t="str">
        <f>IF($AA493="","",INDEX(Fertilisants!$D$8:$D$47,$AA493)&amp;"")</f>
        <v/>
      </c>
      <c r="I493" s="47"/>
      <c r="J493" s="48"/>
      <c r="K493" s="46" t="str">
        <f>IF($AA493="","",INDEX(Fertilisants!$E$8:$E$47,$AA493)&amp;"")</f>
        <v/>
      </c>
      <c r="L493" s="49" t="str">
        <f t="shared" si="98"/>
        <v/>
      </c>
      <c r="M493" s="50" t="str">
        <f>IF(OR($J493="",$AA493=""),"",$J493*N(INDEX(Fertilisants!$G$8:$G$47,$AA493)))</f>
        <v/>
      </c>
      <c r="N493" s="50" t="str">
        <f>IF(OR($J493="",$AA493=""),"",$J493*N(INDEX(Fertilisants!$I$8:$I$47,$AA493)))</f>
        <v/>
      </c>
      <c r="O493" s="50" t="str">
        <f>IF(OR($J493="",$AA493=""),"",$J493*N(INDEX(Fertilisants!$J$8:$J$47,$AA493)))</f>
        <v/>
      </c>
      <c r="P493" s="50" t="str">
        <f>IF(OR($J493="",$AA493=""),"",$J493*N(INDEX(Fertilisants!$K$8:$K$47,$AA493)))</f>
        <v/>
      </c>
      <c r="Q493" s="50" t="str">
        <f t="shared" si="99"/>
        <v/>
      </c>
      <c r="R493" s="44"/>
      <c r="S493" s="44"/>
      <c r="T493" s="51"/>
      <c r="U493" s="44"/>
      <c r="V493" s="43"/>
      <c r="W493" s="52" t="str">
        <f t="shared" si="100"/>
        <v/>
      </c>
      <c r="X493" s="44"/>
      <c r="Z493" s="53" t="str">
        <f>IF($D493="","",IFERROR(MATCH($D493,Îlots!$D$8:$D$57,0),""))</f>
        <v/>
      </c>
      <c r="AA493" s="53" t="str">
        <f>IF($G493="","",IFERROR(MATCH($G493,Fertilisants!$B$8:$B$47,0),""))</f>
        <v/>
      </c>
      <c r="AB493" s="53" t="str">
        <f>IF($Z493="","",INDEX(Îlots!$E$8:$E$57,$Z493))</f>
        <v/>
      </c>
      <c r="AC493" s="53" t="str">
        <f>IF($Z493="","",INDEX(Îlots!$G$8:$G$57,$Z493)&amp;"")</f>
        <v/>
      </c>
      <c r="AD493" s="53" t="str">
        <f>IF($Z493="","",IF($F493=ApportCouvert,OccCouvert,INDEX(Îlots!$O$8:$O$57,$Z493)&amp;""))</f>
        <v/>
      </c>
      <c r="AE493" s="53" t="str">
        <f t="shared" si="101"/>
        <v/>
      </c>
      <c r="AF493" s="53" t="str">
        <f t="shared" si="102"/>
        <v/>
      </c>
      <c r="AG493" s="53" t="str">
        <f t="shared" si="103"/>
        <v/>
      </c>
      <c r="AH493" s="53">
        <f t="shared" si="104"/>
        <v>0</v>
      </c>
      <c r="AI493" s="53">
        <f t="shared" si="105"/>
        <v>0</v>
      </c>
      <c r="AJ493" s="53">
        <f t="shared" si="106"/>
        <v>0</v>
      </c>
      <c r="AK493" s="53">
        <f t="shared" si="107"/>
        <v>0</v>
      </c>
      <c r="AL493" s="53">
        <f t="shared" si="108"/>
        <v>0</v>
      </c>
      <c r="AM493" s="53">
        <f>IF($AA493="",0,IF(INDEX(Fertilisants!$C$8:$C$47,$AA493)="Effluent d'élevage",1,0))</f>
        <v>0</v>
      </c>
      <c r="AN493" s="53" t="str">
        <f>IF($AA493="","",IF(INDEX(Fertilisants!$C$8:$C$47,$AA493)="Engrais minéral","Minéral","Organique"))</f>
        <v/>
      </c>
      <c r="AO493" s="53" t="str">
        <f t="shared" si="109"/>
        <v/>
      </c>
      <c r="AP493" s="53" t="str">
        <f t="shared" si="110"/>
        <v/>
      </c>
      <c r="AQ493" s="53" t="str">
        <f t="shared" si="111"/>
        <v/>
      </c>
      <c r="AR493" s="53" t="str">
        <f>IF(AND($D493&lt;&gt;"",$D493=FicheIlot),COUNTIF($D$8:$D493,FicheIlot),"")</f>
        <v/>
      </c>
    </row>
    <row r="494" spans="2:44" ht="18.95" customHeight="1" x14ac:dyDescent="0.25">
      <c r="B494" s="42" t="str">
        <f>IF(C494="","",COUNT($C$8:C494))</f>
        <v/>
      </c>
      <c r="C494" s="43"/>
      <c r="D494" s="44"/>
      <c r="E494" s="45" t="str">
        <f>IF($Z494="","",IF($F494=ApportCouvert,INDEX(Îlots!$I$8:$I$57,$Z494)&amp;"",INDEX(Îlots!$N$8:$N$57,$Z494)&amp;""))</f>
        <v/>
      </c>
      <c r="F494" s="44"/>
      <c r="G494" s="44"/>
      <c r="H494" s="46" t="str">
        <f>IF($AA494="","",INDEX(Fertilisants!$D$8:$D$47,$AA494)&amp;"")</f>
        <v/>
      </c>
      <c r="I494" s="47"/>
      <c r="J494" s="48"/>
      <c r="K494" s="46" t="str">
        <f>IF($AA494="","",INDEX(Fertilisants!$E$8:$E$47,$AA494)&amp;"")</f>
        <v/>
      </c>
      <c r="L494" s="49" t="str">
        <f t="shared" si="98"/>
        <v/>
      </c>
      <c r="M494" s="50" t="str">
        <f>IF(OR($J494="",$AA494=""),"",$J494*N(INDEX(Fertilisants!$G$8:$G$47,$AA494)))</f>
        <v/>
      </c>
      <c r="N494" s="50" t="str">
        <f>IF(OR($J494="",$AA494=""),"",$J494*N(INDEX(Fertilisants!$I$8:$I$47,$AA494)))</f>
        <v/>
      </c>
      <c r="O494" s="50" t="str">
        <f>IF(OR($J494="",$AA494=""),"",$J494*N(INDEX(Fertilisants!$J$8:$J$47,$AA494)))</f>
        <v/>
      </c>
      <c r="P494" s="50" t="str">
        <f>IF(OR($J494="",$AA494=""),"",$J494*N(INDEX(Fertilisants!$K$8:$K$47,$AA494)))</f>
        <v/>
      </c>
      <c r="Q494" s="50" t="str">
        <f t="shared" si="99"/>
        <v/>
      </c>
      <c r="R494" s="44"/>
      <c r="S494" s="44"/>
      <c r="T494" s="51"/>
      <c r="U494" s="44"/>
      <c r="V494" s="43"/>
      <c r="W494" s="52" t="str">
        <f t="shared" si="100"/>
        <v/>
      </c>
      <c r="X494" s="44"/>
      <c r="Z494" s="53" t="str">
        <f>IF($D494="","",IFERROR(MATCH($D494,Îlots!$D$8:$D$57,0),""))</f>
        <v/>
      </c>
      <c r="AA494" s="53" t="str">
        <f>IF($G494="","",IFERROR(MATCH($G494,Fertilisants!$B$8:$B$47,0),""))</f>
        <v/>
      </c>
      <c r="AB494" s="53" t="str">
        <f>IF($Z494="","",INDEX(Îlots!$E$8:$E$57,$Z494))</f>
        <v/>
      </c>
      <c r="AC494" s="53" t="str">
        <f>IF($Z494="","",INDEX(Îlots!$G$8:$G$57,$Z494)&amp;"")</f>
        <v/>
      </c>
      <c r="AD494" s="53" t="str">
        <f>IF($Z494="","",IF($F494=ApportCouvert,OccCouvert,INDEX(Îlots!$O$8:$O$57,$Z494)&amp;""))</f>
        <v/>
      </c>
      <c r="AE494" s="53" t="str">
        <f t="shared" si="101"/>
        <v/>
      </c>
      <c r="AF494" s="53" t="str">
        <f t="shared" si="102"/>
        <v/>
      </c>
      <c r="AG494" s="53" t="str">
        <f t="shared" si="103"/>
        <v/>
      </c>
      <c r="AH494" s="53">
        <f t="shared" si="104"/>
        <v>0</v>
      </c>
      <c r="AI494" s="53">
        <f t="shared" si="105"/>
        <v>0</v>
      </c>
      <c r="AJ494" s="53">
        <f t="shared" si="106"/>
        <v>0</v>
      </c>
      <c r="AK494" s="53">
        <f t="shared" si="107"/>
        <v>0</v>
      </c>
      <c r="AL494" s="53">
        <f t="shared" si="108"/>
        <v>0</v>
      </c>
      <c r="AM494" s="53">
        <f>IF($AA494="",0,IF(INDEX(Fertilisants!$C$8:$C$47,$AA494)="Effluent d'élevage",1,0))</f>
        <v>0</v>
      </c>
      <c r="AN494" s="53" t="str">
        <f>IF($AA494="","",IF(INDEX(Fertilisants!$C$8:$C$47,$AA494)="Engrais minéral","Minéral","Organique"))</f>
        <v/>
      </c>
      <c r="AO494" s="53" t="str">
        <f t="shared" si="109"/>
        <v/>
      </c>
      <c r="AP494" s="53" t="str">
        <f t="shared" si="110"/>
        <v/>
      </c>
      <c r="AQ494" s="53" t="str">
        <f t="shared" si="111"/>
        <v/>
      </c>
      <c r="AR494" s="53" t="str">
        <f>IF(AND($D494&lt;&gt;"",$D494=FicheIlot),COUNTIF($D$8:$D494,FicheIlot),"")</f>
        <v/>
      </c>
    </row>
    <row r="495" spans="2:44" ht="18.95" customHeight="1" x14ac:dyDescent="0.25">
      <c r="B495" s="42" t="str">
        <f>IF(C495="","",COUNT($C$8:C495))</f>
        <v/>
      </c>
      <c r="C495" s="43"/>
      <c r="D495" s="44"/>
      <c r="E495" s="45" t="str">
        <f>IF($Z495="","",IF($F495=ApportCouvert,INDEX(Îlots!$I$8:$I$57,$Z495)&amp;"",INDEX(Îlots!$N$8:$N$57,$Z495)&amp;""))</f>
        <v/>
      </c>
      <c r="F495" s="44"/>
      <c r="G495" s="44"/>
      <c r="H495" s="46" t="str">
        <f>IF($AA495="","",INDEX(Fertilisants!$D$8:$D$47,$AA495)&amp;"")</f>
        <v/>
      </c>
      <c r="I495" s="47"/>
      <c r="J495" s="48"/>
      <c r="K495" s="46" t="str">
        <f>IF($AA495="","",INDEX(Fertilisants!$E$8:$E$47,$AA495)&amp;"")</f>
        <v/>
      </c>
      <c r="L495" s="49" t="str">
        <f t="shared" si="98"/>
        <v/>
      </c>
      <c r="M495" s="50" t="str">
        <f>IF(OR($J495="",$AA495=""),"",$J495*N(INDEX(Fertilisants!$G$8:$G$47,$AA495)))</f>
        <v/>
      </c>
      <c r="N495" s="50" t="str">
        <f>IF(OR($J495="",$AA495=""),"",$J495*N(INDEX(Fertilisants!$I$8:$I$47,$AA495)))</f>
        <v/>
      </c>
      <c r="O495" s="50" t="str">
        <f>IF(OR($J495="",$AA495=""),"",$J495*N(INDEX(Fertilisants!$J$8:$J$47,$AA495)))</f>
        <v/>
      </c>
      <c r="P495" s="50" t="str">
        <f>IF(OR($J495="",$AA495=""),"",$J495*N(INDEX(Fertilisants!$K$8:$K$47,$AA495)))</f>
        <v/>
      </c>
      <c r="Q495" s="50" t="str">
        <f t="shared" si="99"/>
        <v/>
      </c>
      <c r="R495" s="44"/>
      <c r="S495" s="44"/>
      <c r="T495" s="51"/>
      <c r="U495" s="44"/>
      <c r="V495" s="43"/>
      <c r="W495" s="52" t="str">
        <f t="shared" si="100"/>
        <v/>
      </c>
      <c r="X495" s="44"/>
      <c r="Z495" s="53" t="str">
        <f>IF($D495="","",IFERROR(MATCH($D495,Îlots!$D$8:$D$57,0),""))</f>
        <v/>
      </c>
      <c r="AA495" s="53" t="str">
        <f>IF($G495="","",IFERROR(MATCH($G495,Fertilisants!$B$8:$B$47,0),""))</f>
        <v/>
      </c>
      <c r="AB495" s="53" t="str">
        <f>IF($Z495="","",INDEX(Îlots!$E$8:$E$57,$Z495))</f>
        <v/>
      </c>
      <c r="AC495" s="53" t="str">
        <f>IF($Z495="","",INDEX(Îlots!$G$8:$G$57,$Z495)&amp;"")</f>
        <v/>
      </c>
      <c r="AD495" s="53" t="str">
        <f>IF($Z495="","",IF($F495=ApportCouvert,OccCouvert,INDEX(Îlots!$O$8:$O$57,$Z495)&amp;""))</f>
        <v/>
      </c>
      <c r="AE495" s="53" t="str">
        <f t="shared" si="101"/>
        <v/>
      </c>
      <c r="AF495" s="53" t="str">
        <f t="shared" si="102"/>
        <v/>
      </c>
      <c r="AG495" s="53" t="str">
        <f t="shared" si="103"/>
        <v/>
      </c>
      <c r="AH495" s="53">
        <f t="shared" si="104"/>
        <v>0</v>
      </c>
      <c r="AI495" s="53">
        <f t="shared" si="105"/>
        <v>0</v>
      </c>
      <c r="AJ495" s="53">
        <f t="shared" si="106"/>
        <v>0</v>
      </c>
      <c r="AK495" s="53">
        <f t="shared" si="107"/>
        <v>0</v>
      </c>
      <c r="AL495" s="53">
        <f t="shared" si="108"/>
        <v>0</v>
      </c>
      <c r="AM495" s="53">
        <f>IF($AA495="",0,IF(INDEX(Fertilisants!$C$8:$C$47,$AA495)="Effluent d'élevage",1,0))</f>
        <v>0</v>
      </c>
      <c r="AN495" s="53" t="str">
        <f>IF($AA495="","",IF(INDEX(Fertilisants!$C$8:$C$47,$AA495)="Engrais minéral","Minéral","Organique"))</f>
        <v/>
      </c>
      <c r="AO495" s="53" t="str">
        <f t="shared" si="109"/>
        <v/>
      </c>
      <c r="AP495" s="53" t="str">
        <f t="shared" si="110"/>
        <v/>
      </c>
      <c r="AQ495" s="53" t="str">
        <f t="shared" si="111"/>
        <v/>
      </c>
      <c r="AR495" s="53" t="str">
        <f>IF(AND($D495&lt;&gt;"",$D495=FicheIlot),COUNTIF($D$8:$D495,FicheIlot),"")</f>
        <v/>
      </c>
    </row>
    <row r="496" spans="2:44" ht="18.95" customHeight="1" x14ac:dyDescent="0.25">
      <c r="B496" s="42" t="str">
        <f>IF(C496="","",COUNT($C$8:C496))</f>
        <v/>
      </c>
      <c r="C496" s="43"/>
      <c r="D496" s="44"/>
      <c r="E496" s="45" t="str">
        <f>IF($Z496="","",IF($F496=ApportCouvert,INDEX(Îlots!$I$8:$I$57,$Z496)&amp;"",INDEX(Îlots!$N$8:$N$57,$Z496)&amp;""))</f>
        <v/>
      </c>
      <c r="F496" s="44"/>
      <c r="G496" s="44"/>
      <c r="H496" s="46" t="str">
        <f>IF($AA496="","",INDEX(Fertilisants!$D$8:$D$47,$AA496)&amp;"")</f>
        <v/>
      </c>
      <c r="I496" s="47"/>
      <c r="J496" s="48"/>
      <c r="K496" s="46" t="str">
        <f>IF($AA496="","",INDEX(Fertilisants!$E$8:$E$47,$AA496)&amp;"")</f>
        <v/>
      </c>
      <c r="L496" s="49" t="str">
        <f t="shared" si="98"/>
        <v/>
      </c>
      <c r="M496" s="50" t="str">
        <f>IF(OR($J496="",$AA496=""),"",$J496*N(INDEX(Fertilisants!$G$8:$G$47,$AA496)))</f>
        <v/>
      </c>
      <c r="N496" s="50" t="str">
        <f>IF(OR($J496="",$AA496=""),"",$J496*N(INDEX(Fertilisants!$I$8:$I$47,$AA496)))</f>
        <v/>
      </c>
      <c r="O496" s="50" t="str">
        <f>IF(OR($J496="",$AA496=""),"",$J496*N(INDEX(Fertilisants!$J$8:$J$47,$AA496)))</f>
        <v/>
      </c>
      <c r="P496" s="50" t="str">
        <f>IF(OR($J496="",$AA496=""),"",$J496*N(INDEX(Fertilisants!$K$8:$K$47,$AA496)))</f>
        <v/>
      </c>
      <c r="Q496" s="50" t="str">
        <f t="shared" si="99"/>
        <v/>
      </c>
      <c r="R496" s="44"/>
      <c r="S496" s="44"/>
      <c r="T496" s="51"/>
      <c r="U496" s="44"/>
      <c r="V496" s="43"/>
      <c r="W496" s="52" t="str">
        <f t="shared" si="100"/>
        <v/>
      </c>
      <c r="X496" s="44"/>
      <c r="Z496" s="53" t="str">
        <f>IF($D496="","",IFERROR(MATCH($D496,Îlots!$D$8:$D$57,0),""))</f>
        <v/>
      </c>
      <c r="AA496" s="53" t="str">
        <f>IF($G496="","",IFERROR(MATCH($G496,Fertilisants!$B$8:$B$47,0),""))</f>
        <v/>
      </c>
      <c r="AB496" s="53" t="str">
        <f>IF($Z496="","",INDEX(Îlots!$E$8:$E$57,$Z496))</f>
        <v/>
      </c>
      <c r="AC496" s="53" t="str">
        <f>IF($Z496="","",INDEX(Îlots!$G$8:$G$57,$Z496)&amp;"")</f>
        <v/>
      </c>
      <c r="AD496" s="53" t="str">
        <f>IF($Z496="","",IF($F496=ApportCouvert,OccCouvert,INDEX(Îlots!$O$8:$O$57,$Z496)&amp;""))</f>
        <v/>
      </c>
      <c r="AE496" s="53" t="str">
        <f t="shared" si="101"/>
        <v/>
      </c>
      <c r="AF496" s="53" t="str">
        <f t="shared" si="102"/>
        <v/>
      </c>
      <c r="AG496" s="53" t="str">
        <f t="shared" si="103"/>
        <v/>
      </c>
      <c r="AH496" s="53">
        <f t="shared" si="104"/>
        <v>0</v>
      </c>
      <c r="AI496" s="53">
        <f t="shared" si="105"/>
        <v>0</v>
      </c>
      <c r="AJ496" s="53">
        <f t="shared" si="106"/>
        <v>0</v>
      </c>
      <c r="AK496" s="53">
        <f t="shared" si="107"/>
        <v>0</v>
      </c>
      <c r="AL496" s="53">
        <f t="shared" si="108"/>
        <v>0</v>
      </c>
      <c r="AM496" s="53">
        <f>IF($AA496="",0,IF(INDEX(Fertilisants!$C$8:$C$47,$AA496)="Effluent d'élevage",1,0))</f>
        <v>0</v>
      </c>
      <c r="AN496" s="53" t="str">
        <f>IF($AA496="","",IF(INDEX(Fertilisants!$C$8:$C$47,$AA496)="Engrais minéral","Minéral","Organique"))</f>
        <v/>
      </c>
      <c r="AO496" s="53" t="str">
        <f t="shared" si="109"/>
        <v/>
      </c>
      <c r="AP496" s="53" t="str">
        <f t="shared" si="110"/>
        <v/>
      </c>
      <c r="AQ496" s="53" t="str">
        <f t="shared" si="111"/>
        <v/>
      </c>
      <c r="AR496" s="53" t="str">
        <f>IF(AND($D496&lt;&gt;"",$D496=FicheIlot),COUNTIF($D$8:$D496,FicheIlot),"")</f>
        <v/>
      </c>
    </row>
    <row r="497" spans="2:44" ht="18.95" customHeight="1" x14ac:dyDescent="0.25">
      <c r="B497" s="42" t="str">
        <f>IF(C497="","",COUNT($C$8:C497))</f>
        <v/>
      </c>
      <c r="C497" s="43"/>
      <c r="D497" s="44"/>
      <c r="E497" s="45" t="str">
        <f>IF($Z497="","",IF($F497=ApportCouvert,INDEX(Îlots!$I$8:$I$57,$Z497)&amp;"",INDEX(Îlots!$N$8:$N$57,$Z497)&amp;""))</f>
        <v/>
      </c>
      <c r="F497" s="44"/>
      <c r="G497" s="44"/>
      <c r="H497" s="46" t="str">
        <f>IF($AA497="","",INDEX(Fertilisants!$D$8:$D$47,$AA497)&amp;"")</f>
        <v/>
      </c>
      <c r="I497" s="47"/>
      <c r="J497" s="48"/>
      <c r="K497" s="46" t="str">
        <f>IF($AA497="","",INDEX(Fertilisants!$E$8:$E$47,$AA497)&amp;"")</f>
        <v/>
      </c>
      <c r="L497" s="49" t="str">
        <f t="shared" si="98"/>
        <v/>
      </c>
      <c r="M497" s="50" t="str">
        <f>IF(OR($J497="",$AA497=""),"",$J497*N(INDEX(Fertilisants!$G$8:$G$47,$AA497)))</f>
        <v/>
      </c>
      <c r="N497" s="50" t="str">
        <f>IF(OR($J497="",$AA497=""),"",$J497*N(INDEX(Fertilisants!$I$8:$I$47,$AA497)))</f>
        <v/>
      </c>
      <c r="O497" s="50" t="str">
        <f>IF(OR($J497="",$AA497=""),"",$J497*N(INDEX(Fertilisants!$J$8:$J$47,$AA497)))</f>
        <v/>
      </c>
      <c r="P497" s="50" t="str">
        <f>IF(OR($J497="",$AA497=""),"",$J497*N(INDEX(Fertilisants!$K$8:$K$47,$AA497)))</f>
        <v/>
      </c>
      <c r="Q497" s="50" t="str">
        <f t="shared" si="99"/>
        <v/>
      </c>
      <c r="R497" s="44"/>
      <c r="S497" s="44"/>
      <c r="T497" s="51"/>
      <c r="U497" s="44"/>
      <c r="V497" s="43"/>
      <c r="W497" s="52" t="str">
        <f t="shared" si="100"/>
        <v/>
      </c>
      <c r="X497" s="44"/>
      <c r="Z497" s="53" t="str">
        <f>IF($D497="","",IFERROR(MATCH($D497,Îlots!$D$8:$D$57,0),""))</f>
        <v/>
      </c>
      <c r="AA497" s="53" t="str">
        <f>IF($G497="","",IFERROR(MATCH($G497,Fertilisants!$B$8:$B$47,0),""))</f>
        <v/>
      </c>
      <c r="AB497" s="53" t="str">
        <f>IF($Z497="","",INDEX(Îlots!$E$8:$E$57,$Z497))</f>
        <v/>
      </c>
      <c r="AC497" s="53" t="str">
        <f>IF($Z497="","",INDEX(Îlots!$G$8:$G$57,$Z497)&amp;"")</f>
        <v/>
      </c>
      <c r="AD497" s="53" t="str">
        <f>IF($Z497="","",IF($F497=ApportCouvert,OccCouvert,INDEX(Îlots!$O$8:$O$57,$Z497)&amp;""))</f>
        <v/>
      </c>
      <c r="AE497" s="53" t="str">
        <f t="shared" si="101"/>
        <v/>
      </c>
      <c r="AF497" s="53" t="str">
        <f t="shared" si="102"/>
        <v/>
      </c>
      <c r="AG497" s="53" t="str">
        <f t="shared" si="103"/>
        <v/>
      </c>
      <c r="AH497" s="53">
        <f t="shared" si="104"/>
        <v>0</v>
      </c>
      <c r="AI497" s="53">
        <f t="shared" si="105"/>
        <v>0</v>
      </c>
      <c r="AJ497" s="53">
        <f t="shared" si="106"/>
        <v>0</v>
      </c>
      <c r="AK497" s="53">
        <f t="shared" si="107"/>
        <v>0</v>
      </c>
      <c r="AL497" s="53">
        <f t="shared" si="108"/>
        <v>0</v>
      </c>
      <c r="AM497" s="53">
        <f>IF($AA497="",0,IF(INDEX(Fertilisants!$C$8:$C$47,$AA497)="Effluent d'élevage",1,0))</f>
        <v>0</v>
      </c>
      <c r="AN497" s="53" t="str">
        <f>IF($AA497="","",IF(INDEX(Fertilisants!$C$8:$C$47,$AA497)="Engrais minéral","Minéral","Organique"))</f>
        <v/>
      </c>
      <c r="AO497" s="53" t="str">
        <f t="shared" si="109"/>
        <v/>
      </c>
      <c r="AP497" s="53" t="str">
        <f t="shared" si="110"/>
        <v/>
      </c>
      <c r="AQ497" s="53" t="str">
        <f t="shared" si="111"/>
        <v/>
      </c>
      <c r="AR497" s="53" t="str">
        <f>IF(AND($D497&lt;&gt;"",$D497=FicheIlot),COUNTIF($D$8:$D497,FicheIlot),"")</f>
        <v/>
      </c>
    </row>
    <row r="498" spans="2:44" ht="18.95" customHeight="1" x14ac:dyDescent="0.25">
      <c r="B498" s="42" t="str">
        <f>IF(C498="","",COUNT($C$8:C498))</f>
        <v/>
      </c>
      <c r="C498" s="43"/>
      <c r="D498" s="44"/>
      <c r="E498" s="45" t="str">
        <f>IF($Z498="","",IF($F498=ApportCouvert,INDEX(Îlots!$I$8:$I$57,$Z498)&amp;"",INDEX(Îlots!$N$8:$N$57,$Z498)&amp;""))</f>
        <v/>
      </c>
      <c r="F498" s="44"/>
      <c r="G498" s="44"/>
      <c r="H498" s="46" t="str">
        <f>IF($AA498="","",INDEX(Fertilisants!$D$8:$D$47,$AA498)&amp;"")</f>
        <v/>
      </c>
      <c r="I498" s="47"/>
      <c r="J498" s="48"/>
      <c r="K498" s="46" t="str">
        <f>IF($AA498="","",INDEX(Fertilisants!$E$8:$E$47,$AA498)&amp;"")</f>
        <v/>
      </c>
      <c r="L498" s="49" t="str">
        <f t="shared" si="98"/>
        <v/>
      </c>
      <c r="M498" s="50" t="str">
        <f>IF(OR($J498="",$AA498=""),"",$J498*N(INDEX(Fertilisants!$G$8:$G$47,$AA498)))</f>
        <v/>
      </c>
      <c r="N498" s="50" t="str">
        <f>IF(OR($J498="",$AA498=""),"",$J498*N(INDEX(Fertilisants!$I$8:$I$47,$AA498)))</f>
        <v/>
      </c>
      <c r="O498" s="50" t="str">
        <f>IF(OR($J498="",$AA498=""),"",$J498*N(INDEX(Fertilisants!$J$8:$J$47,$AA498)))</f>
        <v/>
      </c>
      <c r="P498" s="50" t="str">
        <f>IF(OR($J498="",$AA498=""),"",$J498*N(INDEX(Fertilisants!$K$8:$K$47,$AA498)))</f>
        <v/>
      </c>
      <c r="Q498" s="50" t="str">
        <f t="shared" si="99"/>
        <v/>
      </c>
      <c r="R498" s="44"/>
      <c r="S498" s="44"/>
      <c r="T498" s="51"/>
      <c r="U498" s="44"/>
      <c r="V498" s="43"/>
      <c r="W498" s="52" t="str">
        <f t="shared" si="100"/>
        <v/>
      </c>
      <c r="X498" s="44"/>
      <c r="Z498" s="53" t="str">
        <f>IF($D498="","",IFERROR(MATCH($D498,Îlots!$D$8:$D$57,0),""))</f>
        <v/>
      </c>
      <c r="AA498" s="53" t="str">
        <f>IF($G498="","",IFERROR(MATCH($G498,Fertilisants!$B$8:$B$47,0),""))</f>
        <v/>
      </c>
      <c r="AB498" s="53" t="str">
        <f>IF($Z498="","",INDEX(Îlots!$E$8:$E$57,$Z498))</f>
        <v/>
      </c>
      <c r="AC498" s="53" t="str">
        <f>IF($Z498="","",INDEX(Îlots!$G$8:$G$57,$Z498)&amp;"")</f>
        <v/>
      </c>
      <c r="AD498" s="53" t="str">
        <f>IF($Z498="","",IF($F498=ApportCouvert,OccCouvert,INDEX(Îlots!$O$8:$O$57,$Z498)&amp;""))</f>
        <v/>
      </c>
      <c r="AE498" s="53" t="str">
        <f t="shared" si="101"/>
        <v/>
      </c>
      <c r="AF498" s="53" t="str">
        <f t="shared" si="102"/>
        <v/>
      </c>
      <c r="AG498" s="53" t="str">
        <f t="shared" si="103"/>
        <v/>
      </c>
      <c r="AH498" s="53">
        <f t="shared" si="104"/>
        <v>0</v>
      </c>
      <c r="AI498" s="53">
        <f t="shared" si="105"/>
        <v>0</v>
      </c>
      <c r="AJ498" s="53">
        <f t="shared" si="106"/>
        <v>0</v>
      </c>
      <c r="AK498" s="53">
        <f t="shared" si="107"/>
        <v>0</v>
      </c>
      <c r="AL498" s="53">
        <f t="shared" si="108"/>
        <v>0</v>
      </c>
      <c r="AM498" s="53">
        <f>IF($AA498="",0,IF(INDEX(Fertilisants!$C$8:$C$47,$AA498)="Effluent d'élevage",1,0))</f>
        <v>0</v>
      </c>
      <c r="AN498" s="53" t="str">
        <f>IF($AA498="","",IF(INDEX(Fertilisants!$C$8:$C$47,$AA498)="Engrais minéral","Minéral","Organique"))</f>
        <v/>
      </c>
      <c r="AO498" s="53" t="str">
        <f t="shared" si="109"/>
        <v/>
      </c>
      <c r="AP498" s="53" t="str">
        <f t="shared" si="110"/>
        <v/>
      </c>
      <c r="AQ498" s="53" t="str">
        <f t="shared" si="111"/>
        <v/>
      </c>
      <c r="AR498" s="53" t="str">
        <f>IF(AND($D498&lt;&gt;"",$D498=FicheIlot),COUNTIF($D$8:$D498,FicheIlot),"")</f>
        <v/>
      </c>
    </row>
    <row r="499" spans="2:44" ht="18.95" customHeight="1" x14ac:dyDescent="0.25">
      <c r="B499" s="42" t="str">
        <f>IF(C499="","",COUNT($C$8:C499))</f>
        <v/>
      </c>
      <c r="C499" s="43"/>
      <c r="D499" s="44"/>
      <c r="E499" s="45" t="str">
        <f>IF($Z499="","",IF($F499=ApportCouvert,INDEX(Îlots!$I$8:$I$57,$Z499)&amp;"",INDEX(Îlots!$N$8:$N$57,$Z499)&amp;""))</f>
        <v/>
      </c>
      <c r="F499" s="44"/>
      <c r="G499" s="44"/>
      <c r="H499" s="46" t="str">
        <f>IF($AA499="","",INDEX(Fertilisants!$D$8:$D$47,$AA499)&amp;"")</f>
        <v/>
      </c>
      <c r="I499" s="47"/>
      <c r="J499" s="48"/>
      <c r="K499" s="46" t="str">
        <f>IF($AA499="","",INDEX(Fertilisants!$E$8:$E$47,$AA499)&amp;"")</f>
        <v/>
      </c>
      <c r="L499" s="49" t="str">
        <f t="shared" si="98"/>
        <v/>
      </c>
      <c r="M499" s="50" t="str">
        <f>IF(OR($J499="",$AA499=""),"",$J499*N(INDEX(Fertilisants!$G$8:$G$47,$AA499)))</f>
        <v/>
      </c>
      <c r="N499" s="50" t="str">
        <f>IF(OR($J499="",$AA499=""),"",$J499*N(INDEX(Fertilisants!$I$8:$I$47,$AA499)))</f>
        <v/>
      </c>
      <c r="O499" s="50" t="str">
        <f>IF(OR($J499="",$AA499=""),"",$J499*N(INDEX(Fertilisants!$J$8:$J$47,$AA499)))</f>
        <v/>
      </c>
      <c r="P499" s="50" t="str">
        <f>IF(OR($J499="",$AA499=""),"",$J499*N(INDEX(Fertilisants!$K$8:$K$47,$AA499)))</f>
        <v/>
      </c>
      <c r="Q499" s="50" t="str">
        <f t="shared" si="99"/>
        <v/>
      </c>
      <c r="R499" s="44"/>
      <c r="S499" s="44"/>
      <c r="T499" s="51"/>
      <c r="U499" s="44"/>
      <c r="V499" s="43"/>
      <c r="W499" s="52" t="str">
        <f t="shared" si="100"/>
        <v/>
      </c>
      <c r="X499" s="44"/>
      <c r="Z499" s="53" t="str">
        <f>IF($D499="","",IFERROR(MATCH($D499,Îlots!$D$8:$D$57,0),""))</f>
        <v/>
      </c>
      <c r="AA499" s="53" t="str">
        <f>IF($G499="","",IFERROR(MATCH($G499,Fertilisants!$B$8:$B$47,0),""))</f>
        <v/>
      </c>
      <c r="AB499" s="53" t="str">
        <f>IF($Z499="","",INDEX(Îlots!$E$8:$E$57,$Z499))</f>
        <v/>
      </c>
      <c r="AC499" s="53" t="str">
        <f>IF($Z499="","",INDEX(Îlots!$G$8:$G$57,$Z499)&amp;"")</f>
        <v/>
      </c>
      <c r="AD499" s="53" t="str">
        <f>IF($Z499="","",IF($F499=ApportCouvert,OccCouvert,INDEX(Îlots!$O$8:$O$57,$Z499)&amp;""))</f>
        <v/>
      </c>
      <c r="AE499" s="53" t="str">
        <f t="shared" si="101"/>
        <v/>
      </c>
      <c r="AF499" s="53" t="str">
        <f t="shared" si="102"/>
        <v/>
      </c>
      <c r="AG499" s="53" t="str">
        <f t="shared" si="103"/>
        <v/>
      </c>
      <c r="AH499" s="53">
        <f t="shared" si="104"/>
        <v>0</v>
      </c>
      <c r="AI499" s="53">
        <f t="shared" si="105"/>
        <v>0</v>
      </c>
      <c r="AJ499" s="53">
        <f t="shared" si="106"/>
        <v>0</v>
      </c>
      <c r="AK499" s="53">
        <f t="shared" si="107"/>
        <v>0</v>
      </c>
      <c r="AL499" s="53">
        <f t="shared" si="108"/>
        <v>0</v>
      </c>
      <c r="AM499" s="53">
        <f>IF($AA499="",0,IF(INDEX(Fertilisants!$C$8:$C$47,$AA499)="Effluent d'élevage",1,0))</f>
        <v>0</v>
      </c>
      <c r="AN499" s="53" t="str">
        <f>IF($AA499="","",IF(INDEX(Fertilisants!$C$8:$C$47,$AA499)="Engrais minéral","Minéral","Organique"))</f>
        <v/>
      </c>
      <c r="AO499" s="53" t="str">
        <f t="shared" si="109"/>
        <v/>
      </c>
      <c r="AP499" s="53" t="str">
        <f t="shared" si="110"/>
        <v/>
      </c>
      <c r="AQ499" s="53" t="str">
        <f t="shared" si="111"/>
        <v/>
      </c>
      <c r="AR499" s="53" t="str">
        <f>IF(AND($D499&lt;&gt;"",$D499=FicheIlot),COUNTIF($D$8:$D499,FicheIlot),"")</f>
        <v/>
      </c>
    </row>
    <row r="500" spans="2:44" ht="18.95" customHeight="1" x14ac:dyDescent="0.25">
      <c r="B500" s="42" t="str">
        <f>IF(C500="","",COUNT($C$8:C500))</f>
        <v/>
      </c>
      <c r="C500" s="43"/>
      <c r="D500" s="44"/>
      <c r="E500" s="45" t="str">
        <f>IF($Z500="","",IF($F500=ApportCouvert,INDEX(Îlots!$I$8:$I$57,$Z500)&amp;"",INDEX(Îlots!$N$8:$N$57,$Z500)&amp;""))</f>
        <v/>
      </c>
      <c r="F500" s="44"/>
      <c r="G500" s="44"/>
      <c r="H500" s="46" t="str">
        <f>IF($AA500="","",INDEX(Fertilisants!$D$8:$D$47,$AA500)&amp;"")</f>
        <v/>
      </c>
      <c r="I500" s="47"/>
      <c r="J500" s="48"/>
      <c r="K500" s="46" t="str">
        <f>IF($AA500="","",INDEX(Fertilisants!$E$8:$E$47,$AA500)&amp;"")</f>
        <v/>
      </c>
      <c r="L500" s="49" t="str">
        <f t="shared" si="98"/>
        <v/>
      </c>
      <c r="M500" s="50" t="str">
        <f>IF(OR($J500="",$AA500=""),"",$J500*N(INDEX(Fertilisants!$G$8:$G$47,$AA500)))</f>
        <v/>
      </c>
      <c r="N500" s="50" t="str">
        <f>IF(OR($J500="",$AA500=""),"",$J500*N(INDEX(Fertilisants!$I$8:$I$47,$AA500)))</f>
        <v/>
      </c>
      <c r="O500" s="50" t="str">
        <f>IF(OR($J500="",$AA500=""),"",$J500*N(INDEX(Fertilisants!$J$8:$J$47,$AA500)))</f>
        <v/>
      </c>
      <c r="P500" s="50" t="str">
        <f>IF(OR($J500="",$AA500=""),"",$J500*N(INDEX(Fertilisants!$K$8:$K$47,$AA500)))</f>
        <v/>
      </c>
      <c r="Q500" s="50" t="str">
        <f t="shared" si="99"/>
        <v/>
      </c>
      <c r="R500" s="44"/>
      <c r="S500" s="44"/>
      <c r="T500" s="51"/>
      <c r="U500" s="44"/>
      <c r="V500" s="43"/>
      <c r="W500" s="52" t="str">
        <f t="shared" si="100"/>
        <v/>
      </c>
      <c r="X500" s="44"/>
      <c r="Z500" s="53" t="str">
        <f>IF($D500="","",IFERROR(MATCH($D500,Îlots!$D$8:$D$57,0),""))</f>
        <v/>
      </c>
      <c r="AA500" s="53" t="str">
        <f>IF($G500="","",IFERROR(MATCH($G500,Fertilisants!$B$8:$B$47,0),""))</f>
        <v/>
      </c>
      <c r="AB500" s="53" t="str">
        <f>IF($Z500="","",INDEX(Îlots!$E$8:$E$57,$Z500))</f>
        <v/>
      </c>
      <c r="AC500" s="53" t="str">
        <f>IF($Z500="","",INDEX(Îlots!$G$8:$G$57,$Z500)&amp;"")</f>
        <v/>
      </c>
      <c r="AD500" s="53" t="str">
        <f>IF($Z500="","",IF($F500=ApportCouvert,OccCouvert,INDEX(Îlots!$O$8:$O$57,$Z500)&amp;""))</f>
        <v/>
      </c>
      <c r="AE500" s="53" t="str">
        <f t="shared" si="101"/>
        <v/>
      </c>
      <c r="AF500" s="53" t="str">
        <f t="shared" si="102"/>
        <v/>
      </c>
      <c r="AG500" s="53" t="str">
        <f t="shared" si="103"/>
        <v/>
      </c>
      <c r="AH500" s="53">
        <f t="shared" si="104"/>
        <v>0</v>
      </c>
      <c r="AI500" s="53">
        <f t="shared" si="105"/>
        <v>0</v>
      </c>
      <c r="AJ500" s="53">
        <f t="shared" si="106"/>
        <v>0</v>
      </c>
      <c r="AK500" s="53">
        <f t="shared" si="107"/>
        <v>0</v>
      </c>
      <c r="AL500" s="53">
        <f t="shared" si="108"/>
        <v>0</v>
      </c>
      <c r="AM500" s="53">
        <f>IF($AA500="",0,IF(INDEX(Fertilisants!$C$8:$C$47,$AA500)="Effluent d'élevage",1,0))</f>
        <v>0</v>
      </c>
      <c r="AN500" s="53" t="str">
        <f>IF($AA500="","",IF(INDEX(Fertilisants!$C$8:$C$47,$AA500)="Engrais minéral","Minéral","Organique"))</f>
        <v/>
      </c>
      <c r="AO500" s="53" t="str">
        <f t="shared" si="109"/>
        <v/>
      </c>
      <c r="AP500" s="53" t="str">
        <f t="shared" si="110"/>
        <v/>
      </c>
      <c r="AQ500" s="53" t="str">
        <f t="shared" si="111"/>
        <v/>
      </c>
      <c r="AR500" s="53" t="str">
        <f>IF(AND($D500&lt;&gt;"",$D500=FicheIlot),COUNTIF($D$8:$D500,FicheIlot),"")</f>
        <v/>
      </c>
    </row>
    <row r="501" spans="2:44" ht="18.95" customHeight="1" x14ac:dyDescent="0.25">
      <c r="B501" s="42" t="str">
        <f>IF(C501="","",COUNT($C$8:C501))</f>
        <v/>
      </c>
      <c r="C501" s="43"/>
      <c r="D501" s="44"/>
      <c r="E501" s="45" t="str">
        <f>IF($Z501="","",IF($F501=ApportCouvert,INDEX(Îlots!$I$8:$I$57,$Z501)&amp;"",INDEX(Îlots!$N$8:$N$57,$Z501)&amp;""))</f>
        <v/>
      </c>
      <c r="F501" s="44"/>
      <c r="G501" s="44"/>
      <c r="H501" s="46" t="str">
        <f>IF($AA501="","",INDEX(Fertilisants!$D$8:$D$47,$AA501)&amp;"")</f>
        <v/>
      </c>
      <c r="I501" s="47"/>
      <c r="J501" s="48"/>
      <c r="K501" s="46" t="str">
        <f>IF($AA501="","",INDEX(Fertilisants!$E$8:$E$47,$AA501)&amp;"")</f>
        <v/>
      </c>
      <c r="L501" s="49" t="str">
        <f t="shared" si="98"/>
        <v/>
      </c>
      <c r="M501" s="50" t="str">
        <f>IF(OR($J501="",$AA501=""),"",$J501*N(INDEX(Fertilisants!$G$8:$G$47,$AA501)))</f>
        <v/>
      </c>
      <c r="N501" s="50" t="str">
        <f>IF(OR($J501="",$AA501=""),"",$J501*N(INDEX(Fertilisants!$I$8:$I$47,$AA501)))</f>
        <v/>
      </c>
      <c r="O501" s="50" t="str">
        <f>IF(OR($J501="",$AA501=""),"",$J501*N(INDEX(Fertilisants!$J$8:$J$47,$AA501)))</f>
        <v/>
      </c>
      <c r="P501" s="50" t="str">
        <f>IF(OR($J501="",$AA501=""),"",$J501*N(INDEX(Fertilisants!$K$8:$K$47,$AA501)))</f>
        <v/>
      </c>
      <c r="Q501" s="50" t="str">
        <f t="shared" si="99"/>
        <v/>
      </c>
      <c r="R501" s="44"/>
      <c r="S501" s="44"/>
      <c r="T501" s="51"/>
      <c r="U501" s="44"/>
      <c r="V501" s="43"/>
      <c r="W501" s="52" t="str">
        <f t="shared" si="100"/>
        <v/>
      </c>
      <c r="X501" s="44"/>
      <c r="Z501" s="53" t="str">
        <f>IF($D501="","",IFERROR(MATCH($D501,Îlots!$D$8:$D$57,0),""))</f>
        <v/>
      </c>
      <c r="AA501" s="53" t="str">
        <f>IF($G501="","",IFERROR(MATCH($G501,Fertilisants!$B$8:$B$47,0),""))</f>
        <v/>
      </c>
      <c r="AB501" s="53" t="str">
        <f>IF($Z501="","",INDEX(Îlots!$E$8:$E$57,$Z501))</f>
        <v/>
      </c>
      <c r="AC501" s="53" t="str">
        <f>IF($Z501="","",INDEX(Îlots!$G$8:$G$57,$Z501)&amp;"")</f>
        <v/>
      </c>
      <c r="AD501" s="53" t="str">
        <f>IF($Z501="","",IF($F501=ApportCouvert,OccCouvert,INDEX(Îlots!$O$8:$O$57,$Z501)&amp;""))</f>
        <v/>
      </c>
      <c r="AE501" s="53" t="str">
        <f t="shared" si="101"/>
        <v/>
      </c>
      <c r="AF501" s="53" t="str">
        <f t="shared" si="102"/>
        <v/>
      </c>
      <c r="AG501" s="53" t="str">
        <f t="shared" si="103"/>
        <v/>
      </c>
      <c r="AH501" s="53">
        <f t="shared" si="104"/>
        <v>0</v>
      </c>
      <c r="AI501" s="53">
        <f t="shared" si="105"/>
        <v>0</v>
      </c>
      <c r="AJ501" s="53">
        <f t="shared" si="106"/>
        <v>0</v>
      </c>
      <c r="AK501" s="53">
        <f t="shared" si="107"/>
        <v>0</v>
      </c>
      <c r="AL501" s="53">
        <f t="shared" si="108"/>
        <v>0</v>
      </c>
      <c r="AM501" s="53">
        <f>IF($AA501="",0,IF(INDEX(Fertilisants!$C$8:$C$47,$AA501)="Effluent d'élevage",1,0))</f>
        <v>0</v>
      </c>
      <c r="AN501" s="53" t="str">
        <f>IF($AA501="","",IF(INDEX(Fertilisants!$C$8:$C$47,$AA501)="Engrais minéral","Minéral","Organique"))</f>
        <v/>
      </c>
      <c r="AO501" s="53" t="str">
        <f t="shared" si="109"/>
        <v/>
      </c>
      <c r="AP501" s="53" t="str">
        <f t="shared" si="110"/>
        <v/>
      </c>
      <c r="AQ501" s="53" t="str">
        <f t="shared" si="111"/>
        <v/>
      </c>
      <c r="AR501" s="53" t="str">
        <f>IF(AND($D501&lt;&gt;"",$D501=FicheIlot),COUNTIF($D$8:$D501,FicheIlot),"")</f>
        <v/>
      </c>
    </row>
    <row r="502" spans="2:44" ht="18.95" customHeight="1" x14ac:dyDescent="0.25">
      <c r="B502" s="42" t="str">
        <f>IF(C502="","",COUNT($C$8:C502))</f>
        <v/>
      </c>
      <c r="C502" s="43"/>
      <c r="D502" s="44"/>
      <c r="E502" s="45" t="str">
        <f>IF($Z502="","",IF($F502=ApportCouvert,INDEX(Îlots!$I$8:$I$57,$Z502)&amp;"",INDEX(Îlots!$N$8:$N$57,$Z502)&amp;""))</f>
        <v/>
      </c>
      <c r="F502" s="44"/>
      <c r="G502" s="44"/>
      <c r="H502" s="46" t="str">
        <f>IF($AA502="","",INDEX(Fertilisants!$D$8:$D$47,$AA502)&amp;"")</f>
        <v/>
      </c>
      <c r="I502" s="47"/>
      <c r="J502" s="48"/>
      <c r="K502" s="46" t="str">
        <f>IF($AA502="","",INDEX(Fertilisants!$E$8:$E$47,$AA502)&amp;"")</f>
        <v/>
      </c>
      <c r="L502" s="49" t="str">
        <f t="shared" si="98"/>
        <v/>
      </c>
      <c r="M502" s="50" t="str">
        <f>IF(OR($J502="",$AA502=""),"",$J502*N(INDEX(Fertilisants!$G$8:$G$47,$AA502)))</f>
        <v/>
      </c>
      <c r="N502" s="50" t="str">
        <f>IF(OR($J502="",$AA502=""),"",$J502*N(INDEX(Fertilisants!$I$8:$I$47,$AA502)))</f>
        <v/>
      </c>
      <c r="O502" s="50" t="str">
        <f>IF(OR($J502="",$AA502=""),"",$J502*N(INDEX(Fertilisants!$J$8:$J$47,$AA502)))</f>
        <v/>
      </c>
      <c r="P502" s="50" t="str">
        <f>IF(OR($J502="",$AA502=""),"",$J502*N(INDEX(Fertilisants!$K$8:$K$47,$AA502)))</f>
        <v/>
      </c>
      <c r="Q502" s="50" t="str">
        <f t="shared" si="99"/>
        <v/>
      </c>
      <c r="R502" s="44"/>
      <c r="S502" s="44"/>
      <c r="T502" s="51"/>
      <c r="U502" s="44"/>
      <c r="V502" s="43"/>
      <c r="W502" s="52" t="str">
        <f t="shared" si="100"/>
        <v/>
      </c>
      <c r="X502" s="44"/>
      <c r="Z502" s="53" t="str">
        <f>IF($D502="","",IFERROR(MATCH($D502,Îlots!$D$8:$D$57,0),""))</f>
        <v/>
      </c>
      <c r="AA502" s="53" t="str">
        <f>IF($G502="","",IFERROR(MATCH($G502,Fertilisants!$B$8:$B$47,0),""))</f>
        <v/>
      </c>
      <c r="AB502" s="53" t="str">
        <f>IF($Z502="","",INDEX(Îlots!$E$8:$E$57,$Z502))</f>
        <v/>
      </c>
      <c r="AC502" s="53" t="str">
        <f>IF($Z502="","",INDEX(Îlots!$G$8:$G$57,$Z502)&amp;"")</f>
        <v/>
      </c>
      <c r="AD502" s="53" t="str">
        <f>IF($Z502="","",IF($F502=ApportCouvert,OccCouvert,INDEX(Îlots!$O$8:$O$57,$Z502)&amp;""))</f>
        <v/>
      </c>
      <c r="AE502" s="53" t="str">
        <f t="shared" si="101"/>
        <v/>
      </c>
      <c r="AF502" s="53" t="str">
        <f t="shared" si="102"/>
        <v/>
      </c>
      <c r="AG502" s="53" t="str">
        <f t="shared" si="103"/>
        <v/>
      </c>
      <c r="AH502" s="53">
        <f t="shared" si="104"/>
        <v>0</v>
      </c>
      <c r="AI502" s="53">
        <f t="shared" si="105"/>
        <v>0</v>
      </c>
      <c r="AJ502" s="53">
        <f t="shared" si="106"/>
        <v>0</v>
      </c>
      <c r="AK502" s="53">
        <f t="shared" si="107"/>
        <v>0</v>
      </c>
      <c r="AL502" s="53">
        <f t="shared" si="108"/>
        <v>0</v>
      </c>
      <c r="AM502" s="53">
        <f>IF($AA502="",0,IF(INDEX(Fertilisants!$C$8:$C$47,$AA502)="Effluent d'élevage",1,0))</f>
        <v>0</v>
      </c>
      <c r="AN502" s="53" t="str">
        <f>IF($AA502="","",IF(INDEX(Fertilisants!$C$8:$C$47,$AA502)="Engrais minéral","Minéral","Organique"))</f>
        <v/>
      </c>
      <c r="AO502" s="53" t="str">
        <f t="shared" si="109"/>
        <v/>
      </c>
      <c r="AP502" s="53" t="str">
        <f t="shared" si="110"/>
        <v/>
      </c>
      <c r="AQ502" s="53" t="str">
        <f t="shared" si="111"/>
        <v/>
      </c>
      <c r="AR502" s="53" t="str">
        <f>IF(AND($D502&lt;&gt;"",$D502=FicheIlot),COUNTIF($D$8:$D502,FicheIlot),"")</f>
        <v/>
      </c>
    </row>
    <row r="503" spans="2:44" ht="18.95" customHeight="1" x14ac:dyDescent="0.25">
      <c r="B503" s="42" t="str">
        <f>IF(C503="","",COUNT($C$8:C503))</f>
        <v/>
      </c>
      <c r="C503" s="43"/>
      <c r="D503" s="44"/>
      <c r="E503" s="45" t="str">
        <f>IF($Z503="","",IF($F503=ApportCouvert,INDEX(Îlots!$I$8:$I$57,$Z503)&amp;"",INDEX(Îlots!$N$8:$N$57,$Z503)&amp;""))</f>
        <v/>
      </c>
      <c r="F503" s="44"/>
      <c r="G503" s="44"/>
      <c r="H503" s="46" t="str">
        <f>IF($AA503="","",INDEX(Fertilisants!$D$8:$D$47,$AA503)&amp;"")</f>
        <v/>
      </c>
      <c r="I503" s="47"/>
      <c r="J503" s="48"/>
      <c r="K503" s="46" t="str">
        <f>IF($AA503="","",INDEX(Fertilisants!$E$8:$E$47,$AA503)&amp;"")</f>
        <v/>
      </c>
      <c r="L503" s="49" t="str">
        <f t="shared" si="98"/>
        <v/>
      </c>
      <c r="M503" s="50" t="str">
        <f>IF(OR($J503="",$AA503=""),"",$J503*N(INDEX(Fertilisants!$G$8:$G$47,$AA503)))</f>
        <v/>
      </c>
      <c r="N503" s="50" t="str">
        <f>IF(OR($J503="",$AA503=""),"",$J503*N(INDEX(Fertilisants!$I$8:$I$47,$AA503)))</f>
        <v/>
      </c>
      <c r="O503" s="50" t="str">
        <f>IF(OR($J503="",$AA503=""),"",$J503*N(INDEX(Fertilisants!$J$8:$J$47,$AA503)))</f>
        <v/>
      </c>
      <c r="P503" s="50" t="str">
        <f>IF(OR($J503="",$AA503=""),"",$J503*N(INDEX(Fertilisants!$K$8:$K$47,$AA503)))</f>
        <v/>
      </c>
      <c r="Q503" s="50" t="str">
        <f t="shared" si="99"/>
        <v/>
      </c>
      <c r="R503" s="44"/>
      <c r="S503" s="44"/>
      <c r="T503" s="51"/>
      <c r="U503" s="44"/>
      <c r="V503" s="43"/>
      <c r="W503" s="52" t="str">
        <f t="shared" si="100"/>
        <v/>
      </c>
      <c r="X503" s="44"/>
      <c r="Z503" s="53" t="str">
        <f>IF($D503="","",IFERROR(MATCH($D503,Îlots!$D$8:$D$57,0),""))</f>
        <v/>
      </c>
      <c r="AA503" s="53" t="str">
        <f>IF($G503="","",IFERROR(MATCH($G503,Fertilisants!$B$8:$B$47,0),""))</f>
        <v/>
      </c>
      <c r="AB503" s="53" t="str">
        <f>IF($Z503="","",INDEX(Îlots!$E$8:$E$57,$Z503))</f>
        <v/>
      </c>
      <c r="AC503" s="53" t="str">
        <f>IF($Z503="","",INDEX(Îlots!$G$8:$G$57,$Z503)&amp;"")</f>
        <v/>
      </c>
      <c r="AD503" s="53" t="str">
        <f>IF($Z503="","",IF($F503=ApportCouvert,OccCouvert,INDEX(Îlots!$O$8:$O$57,$Z503)&amp;""))</f>
        <v/>
      </c>
      <c r="AE503" s="53" t="str">
        <f t="shared" si="101"/>
        <v/>
      </c>
      <c r="AF503" s="53" t="str">
        <f t="shared" si="102"/>
        <v/>
      </c>
      <c r="AG503" s="53" t="str">
        <f t="shared" si="103"/>
        <v/>
      </c>
      <c r="AH503" s="53">
        <f t="shared" si="104"/>
        <v>0</v>
      </c>
      <c r="AI503" s="53">
        <f t="shared" si="105"/>
        <v>0</v>
      </c>
      <c r="AJ503" s="53">
        <f t="shared" si="106"/>
        <v>0</v>
      </c>
      <c r="AK503" s="53">
        <f t="shared" si="107"/>
        <v>0</v>
      </c>
      <c r="AL503" s="53">
        <f t="shared" si="108"/>
        <v>0</v>
      </c>
      <c r="AM503" s="53">
        <f>IF($AA503="",0,IF(INDEX(Fertilisants!$C$8:$C$47,$AA503)="Effluent d'élevage",1,0))</f>
        <v>0</v>
      </c>
      <c r="AN503" s="53" t="str">
        <f>IF($AA503="","",IF(INDEX(Fertilisants!$C$8:$C$47,$AA503)="Engrais minéral","Minéral","Organique"))</f>
        <v/>
      </c>
      <c r="AO503" s="53" t="str">
        <f t="shared" si="109"/>
        <v/>
      </c>
      <c r="AP503" s="53" t="str">
        <f t="shared" si="110"/>
        <v/>
      </c>
      <c r="AQ503" s="53" t="str">
        <f t="shared" si="111"/>
        <v/>
      </c>
      <c r="AR503" s="53" t="str">
        <f>IF(AND($D503&lt;&gt;"",$D503=FicheIlot),COUNTIF($D$8:$D503,FicheIlot),"")</f>
        <v/>
      </c>
    </row>
    <row r="504" spans="2:44" ht="18.95" customHeight="1" x14ac:dyDescent="0.25">
      <c r="B504" s="42" t="str">
        <f>IF(C504="","",COUNT($C$8:C504))</f>
        <v/>
      </c>
      <c r="C504" s="43"/>
      <c r="D504" s="44"/>
      <c r="E504" s="45" t="str">
        <f>IF($Z504="","",IF($F504=ApportCouvert,INDEX(Îlots!$I$8:$I$57,$Z504)&amp;"",INDEX(Îlots!$N$8:$N$57,$Z504)&amp;""))</f>
        <v/>
      </c>
      <c r="F504" s="44"/>
      <c r="G504" s="44"/>
      <c r="H504" s="46" t="str">
        <f>IF($AA504="","",INDEX(Fertilisants!$D$8:$D$47,$AA504)&amp;"")</f>
        <v/>
      </c>
      <c r="I504" s="47"/>
      <c r="J504" s="48"/>
      <c r="K504" s="46" t="str">
        <f>IF($AA504="","",INDEX(Fertilisants!$E$8:$E$47,$AA504)&amp;"")</f>
        <v/>
      </c>
      <c r="L504" s="49" t="str">
        <f t="shared" si="98"/>
        <v/>
      </c>
      <c r="M504" s="50" t="str">
        <f>IF(OR($J504="",$AA504=""),"",$J504*N(INDEX(Fertilisants!$G$8:$G$47,$AA504)))</f>
        <v/>
      </c>
      <c r="N504" s="50" t="str">
        <f>IF(OR($J504="",$AA504=""),"",$J504*N(INDEX(Fertilisants!$I$8:$I$47,$AA504)))</f>
        <v/>
      </c>
      <c r="O504" s="50" t="str">
        <f>IF(OR($J504="",$AA504=""),"",$J504*N(INDEX(Fertilisants!$J$8:$J$47,$AA504)))</f>
        <v/>
      </c>
      <c r="P504" s="50" t="str">
        <f>IF(OR($J504="",$AA504=""),"",$J504*N(INDEX(Fertilisants!$K$8:$K$47,$AA504)))</f>
        <v/>
      </c>
      <c r="Q504" s="50" t="str">
        <f t="shared" si="99"/>
        <v/>
      </c>
      <c r="R504" s="44"/>
      <c r="S504" s="44"/>
      <c r="T504" s="51"/>
      <c r="U504" s="44"/>
      <c r="V504" s="43"/>
      <c r="W504" s="52" t="str">
        <f t="shared" si="100"/>
        <v/>
      </c>
      <c r="X504" s="44"/>
      <c r="Z504" s="53" t="str">
        <f>IF($D504="","",IFERROR(MATCH($D504,Îlots!$D$8:$D$57,0),""))</f>
        <v/>
      </c>
      <c r="AA504" s="53" t="str">
        <f>IF($G504="","",IFERROR(MATCH($G504,Fertilisants!$B$8:$B$47,0),""))</f>
        <v/>
      </c>
      <c r="AB504" s="53" t="str">
        <f>IF($Z504="","",INDEX(Îlots!$E$8:$E$57,$Z504))</f>
        <v/>
      </c>
      <c r="AC504" s="53" t="str">
        <f>IF($Z504="","",INDEX(Îlots!$G$8:$G$57,$Z504)&amp;"")</f>
        <v/>
      </c>
      <c r="AD504" s="53" t="str">
        <f>IF($Z504="","",IF($F504=ApportCouvert,OccCouvert,INDEX(Îlots!$O$8:$O$57,$Z504)&amp;""))</f>
        <v/>
      </c>
      <c r="AE504" s="53" t="str">
        <f t="shared" si="101"/>
        <v/>
      </c>
      <c r="AF504" s="53" t="str">
        <f t="shared" si="102"/>
        <v/>
      </c>
      <c r="AG504" s="53" t="str">
        <f t="shared" si="103"/>
        <v/>
      </c>
      <c r="AH504" s="53">
        <f t="shared" si="104"/>
        <v>0</v>
      </c>
      <c r="AI504" s="53">
        <f t="shared" si="105"/>
        <v>0</v>
      </c>
      <c r="AJ504" s="53">
        <f t="shared" si="106"/>
        <v>0</v>
      </c>
      <c r="AK504" s="53">
        <f t="shared" si="107"/>
        <v>0</v>
      </c>
      <c r="AL504" s="53">
        <f t="shared" si="108"/>
        <v>0</v>
      </c>
      <c r="AM504" s="53">
        <f>IF($AA504="",0,IF(INDEX(Fertilisants!$C$8:$C$47,$AA504)="Effluent d'élevage",1,0))</f>
        <v>0</v>
      </c>
      <c r="AN504" s="53" t="str">
        <f>IF($AA504="","",IF(INDEX(Fertilisants!$C$8:$C$47,$AA504)="Engrais minéral","Minéral","Organique"))</f>
        <v/>
      </c>
      <c r="AO504" s="53" t="str">
        <f t="shared" si="109"/>
        <v/>
      </c>
      <c r="AP504" s="53" t="str">
        <f t="shared" si="110"/>
        <v/>
      </c>
      <c r="AQ504" s="53" t="str">
        <f t="shared" si="111"/>
        <v/>
      </c>
      <c r="AR504" s="53" t="str">
        <f>IF(AND($D504&lt;&gt;"",$D504=FicheIlot),COUNTIF($D$8:$D504,FicheIlot),"")</f>
        <v/>
      </c>
    </row>
    <row r="505" spans="2:44" ht="18.95" customHeight="1" x14ac:dyDescent="0.25">
      <c r="B505" s="42" t="str">
        <f>IF(C505="","",COUNT($C$8:C505))</f>
        <v/>
      </c>
      <c r="C505" s="43"/>
      <c r="D505" s="44"/>
      <c r="E505" s="45" t="str">
        <f>IF($Z505="","",IF($F505=ApportCouvert,INDEX(Îlots!$I$8:$I$57,$Z505)&amp;"",INDEX(Îlots!$N$8:$N$57,$Z505)&amp;""))</f>
        <v/>
      </c>
      <c r="F505" s="44"/>
      <c r="G505" s="44"/>
      <c r="H505" s="46" t="str">
        <f>IF($AA505="","",INDEX(Fertilisants!$D$8:$D$47,$AA505)&amp;"")</f>
        <v/>
      </c>
      <c r="I505" s="47"/>
      <c r="J505" s="48"/>
      <c r="K505" s="46" t="str">
        <f>IF($AA505="","",INDEX(Fertilisants!$E$8:$E$47,$AA505)&amp;"")</f>
        <v/>
      </c>
      <c r="L505" s="49" t="str">
        <f t="shared" si="98"/>
        <v/>
      </c>
      <c r="M505" s="50" t="str">
        <f>IF(OR($J505="",$AA505=""),"",$J505*N(INDEX(Fertilisants!$G$8:$G$47,$AA505)))</f>
        <v/>
      </c>
      <c r="N505" s="50" t="str">
        <f>IF(OR($J505="",$AA505=""),"",$J505*N(INDEX(Fertilisants!$I$8:$I$47,$AA505)))</f>
        <v/>
      </c>
      <c r="O505" s="50" t="str">
        <f>IF(OR($J505="",$AA505=""),"",$J505*N(INDEX(Fertilisants!$J$8:$J$47,$AA505)))</f>
        <v/>
      </c>
      <c r="P505" s="50" t="str">
        <f>IF(OR($J505="",$AA505=""),"",$J505*N(INDEX(Fertilisants!$K$8:$K$47,$AA505)))</f>
        <v/>
      </c>
      <c r="Q505" s="50" t="str">
        <f t="shared" si="99"/>
        <v/>
      </c>
      <c r="R505" s="44"/>
      <c r="S505" s="44"/>
      <c r="T505" s="51"/>
      <c r="U505" s="44"/>
      <c r="V505" s="43"/>
      <c r="W505" s="52" t="str">
        <f t="shared" si="100"/>
        <v/>
      </c>
      <c r="X505" s="44"/>
      <c r="Z505" s="53" t="str">
        <f>IF($D505="","",IFERROR(MATCH($D505,Îlots!$D$8:$D$57,0),""))</f>
        <v/>
      </c>
      <c r="AA505" s="53" t="str">
        <f>IF($G505="","",IFERROR(MATCH($G505,Fertilisants!$B$8:$B$47,0),""))</f>
        <v/>
      </c>
      <c r="AB505" s="53" t="str">
        <f>IF($Z505="","",INDEX(Îlots!$E$8:$E$57,$Z505))</f>
        <v/>
      </c>
      <c r="AC505" s="53" t="str">
        <f>IF($Z505="","",INDEX(Îlots!$G$8:$G$57,$Z505)&amp;"")</f>
        <v/>
      </c>
      <c r="AD505" s="53" t="str">
        <f>IF($Z505="","",IF($F505=ApportCouvert,OccCouvert,INDEX(Îlots!$O$8:$O$57,$Z505)&amp;""))</f>
        <v/>
      </c>
      <c r="AE505" s="53" t="str">
        <f t="shared" si="101"/>
        <v/>
      </c>
      <c r="AF505" s="53" t="str">
        <f t="shared" si="102"/>
        <v/>
      </c>
      <c r="AG505" s="53" t="str">
        <f t="shared" si="103"/>
        <v/>
      </c>
      <c r="AH505" s="53">
        <f t="shared" si="104"/>
        <v>0</v>
      </c>
      <c r="AI505" s="53">
        <f t="shared" si="105"/>
        <v>0</v>
      </c>
      <c r="AJ505" s="53">
        <f t="shared" si="106"/>
        <v>0</v>
      </c>
      <c r="AK505" s="53">
        <f t="shared" si="107"/>
        <v>0</v>
      </c>
      <c r="AL505" s="53">
        <f t="shared" si="108"/>
        <v>0</v>
      </c>
      <c r="AM505" s="53">
        <f>IF($AA505="",0,IF(INDEX(Fertilisants!$C$8:$C$47,$AA505)="Effluent d'élevage",1,0))</f>
        <v>0</v>
      </c>
      <c r="AN505" s="53" t="str">
        <f>IF($AA505="","",IF(INDEX(Fertilisants!$C$8:$C$47,$AA505)="Engrais minéral","Minéral","Organique"))</f>
        <v/>
      </c>
      <c r="AO505" s="53" t="str">
        <f t="shared" si="109"/>
        <v/>
      </c>
      <c r="AP505" s="53" t="str">
        <f t="shared" si="110"/>
        <v/>
      </c>
      <c r="AQ505" s="53" t="str">
        <f t="shared" si="111"/>
        <v/>
      </c>
      <c r="AR505" s="53" t="str">
        <f>IF(AND($D505&lt;&gt;"",$D505=FicheIlot),COUNTIF($D$8:$D505,FicheIlot),"")</f>
        <v/>
      </c>
    </row>
    <row r="506" spans="2:44" ht="18.95" customHeight="1" x14ac:dyDescent="0.25">
      <c r="B506" s="42" t="str">
        <f>IF(C506="","",COUNT($C$8:C506))</f>
        <v/>
      </c>
      <c r="C506" s="43"/>
      <c r="D506" s="44"/>
      <c r="E506" s="45" t="str">
        <f>IF($Z506="","",IF($F506=ApportCouvert,INDEX(Îlots!$I$8:$I$57,$Z506)&amp;"",INDEX(Îlots!$N$8:$N$57,$Z506)&amp;""))</f>
        <v/>
      </c>
      <c r="F506" s="44"/>
      <c r="G506" s="44"/>
      <c r="H506" s="46" t="str">
        <f>IF($AA506="","",INDEX(Fertilisants!$D$8:$D$47,$AA506)&amp;"")</f>
        <v/>
      </c>
      <c r="I506" s="47"/>
      <c r="J506" s="48"/>
      <c r="K506" s="46" t="str">
        <f>IF($AA506="","",INDEX(Fertilisants!$E$8:$E$47,$AA506)&amp;"")</f>
        <v/>
      </c>
      <c r="L506" s="49" t="str">
        <f t="shared" si="98"/>
        <v/>
      </c>
      <c r="M506" s="50" t="str">
        <f>IF(OR($J506="",$AA506=""),"",$J506*N(INDEX(Fertilisants!$G$8:$G$47,$AA506)))</f>
        <v/>
      </c>
      <c r="N506" s="50" t="str">
        <f>IF(OR($J506="",$AA506=""),"",$J506*N(INDEX(Fertilisants!$I$8:$I$47,$AA506)))</f>
        <v/>
      </c>
      <c r="O506" s="50" t="str">
        <f>IF(OR($J506="",$AA506=""),"",$J506*N(INDEX(Fertilisants!$J$8:$J$47,$AA506)))</f>
        <v/>
      </c>
      <c r="P506" s="50" t="str">
        <f>IF(OR($J506="",$AA506=""),"",$J506*N(INDEX(Fertilisants!$K$8:$K$47,$AA506)))</f>
        <v/>
      </c>
      <c r="Q506" s="50" t="str">
        <f t="shared" si="99"/>
        <v/>
      </c>
      <c r="R506" s="44"/>
      <c r="S506" s="44"/>
      <c r="T506" s="51"/>
      <c r="U506" s="44"/>
      <c r="V506" s="43"/>
      <c r="W506" s="52" t="str">
        <f t="shared" si="100"/>
        <v/>
      </c>
      <c r="X506" s="44"/>
      <c r="Z506" s="53" t="str">
        <f>IF($D506="","",IFERROR(MATCH($D506,Îlots!$D$8:$D$57,0),""))</f>
        <v/>
      </c>
      <c r="AA506" s="53" t="str">
        <f>IF($G506="","",IFERROR(MATCH($G506,Fertilisants!$B$8:$B$47,0),""))</f>
        <v/>
      </c>
      <c r="AB506" s="53" t="str">
        <f>IF($Z506="","",INDEX(Îlots!$E$8:$E$57,$Z506))</f>
        <v/>
      </c>
      <c r="AC506" s="53" t="str">
        <f>IF($Z506="","",INDEX(Îlots!$G$8:$G$57,$Z506)&amp;"")</f>
        <v/>
      </c>
      <c r="AD506" s="53" t="str">
        <f>IF($Z506="","",IF($F506=ApportCouvert,OccCouvert,INDEX(Îlots!$O$8:$O$57,$Z506)&amp;""))</f>
        <v/>
      </c>
      <c r="AE506" s="53" t="str">
        <f t="shared" si="101"/>
        <v/>
      </c>
      <c r="AF506" s="53" t="str">
        <f t="shared" si="102"/>
        <v/>
      </c>
      <c r="AG506" s="53" t="str">
        <f t="shared" si="103"/>
        <v/>
      </c>
      <c r="AH506" s="53">
        <f t="shared" si="104"/>
        <v>0</v>
      </c>
      <c r="AI506" s="53">
        <f t="shared" si="105"/>
        <v>0</v>
      </c>
      <c r="AJ506" s="53">
        <f t="shared" si="106"/>
        <v>0</v>
      </c>
      <c r="AK506" s="53">
        <f t="shared" si="107"/>
        <v>0</v>
      </c>
      <c r="AL506" s="53">
        <f t="shared" si="108"/>
        <v>0</v>
      </c>
      <c r="AM506" s="53">
        <f>IF($AA506="",0,IF(INDEX(Fertilisants!$C$8:$C$47,$AA506)="Effluent d'élevage",1,0))</f>
        <v>0</v>
      </c>
      <c r="AN506" s="53" t="str">
        <f>IF($AA506="","",IF(INDEX(Fertilisants!$C$8:$C$47,$AA506)="Engrais minéral","Minéral","Organique"))</f>
        <v/>
      </c>
      <c r="AO506" s="53" t="str">
        <f t="shared" si="109"/>
        <v/>
      </c>
      <c r="AP506" s="53" t="str">
        <f t="shared" si="110"/>
        <v/>
      </c>
      <c r="AQ506" s="53" t="str">
        <f t="shared" si="111"/>
        <v/>
      </c>
      <c r="AR506" s="53" t="str">
        <f>IF(AND($D506&lt;&gt;"",$D506=FicheIlot),COUNTIF($D$8:$D506,FicheIlot),"")</f>
        <v/>
      </c>
    </row>
    <row r="507" spans="2:44" ht="18.95" customHeight="1" x14ac:dyDescent="0.25">
      <c r="B507" s="42" t="str">
        <f>IF(C507="","",COUNT($C$8:C507))</f>
        <v/>
      </c>
      <c r="C507" s="43"/>
      <c r="D507" s="44"/>
      <c r="E507" s="45" t="str">
        <f>IF($Z507="","",IF($F507=ApportCouvert,INDEX(Îlots!$I$8:$I$57,$Z507)&amp;"",INDEX(Îlots!$N$8:$N$57,$Z507)&amp;""))</f>
        <v/>
      </c>
      <c r="F507" s="44"/>
      <c r="G507" s="44"/>
      <c r="H507" s="46" t="str">
        <f>IF($AA507="","",INDEX(Fertilisants!$D$8:$D$47,$AA507)&amp;"")</f>
        <v/>
      </c>
      <c r="I507" s="47"/>
      <c r="J507" s="48"/>
      <c r="K507" s="46" t="str">
        <f>IF($AA507="","",INDEX(Fertilisants!$E$8:$E$47,$AA507)&amp;"")</f>
        <v/>
      </c>
      <c r="L507" s="49" t="str">
        <f t="shared" si="98"/>
        <v/>
      </c>
      <c r="M507" s="50" t="str">
        <f>IF(OR($J507="",$AA507=""),"",$J507*N(INDEX(Fertilisants!$G$8:$G$47,$AA507)))</f>
        <v/>
      </c>
      <c r="N507" s="50" t="str">
        <f>IF(OR($J507="",$AA507=""),"",$J507*N(INDEX(Fertilisants!$I$8:$I$47,$AA507)))</f>
        <v/>
      </c>
      <c r="O507" s="50" t="str">
        <f>IF(OR($J507="",$AA507=""),"",$J507*N(INDEX(Fertilisants!$J$8:$J$47,$AA507)))</f>
        <v/>
      </c>
      <c r="P507" s="50" t="str">
        <f>IF(OR($J507="",$AA507=""),"",$J507*N(INDEX(Fertilisants!$K$8:$K$47,$AA507)))</f>
        <v/>
      </c>
      <c r="Q507" s="50" t="str">
        <f t="shared" si="99"/>
        <v/>
      </c>
      <c r="R507" s="44"/>
      <c r="S507" s="44"/>
      <c r="T507" s="51"/>
      <c r="U507" s="44"/>
      <c r="V507" s="43"/>
      <c r="W507" s="52" t="str">
        <f t="shared" si="100"/>
        <v/>
      </c>
      <c r="X507" s="44"/>
      <c r="Z507" s="53" t="str">
        <f>IF($D507="","",IFERROR(MATCH($D507,Îlots!$D$8:$D$57,0),""))</f>
        <v/>
      </c>
      <c r="AA507" s="53" t="str">
        <f>IF($G507="","",IFERROR(MATCH($G507,Fertilisants!$B$8:$B$47,0),""))</f>
        <v/>
      </c>
      <c r="AB507" s="53" t="str">
        <f>IF($Z507="","",INDEX(Îlots!$E$8:$E$57,$Z507))</f>
        <v/>
      </c>
      <c r="AC507" s="53" t="str">
        <f>IF($Z507="","",INDEX(Îlots!$G$8:$G$57,$Z507)&amp;"")</f>
        <v/>
      </c>
      <c r="AD507" s="53" t="str">
        <f>IF($Z507="","",IF($F507=ApportCouvert,OccCouvert,INDEX(Îlots!$O$8:$O$57,$Z507)&amp;""))</f>
        <v/>
      </c>
      <c r="AE507" s="53" t="str">
        <f t="shared" si="101"/>
        <v/>
      </c>
      <c r="AF507" s="53" t="str">
        <f t="shared" si="102"/>
        <v/>
      </c>
      <c r="AG507" s="53" t="str">
        <f t="shared" si="103"/>
        <v/>
      </c>
      <c r="AH507" s="53">
        <f t="shared" si="104"/>
        <v>0</v>
      </c>
      <c r="AI507" s="53">
        <f t="shared" si="105"/>
        <v>0</v>
      </c>
      <c r="AJ507" s="53">
        <f t="shared" si="106"/>
        <v>0</v>
      </c>
      <c r="AK507" s="53">
        <f t="shared" si="107"/>
        <v>0</v>
      </c>
      <c r="AL507" s="53">
        <f t="shared" si="108"/>
        <v>0</v>
      </c>
      <c r="AM507" s="53">
        <f>IF($AA507="",0,IF(INDEX(Fertilisants!$C$8:$C$47,$AA507)="Effluent d'élevage",1,0))</f>
        <v>0</v>
      </c>
      <c r="AN507" s="53" t="str">
        <f>IF($AA507="","",IF(INDEX(Fertilisants!$C$8:$C$47,$AA507)="Engrais minéral","Minéral","Organique"))</f>
        <v/>
      </c>
      <c r="AO507" s="53" t="str">
        <f t="shared" si="109"/>
        <v/>
      </c>
      <c r="AP507" s="53" t="str">
        <f t="shared" si="110"/>
        <v/>
      </c>
      <c r="AQ507" s="53" t="str">
        <f t="shared" si="111"/>
        <v/>
      </c>
      <c r="AR507" s="53" t="str">
        <f>IF(AND($D507&lt;&gt;"",$D507=FicheIlot),COUNTIF($D$8:$D507,FicheIlot),"")</f>
        <v/>
      </c>
    </row>
  </sheetData>
  <autoFilter ref="B7:X507" xr:uid="{00000000-0009-0000-0000-000001000000}"/>
  <mergeCells count="9">
    <mergeCell ref="W6:X6"/>
    <mergeCell ref="G6:H6"/>
    <mergeCell ref="Z6:AR6"/>
    <mergeCell ref="B6:F6"/>
    <mergeCell ref="L4:M4"/>
    <mergeCell ref="R6:V6"/>
    <mergeCell ref="M6:Q6"/>
    <mergeCell ref="N4:Q4"/>
    <mergeCell ref="I6:L6"/>
  </mergeCells>
  <conditionalFormatting sqref="B8:V507">
    <cfRule type="expression" dxfId="34" priority="4">
      <formula>OR($W8="Sol interdit",$W8="Période interdite")</formula>
    </cfRule>
  </conditionalFormatting>
  <conditionalFormatting sqref="I8:I507">
    <cfRule type="expression" dxfId="33" priority="5">
      <formula>$W8="Surface &gt; îlot"</formula>
    </cfRule>
  </conditionalFormatting>
  <conditionalFormatting sqref="V8:V507">
    <cfRule type="expression" dxfId="32" priority="6">
      <formula>$W8="Saisie tardive"</formula>
    </cfRule>
  </conditionalFormatting>
  <conditionalFormatting sqref="W8:W507">
    <cfRule type="expression" dxfId="31" priority="1" stopIfTrue="1">
      <formula>OR($W8="Sol interdit",$W8="Période interdite")</formula>
    </cfRule>
    <cfRule type="expression" dxfId="30" priority="2" stopIfTrue="1">
      <formula>OR($W8="Incomplet",$W8="Surface &gt; îlot",$W8="Hors campagne",$W8="Saisie tardive")</formula>
    </cfRule>
    <cfRule type="expression" dxfId="29" priority="3" stopIfTrue="1">
      <formula>$W8="Conforme"</formula>
    </cfRule>
  </conditionalFormatting>
  <dataValidations count="11">
    <dataValidation type="date" allowBlank="1" showInputMessage="1" showErrorMessage="1" errorTitle="Date non valide" error="Saisissez une date au format jj/mm/aaaa." promptTitle="Date d'épandage" prompt="Date du chantier (jj/mm/aaaa)." sqref="C8:C507" xr:uid="{00000000-0002-0000-0100-000000000000}">
      <formula1>36526</formula1>
      <formula2>73051</formula2>
    </dataValidation>
    <dataValidation type="list" allowBlank="1" showErrorMessage="1" errorTitle="Valeur non prévue" error="Choisissez une valeur dans la liste déroulante." sqref="D8:D507" xr:uid="{00000000-0002-0000-0100-000001000000}">
      <formula1>ListeIlots</formula1>
    </dataValidation>
    <dataValidation type="list" allowBlank="1" showInputMessage="1" showErrorMessage="1" errorTitle="Valeur non prévue" error="Choisissez une valeur dans la liste déroulante." promptTitle="Apport réalisé sur" prompt="« Couvert d'interculture » applique le calendrier des couverts ; sinon celui de la culture de l'îlot." sqref="F8:F507" xr:uid="{00000000-0002-0000-0100-000002000000}">
      <formula1>ListeApportSur</formula1>
    </dataValidation>
    <dataValidation type="list" allowBlank="1" showErrorMessage="1" errorTitle="Valeur non prévue" error="Choisissez une valeur dans la liste déroulante." sqref="G8:G507" xr:uid="{00000000-0002-0000-0100-000003000000}">
      <formula1>ListeFertilisants</formula1>
    </dataValidation>
    <dataValidation type="decimal" allowBlank="1" showErrorMessage="1" errorTitle="Valeur non valide" error="Surface en hectares." sqref="I8:I507" xr:uid="{00000000-0002-0000-0100-000004000000}">
      <formula1>0</formula1>
      <formula2>10000</formula2>
    </dataValidation>
    <dataValidation type="decimal" allowBlank="1" showInputMessage="1" showErrorMessage="1" errorTitle="Valeur non valide" error="Dose par hectare, dans l'unité du fertilisant." promptTitle="Dose" prompt="Quantité de produit brut par hectare, dans l'unité définie dans l'onglet Fertilisants." sqref="J8:J507" xr:uid="{00000000-0002-0000-0100-000005000000}">
      <formula1>0</formula1>
      <formula2>100000</formula2>
    </dataValidation>
    <dataValidation type="list" allowBlank="1" showInputMessage="1" showErrorMessage="1" errorTitle="Valeur non prévue" error="Choisissez une valeur dans la liste déroulante." promptTitle="État du sol" prompt="Épandage interdit sur sol enneigé, détrempé ou inondé. Sur sol gelé, seuls les types 0 et Ia sont admis." sqref="R8:R507" xr:uid="{00000000-0002-0000-0100-000006000000}">
      <formula1>ListeEtats</formula1>
    </dataValidation>
    <dataValidation type="list" allowBlank="1" showErrorMessage="1" errorTitle="Valeur non prévue" error="Choisissez une valeur dans la liste déroulante." sqref="S8:S507" xr:uid="{00000000-0002-0000-0100-000007000000}">
      <formula1>ListeMateriel</formula1>
    </dataValidation>
    <dataValidation type="decimal" allowBlank="1" showInputMessage="1" showErrorMessage="1" errorTitle="Valeur non valide" error="Délai en heures (0 à 720)." promptTitle="Enfouissement" prompt="Laissez vide en l'absence d'enfouissement." sqref="T8:T507" xr:uid="{00000000-0002-0000-0100-000008000000}">
      <formula1>0</formula1>
      <formula2>720</formula2>
    </dataValidation>
    <dataValidation type="list" allowBlank="1" showErrorMessage="1" errorTitle="Valeur non prévue" error="Choisissez une valeur dans la liste déroulante." sqref="U8:U507" xr:uid="{00000000-0002-0000-0100-000009000000}">
      <formula1>ListeRealise</formula1>
    </dataValidation>
    <dataValidation type="date" allowBlank="1" showInputMessage="1" showErrorMessage="1" errorTitle="Date non valide" error="Saisissez une date au format jj/mm/aaaa." promptTitle="Date de saisie" prompt="Date à laquelle la ligne est saisie dans le registre." sqref="V8:V507" xr:uid="{00000000-0002-0000-0100-00000A000000}">
      <formula1>36526</formula1>
      <formula2>73051</formula2>
    </dataValidation>
  </dataValidations>
  <printOptions horizontalCentered="1"/>
  <pageMargins left="0.35" right="0.35" top="0.45" bottom="0.55000000000000004" header="0.5" footer="0.5"/>
  <pageSetup paperSize="9" fitToHeight="0" orientation="landscape"/>
  <headerFooter>
    <oddFooter>&amp;L&amp;8 &amp;K7B8794Cahier d'épandage – &amp;A&amp;R&amp;8 &amp;K7B8794Page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2A18A"/>
    <pageSetUpPr fitToPage="1"/>
  </sheetPr>
  <dimension ref="A1:AD58"/>
  <sheetViews>
    <sheetView showGridLines="0" workbookViewId="0">
      <pane xSplit="4" ySplit="7" topLeftCell="E8" activePane="bottomRight" state="frozen"/>
      <selection pane="topRight"/>
      <selection pane="bottomLeft"/>
      <selection pane="bottomRight"/>
    </sheetView>
  </sheetViews>
  <sheetFormatPr baseColWidth="10" defaultColWidth="9.140625" defaultRowHeight="15" x14ac:dyDescent="0.25"/>
  <cols>
    <col min="1" max="1" width="2" customWidth="1"/>
    <col min="2" max="2" width="7" customWidth="1"/>
    <col min="3" max="3" width="21" customWidth="1"/>
    <col min="4" max="4" width="27" customWidth="1"/>
    <col min="5" max="5" width="9" customWidth="1"/>
    <col min="6" max="6" width="20" customWidth="1"/>
    <col min="7" max="7" width="10" customWidth="1"/>
    <col min="8" max="8" width="12" customWidth="1"/>
    <col min="9" max="9" width="27" customWidth="1"/>
    <col min="10" max="10" width="24" customWidth="1"/>
    <col min="11" max="12" width="11" customWidth="1"/>
    <col min="13" max="13" width="8" customWidth="1"/>
    <col min="14" max="14" width="20" customWidth="1"/>
    <col min="15" max="15" width="32" customWidth="1"/>
    <col min="16" max="16" width="12" customWidth="1"/>
    <col min="17" max="17" width="10" customWidth="1"/>
    <col min="18" max="18" width="8" customWidth="1"/>
    <col min="19" max="20" width="12" customWidth="1"/>
    <col min="21" max="21" width="9" customWidth="1"/>
    <col min="22" max="23" width="12" customWidth="1"/>
    <col min="24" max="24" width="8" customWidth="1"/>
    <col min="25" max="25" width="18" customWidth="1"/>
    <col min="26" max="26" width="11" customWidth="1"/>
    <col min="27" max="27" width="10" customWidth="1"/>
    <col min="28" max="28" width="9" customWidth="1"/>
    <col min="29" max="29" width="44" customWidth="1"/>
    <col min="30" max="30" width="2" customWidth="1"/>
  </cols>
  <sheetData>
    <row r="1" spans="1:30" ht="30" customHeight="1" x14ac:dyDescent="0.35">
      <c r="A1" s="1"/>
      <c r="B1" s="33" t="s">
        <v>162</v>
      </c>
      <c r="C1" s="1"/>
      <c r="D1" s="1"/>
      <c r="E1" s="1"/>
      <c r="F1" s="1"/>
      <c r="G1" s="1"/>
      <c r="H1" s="1"/>
      <c r="I1" s="1"/>
      <c r="J1" s="1"/>
      <c r="K1" s="1"/>
      <c r="L1" s="1"/>
      <c r="M1" s="1"/>
      <c r="N1" s="1"/>
      <c r="O1" s="1"/>
      <c r="P1" s="1"/>
      <c r="Q1" s="1"/>
      <c r="R1" s="1"/>
      <c r="S1" s="1"/>
      <c r="T1" s="1"/>
      <c r="U1" s="1"/>
      <c r="V1" s="1"/>
      <c r="W1" s="1"/>
      <c r="X1" s="1"/>
      <c r="Y1" s="1"/>
      <c r="Z1" s="1"/>
      <c r="AA1" s="1"/>
      <c r="AB1" s="1"/>
      <c r="AC1" s="34" t="str">
        <f>RaisonSociale</f>
        <v>SCEA du Val de Mérienne</v>
      </c>
      <c r="AD1" s="1"/>
    </row>
    <row r="2" spans="1:30" ht="20.100000000000001" customHeight="1" x14ac:dyDescent="0.25">
      <c r="A2" s="1"/>
      <c r="B2" s="4" t="s">
        <v>163</v>
      </c>
      <c r="C2" s="1"/>
      <c r="D2" s="1"/>
      <c r="E2" s="1"/>
      <c r="F2" s="1"/>
      <c r="G2" s="1"/>
      <c r="H2" s="1"/>
      <c r="I2" s="1"/>
      <c r="J2" s="1"/>
      <c r="K2" s="1"/>
      <c r="L2" s="1"/>
      <c r="M2" s="1"/>
      <c r="N2" s="1"/>
      <c r="O2" s="1"/>
      <c r="P2" s="1"/>
      <c r="Q2" s="1"/>
      <c r="R2" s="1"/>
      <c r="S2" s="1"/>
      <c r="T2" s="1"/>
      <c r="U2" s="1"/>
      <c r="V2" s="1"/>
      <c r="W2" s="1"/>
      <c r="X2" s="1"/>
      <c r="Y2" s="1"/>
      <c r="Z2" s="1"/>
      <c r="AA2" s="1"/>
      <c r="AB2" s="1"/>
      <c r="AC2" s="35" t="str">
        <f>"Campagne "&amp;(AnneeRecolte-1)&amp;"-"&amp;AnneeRecolte&amp;"  ·  récolte "&amp;AnneeRecolte</f>
        <v>Campagne 2026-2027  ·  récolte 2027</v>
      </c>
      <c r="AD2" s="1"/>
    </row>
    <row r="3" spans="1:30" ht="3" customHeight="1"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row>
    <row r="4" spans="1:30" ht="21.95" customHeight="1" x14ac:dyDescent="0.25">
      <c r="B4" s="36" t="s">
        <v>164</v>
      </c>
      <c r="J4" s="37" t="s">
        <v>56</v>
      </c>
      <c r="K4" s="155" t="s">
        <v>57</v>
      </c>
      <c r="L4" s="156"/>
      <c r="M4" s="156"/>
    </row>
    <row r="5" spans="1:30" ht="8.1" customHeight="1" x14ac:dyDescent="0.25"/>
    <row r="6" spans="1:30" ht="18" customHeight="1" x14ac:dyDescent="0.25">
      <c r="B6" s="151" t="s">
        <v>165</v>
      </c>
      <c r="C6" s="152"/>
      <c r="D6" s="152"/>
      <c r="E6" s="152"/>
      <c r="F6" s="152"/>
      <c r="G6" s="152"/>
      <c r="H6" s="152"/>
      <c r="I6" s="151" t="s">
        <v>166</v>
      </c>
      <c r="J6" s="152"/>
      <c r="K6" s="152"/>
      <c r="L6" s="152"/>
      <c r="M6" s="152"/>
      <c r="N6" s="151" t="s">
        <v>167</v>
      </c>
      <c r="O6" s="152"/>
      <c r="P6" s="152"/>
      <c r="Q6" s="152"/>
      <c r="R6" s="152"/>
      <c r="S6" s="152"/>
      <c r="T6" s="151" t="s">
        <v>168</v>
      </c>
      <c r="U6" s="152"/>
      <c r="V6" s="152"/>
      <c r="W6" s="152"/>
      <c r="X6" s="152"/>
      <c r="Y6" s="152"/>
      <c r="Z6" s="151" t="s">
        <v>169</v>
      </c>
      <c r="AA6" s="152"/>
      <c r="AB6" s="152"/>
      <c r="AC6" s="38"/>
    </row>
    <row r="7" spans="1:30" ht="44.1" customHeight="1" x14ac:dyDescent="0.25">
      <c r="B7" s="40" t="s">
        <v>170</v>
      </c>
      <c r="C7" s="40" t="s">
        <v>171</v>
      </c>
      <c r="D7" s="39" t="s">
        <v>172</v>
      </c>
      <c r="E7" s="40" t="s">
        <v>173</v>
      </c>
      <c r="F7" s="40" t="s">
        <v>174</v>
      </c>
      <c r="G7" s="40" t="s">
        <v>175</v>
      </c>
      <c r="H7" s="40" t="s">
        <v>176</v>
      </c>
      <c r="I7" s="40" t="s">
        <v>177</v>
      </c>
      <c r="J7" s="40" t="s">
        <v>178</v>
      </c>
      <c r="K7" s="40" t="s">
        <v>179</v>
      </c>
      <c r="L7" s="40" t="s">
        <v>180</v>
      </c>
      <c r="M7" s="39" t="s">
        <v>181</v>
      </c>
      <c r="N7" s="40" t="s">
        <v>182</v>
      </c>
      <c r="O7" s="39" t="s">
        <v>183</v>
      </c>
      <c r="P7" s="40" t="s">
        <v>184</v>
      </c>
      <c r="Q7" s="40" t="s">
        <v>185</v>
      </c>
      <c r="R7" s="39" t="s">
        <v>73</v>
      </c>
      <c r="S7" s="40" t="s">
        <v>186</v>
      </c>
      <c r="T7" s="39" t="s">
        <v>187</v>
      </c>
      <c r="U7" s="39" t="s">
        <v>188</v>
      </c>
      <c r="V7" s="39" t="s">
        <v>189</v>
      </c>
      <c r="W7" s="39" t="s">
        <v>190</v>
      </c>
      <c r="X7" s="39" t="s">
        <v>191</v>
      </c>
      <c r="Y7" s="39" t="s">
        <v>43</v>
      </c>
      <c r="Z7" s="40" t="s">
        <v>192</v>
      </c>
      <c r="AA7" s="40" t="s">
        <v>193</v>
      </c>
      <c r="AB7" s="39" t="s">
        <v>194</v>
      </c>
      <c r="AC7" s="40" t="s">
        <v>195</v>
      </c>
    </row>
    <row r="8" spans="1:30" ht="18.95" customHeight="1" x14ac:dyDescent="0.25">
      <c r="B8" s="54" t="s">
        <v>196</v>
      </c>
      <c r="C8" s="44" t="s">
        <v>197</v>
      </c>
      <c r="D8" s="55" t="str">
        <f t="shared" ref="D8:D39" si="0">IF(B8="","",B8&amp;" – "&amp;C8)</f>
        <v>01 – La Croix Blanche</v>
      </c>
      <c r="E8" s="56">
        <v>14.8</v>
      </c>
      <c r="F8" s="44" t="s">
        <v>198</v>
      </c>
      <c r="G8" s="54" t="s">
        <v>199</v>
      </c>
      <c r="H8" s="44" t="s">
        <v>200</v>
      </c>
      <c r="I8" s="44" t="s">
        <v>201</v>
      </c>
      <c r="J8" s="44" t="s">
        <v>202</v>
      </c>
      <c r="K8" s="43">
        <v>46244</v>
      </c>
      <c r="L8" s="43">
        <v>46361</v>
      </c>
      <c r="M8" s="57">
        <f t="shared" ref="M8:M39" si="1">IF(AND(ISNUMBER(K8),ISNUMBER(L8)),L8-K8,"")</f>
        <v>117</v>
      </c>
      <c r="N8" s="44" t="s">
        <v>203</v>
      </c>
      <c r="O8" s="45" t="str">
        <f t="shared" ref="O8:O39" si="2">IF(N8="","",IFERROR(INDEX(CulturesCat,MATCH(N8,CulturesNoms,0)),"Culture à ajouter"))</f>
        <v>Culture de printemps</v>
      </c>
      <c r="P8" s="43">
        <v>46505</v>
      </c>
      <c r="Q8" s="58">
        <v>16</v>
      </c>
      <c r="R8" s="46" t="str">
        <f t="shared" ref="R8:R39" si="3">IF(N8="","",IFERROR(INDEX(CulturesUnite,MATCH(N8,CulturesNoms,0))&amp;"",""))</f>
        <v>t MS/ha</v>
      </c>
      <c r="S8" s="51">
        <v>145</v>
      </c>
      <c r="T8" s="59">
        <f>IF(OR(D8="",N(E8)=0),"",SUMIFS(Registre!$AO$8:$AO$507,Registre!$D$8:$D$507,D8)/E8)</f>
        <v>144.50000000000003</v>
      </c>
      <c r="U8" s="60">
        <f t="shared" ref="U8:U39" si="4">IF(OR(T8="",S8=""),"",ROUND(T8-S8,0))</f>
        <v>0</v>
      </c>
      <c r="V8" s="61">
        <f t="shared" ref="V8:V39" si="5">IF(OR(T8="",N(S8)=0),"",T8/S8)</f>
        <v>0.99655172413793125</v>
      </c>
      <c r="W8" s="62">
        <f>IF(OR(D8="",N(E8)=0),"",SUMIFS(Registre!$Q$8:$Q$507,Registre!$D$8:$D$507,D8,Registre!$AN$8:$AN$507,"Organique")/E8)</f>
        <v>314.00000000000006</v>
      </c>
      <c r="X8" s="62">
        <f>IF(D8="","",COUNTIF(Registre!$D$8:$D$507,D8))</f>
        <v>4</v>
      </c>
      <c r="Y8" s="46" t="str">
        <f t="shared" ref="Y8:Y39" si="6">IF(D8="","",IF(S8="","PPF à renseigner",IF(X8=0,"Aucun apport",IF(T8&gt;S8+TolerancePPF,"Dépassement PPF","Conforme"))))</f>
        <v>Conforme</v>
      </c>
      <c r="Z8" s="43"/>
      <c r="AA8" s="58"/>
      <c r="AB8" s="63" t="str">
        <f t="shared" ref="AB8:AB39" si="7">IF(OR(N(Q8)=0,AA8=""),"",AA8/Q8-1)</f>
        <v/>
      </c>
      <c r="AC8" s="44" t="s">
        <v>204</v>
      </c>
    </row>
    <row r="9" spans="1:30" ht="18.95" customHeight="1" x14ac:dyDescent="0.25">
      <c r="B9" s="54" t="s">
        <v>205</v>
      </c>
      <c r="C9" s="44" t="s">
        <v>206</v>
      </c>
      <c r="D9" s="55" t="str">
        <f t="shared" si="0"/>
        <v>02 – Les Noues</v>
      </c>
      <c r="E9" s="56">
        <v>11.35</v>
      </c>
      <c r="F9" s="44" t="s">
        <v>207</v>
      </c>
      <c r="G9" s="54" t="s">
        <v>199</v>
      </c>
      <c r="H9" s="44" t="s">
        <v>208</v>
      </c>
      <c r="I9" s="44" t="s">
        <v>209</v>
      </c>
      <c r="J9" s="44"/>
      <c r="K9" s="43">
        <v>46218</v>
      </c>
      <c r="L9" s="43">
        <v>46285</v>
      </c>
      <c r="M9" s="57">
        <f t="shared" si="1"/>
        <v>67</v>
      </c>
      <c r="N9" s="44" t="s">
        <v>210</v>
      </c>
      <c r="O9" s="45" t="str">
        <f t="shared" si="2"/>
        <v>Culture d'automne (hors colza)</v>
      </c>
      <c r="P9" s="43">
        <v>46309</v>
      </c>
      <c r="Q9" s="58">
        <v>82</v>
      </c>
      <c r="R9" s="46" t="str">
        <f t="shared" si="3"/>
        <v>q/ha</v>
      </c>
      <c r="S9" s="51">
        <v>175</v>
      </c>
      <c r="T9" s="59">
        <f>IF(OR(D9="",N(E9)=0),"",SUMIFS(Registre!$AO$8:$AO$507,Registre!$D$8:$D$507,D9)/E9)</f>
        <v>174.07000000000002</v>
      </c>
      <c r="U9" s="60">
        <f t="shared" si="4"/>
        <v>-1</v>
      </c>
      <c r="V9" s="61">
        <f t="shared" si="5"/>
        <v>0.9946857142857144</v>
      </c>
      <c r="W9" s="62">
        <f>IF(OR(D9="",N(E9)=0),"",SUMIFS(Registre!$Q$8:$Q$507,Registre!$D$8:$D$507,D9,Registre!$AN$8:$AN$507,"Organique")/E9)</f>
        <v>145</v>
      </c>
      <c r="X9" s="62">
        <f>IF(D9="","",COUNTIF(Registre!$D$8:$D$507,D9))</f>
        <v>4</v>
      </c>
      <c r="Y9" s="46" t="str">
        <f t="shared" si="6"/>
        <v>Conforme</v>
      </c>
      <c r="Z9" s="43">
        <v>46588</v>
      </c>
      <c r="AA9" s="58">
        <v>84</v>
      </c>
      <c r="AB9" s="63">
        <f t="shared" si="7"/>
        <v>2.4390243902439046E-2</v>
      </c>
      <c r="AC9" s="44"/>
    </row>
    <row r="10" spans="1:30" ht="18.95" customHeight="1" x14ac:dyDescent="0.25">
      <c r="B10" s="54" t="s">
        <v>211</v>
      </c>
      <c r="C10" s="44" t="s">
        <v>212</v>
      </c>
      <c r="D10" s="55" t="str">
        <f t="shared" si="0"/>
        <v>03 – La Garenne</v>
      </c>
      <c r="E10" s="56">
        <v>9.6</v>
      </c>
      <c r="F10" s="44" t="s">
        <v>213</v>
      </c>
      <c r="G10" s="54" t="s">
        <v>199</v>
      </c>
      <c r="H10" s="44" t="s">
        <v>208</v>
      </c>
      <c r="I10" s="44" t="s">
        <v>214</v>
      </c>
      <c r="J10" s="44"/>
      <c r="K10" s="43"/>
      <c r="L10" s="43"/>
      <c r="M10" s="57" t="str">
        <f t="shared" si="1"/>
        <v/>
      </c>
      <c r="N10" s="44" t="s">
        <v>215</v>
      </c>
      <c r="O10" s="45" t="str">
        <f t="shared" si="2"/>
        <v>Colza d'automne</v>
      </c>
      <c r="P10" s="43">
        <v>46262</v>
      </c>
      <c r="Q10" s="58">
        <v>36</v>
      </c>
      <c r="R10" s="46" t="str">
        <f t="shared" si="3"/>
        <v>q/ha</v>
      </c>
      <c r="S10" s="51">
        <v>160</v>
      </c>
      <c r="T10" s="59">
        <f>IF(OR(D10="",N(E10)=0),"",SUMIFS(Registre!$AO$8:$AO$507,Registre!$D$8:$D$507,D10)/E10)</f>
        <v>161.12</v>
      </c>
      <c r="U10" s="60">
        <f t="shared" si="4"/>
        <v>1</v>
      </c>
      <c r="V10" s="61">
        <f t="shared" si="5"/>
        <v>1.0070000000000001</v>
      </c>
      <c r="W10" s="62">
        <f>IF(OR(D10="",N(E10)=0),"",SUMIFS(Registre!$Q$8:$Q$507,Registre!$D$8:$D$507,D10,Registre!$AN$8:$AN$507,"Organique")/E10)</f>
        <v>100</v>
      </c>
      <c r="X10" s="62">
        <f>IF(D10="","",COUNTIF(Registre!$D$8:$D$507,D10))</f>
        <v>3</v>
      </c>
      <c r="Y10" s="46" t="str">
        <f t="shared" si="6"/>
        <v>Conforme</v>
      </c>
      <c r="Z10" s="43">
        <v>46576</v>
      </c>
      <c r="AA10" s="58">
        <v>34.5</v>
      </c>
      <c r="AB10" s="63">
        <f t="shared" si="7"/>
        <v>-4.166666666666663E-2</v>
      </c>
      <c r="AC10" s="44"/>
    </row>
    <row r="11" spans="1:30" ht="18.95" customHeight="1" x14ac:dyDescent="0.25">
      <c r="B11" s="54" t="s">
        <v>216</v>
      </c>
      <c r="C11" s="44" t="s">
        <v>217</v>
      </c>
      <c r="D11" s="55" t="str">
        <f t="shared" si="0"/>
        <v>04 – Le Paradis</v>
      </c>
      <c r="E11" s="56">
        <v>16.2</v>
      </c>
      <c r="F11" s="44" t="s">
        <v>218</v>
      </c>
      <c r="G11" s="54" t="s">
        <v>199</v>
      </c>
      <c r="H11" s="44" t="s">
        <v>200</v>
      </c>
      <c r="I11" s="44" t="s">
        <v>219</v>
      </c>
      <c r="J11" s="44" t="s">
        <v>220</v>
      </c>
      <c r="K11" s="43">
        <v>46259</v>
      </c>
      <c r="L11" s="43">
        <v>46497</v>
      </c>
      <c r="M11" s="57">
        <f t="shared" si="1"/>
        <v>238</v>
      </c>
      <c r="N11" s="44" t="s">
        <v>203</v>
      </c>
      <c r="O11" s="45" t="str">
        <f t="shared" si="2"/>
        <v>Culture de printemps</v>
      </c>
      <c r="P11" s="43">
        <v>46512</v>
      </c>
      <c r="Q11" s="58">
        <v>15</v>
      </c>
      <c r="R11" s="46" t="str">
        <f t="shared" si="3"/>
        <v>t MS/ha</v>
      </c>
      <c r="S11" s="51">
        <v>140</v>
      </c>
      <c r="T11" s="59">
        <f>IF(OR(D11="",N(E11)=0),"",SUMIFS(Registre!$AO$8:$AO$507,Registre!$D$8:$D$507,D11)/E11)</f>
        <v>136.20000000000002</v>
      </c>
      <c r="U11" s="60">
        <f t="shared" si="4"/>
        <v>-4</v>
      </c>
      <c r="V11" s="61">
        <f t="shared" si="5"/>
        <v>0.97285714285714298</v>
      </c>
      <c r="W11" s="62">
        <f>IF(OR(D11="",N(E11)=0),"",SUMIFS(Registre!$Q$8:$Q$507,Registre!$D$8:$D$507,D11,Registre!$AN$8:$AN$507,"Organique")/E11)</f>
        <v>240</v>
      </c>
      <c r="X11" s="62">
        <f>IF(D11="","",COUNTIF(Registre!$D$8:$D$507,D11))</f>
        <v>3</v>
      </c>
      <c r="Y11" s="46" t="str">
        <f t="shared" si="6"/>
        <v>Conforme</v>
      </c>
      <c r="Z11" s="43"/>
      <c r="AA11" s="58"/>
      <c r="AB11" s="63" t="str">
        <f t="shared" si="7"/>
        <v/>
      </c>
      <c r="AC11" s="44" t="s">
        <v>221</v>
      </c>
    </row>
    <row r="12" spans="1:30" ht="18.95" customHeight="1" x14ac:dyDescent="0.25">
      <c r="B12" s="54" t="s">
        <v>222</v>
      </c>
      <c r="C12" s="44" t="s">
        <v>223</v>
      </c>
      <c r="D12" s="55" t="str">
        <f t="shared" si="0"/>
        <v>05 – Les Rouches</v>
      </c>
      <c r="E12" s="56">
        <v>12.75</v>
      </c>
      <c r="F12" s="44" t="s">
        <v>224</v>
      </c>
      <c r="G12" s="54" t="s">
        <v>199</v>
      </c>
      <c r="H12" s="44" t="s">
        <v>208</v>
      </c>
      <c r="I12" s="44" t="s">
        <v>214</v>
      </c>
      <c r="J12" s="44"/>
      <c r="K12" s="43"/>
      <c r="L12" s="43"/>
      <c r="M12" s="57" t="str">
        <f t="shared" si="1"/>
        <v/>
      </c>
      <c r="N12" s="44" t="s">
        <v>225</v>
      </c>
      <c r="O12" s="45" t="str">
        <f t="shared" si="2"/>
        <v>Culture d'automne (hors colza)</v>
      </c>
      <c r="P12" s="43">
        <v>46303</v>
      </c>
      <c r="Q12" s="58">
        <v>72</v>
      </c>
      <c r="R12" s="46" t="str">
        <f t="shared" si="3"/>
        <v>q/ha</v>
      </c>
      <c r="S12" s="51">
        <v>150</v>
      </c>
      <c r="T12" s="59">
        <f>IF(OR(D12="",N(E12)=0),"",SUMIFS(Registre!$AO$8:$AO$507,Registre!$D$8:$D$507,D12)/E12)</f>
        <v>138.14705882352942</v>
      </c>
      <c r="U12" s="60">
        <f t="shared" si="4"/>
        <v>-12</v>
      </c>
      <c r="V12" s="61">
        <f t="shared" si="5"/>
        <v>0.92098039215686278</v>
      </c>
      <c r="W12" s="62">
        <f>IF(OR(D12="",N(E12)=0),"",SUMIFS(Registre!$Q$8:$Q$507,Registre!$D$8:$D$507,D12,Registre!$AN$8:$AN$507,"Organique")/E12)</f>
        <v>75.294117647058826</v>
      </c>
      <c r="X12" s="62">
        <f>IF(D12="","",COUNTIF(Registre!$D$8:$D$507,D12))</f>
        <v>3</v>
      </c>
      <c r="Y12" s="46" t="str">
        <f t="shared" si="6"/>
        <v>Conforme</v>
      </c>
      <c r="Z12" s="43">
        <v>46569</v>
      </c>
      <c r="AA12" s="58">
        <v>70</v>
      </c>
      <c r="AB12" s="63">
        <f t="shared" si="7"/>
        <v>-2.777777777777779E-2</v>
      </c>
      <c r="AC12" s="44" t="s">
        <v>226</v>
      </c>
    </row>
    <row r="13" spans="1:30" ht="18.95" customHeight="1" x14ac:dyDescent="0.25">
      <c r="B13" s="54" t="s">
        <v>227</v>
      </c>
      <c r="C13" s="44" t="s">
        <v>228</v>
      </c>
      <c r="D13" s="55" t="str">
        <f t="shared" si="0"/>
        <v>06 – Pré Long</v>
      </c>
      <c r="E13" s="56">
        <v>8.9</v>
      </c>
      <c r="F13" s="44" t="s">
        <v>229</v>
      </c>
      <c r="G13" s="54" t="s">
        <v>199</v>
      </c>
      <c r="H13" s="44" t="s">
        <v>200</v>
      </c>
      <c r="I13" s="44" t="s">
        <v>230</v>
      </c>
      <c r="J13" s="44"/>
      <c r="K13" s="43"/>
      <c r="L13" s="43"/>
      <c r="M13" s="57" t="str">
        <f t="shared" si="1"/>
        <v/>
      </c>
      <c r="N13" s="44" t="s">
        <v>231</v>
      </c>
      <c r="O13" s="45" t="str">
        <f t="shared" si="2"/>
        <v>Prairie &gt; 6 mois et luzerne</v>
      </c>
      <c r="P13" s="43"/>
      <c r="Q13" s="58">
        <v>7.5</v>
      </c>
      <c r="R13" s="46" t="str">
        <f t="shared" si="3"/>
        <v>t MS/ha</v>
      </c>
      <c r="S13" s="51">
        <v>100</v>
      </c>
      <c r="T13" s="59">
        <f>IF(OR(D13="",N(E13)=0),"",SUMIFS(Registre!$AO$8:$AO$507,Registre!$D$8:$D$507,D13)/E13)</f>
        <v>130</v>
      </c>
      <c r="U13" s="60">
        <f t="shared" si="4"/>
        <v>30</v>
      </c>
      <c r="V13" s="61">
        <f t="shared" si="5"/>
        <v>1.3</v>
      </c>
      <c r="W13" s="62">
        <f>IF(OR(D13="",N(E13)=0),"",SUMIFS(Registre!$Q$8:$Q$507,Registre!$D$8:$D$507,D13,Registre!$AN$8:$AN$507,"Organique")/E13)</f>
        <v>260</v>
      </c>
      <c r="X13" s="62">
        <f>IF(D13="","",COUNTIF(Registre!$D$8:$D$507,D13))</f>
        <v>3</v>
      </c>
      <c r="Y13" s="46" t="str">
        <f t="shared" si="6"/>
        <v>Dépassement PPF</v>
      </c>
      <c r="Z13" s="43">
        <v>46529</v>
      </c>
      <c r="AA13" s="58">
        <v>7.1</v>
      </c>
      <c r="AB13" s="63">
        <f t="shared" si="7"/>
        <v>-5.3333333333333344E-2</v>
      </c>
      <c r="AC13" s="44" t="s">
        <v>232</v>
      </c>
    </row>
    <row r="14" spans="1:30" ht="18.95" customHeight="1" x14ac:dyDescent="0.25">
      <c r="B14" s="54" t="s">
        <v>233</v>
      </c>
      <c r="C14" s="44" t="s">
        <v>234</v>
      </c>
      <c r="D14" s="55" t="str">
        <f t="shared" si="0"/>
        <v>07 – La Fosse aux Loups</v>
      </c>
      <c r="E14" s="56">
        <v>7.45</v>
      </c>
      <c r="F14" s="44" t="s">
        <v>235</v>
      </c>
      <c r="G14" s="54" t="s">
        <v>236</v>
      </c>
      <c r="H14" s="44" t="s">
        <v>208</v>
      </c>
      <c r="I14" s="44" t="s">
        <v>230</v>
      </c>
      <c r="J14" s="44"/>
      <c r="K14" s="43"/>
      <c r="L14" s="43"/>
      <c r="M14" s="57" t="str">
        <f t="shared" si="1"/>
        <v/>
      </c>
      <c r="N14" s="44" t="s">
        <v>237</v>
      </c>
      <c r="O14" s="45" t="str">
        <f t="shared" si="2"/>
        <v>Prairie &gt; 6 mois et luzerne</v>
      </c>
      <c r="P14" s="43">
        <v>45905</v>
      </c>
      <c r="Q14" s="58">
        <v>10</v>
      </c>
      <c r="R14" s="46" t="str">
        <f t="shared" si="3"/>
        <v>t MS/ha</v>
      </c>
      <c r="S14" s="51">
        <v>120</v>
      </c>
      <c r="T14" s="59">
        <f>IF(OR(D14="",N(E14)=0),"",SUMIFS(Registre!$AO$8:$AO$507,Registre!$D$8:$D$507,D14)/E14)</f>
        <v>98.490000000000009</v>
      </c>
      <c r="U14" s="60">
        <f t="shared" si="4"/>
        <v>-22</v>
      </c>
      <c r="V14" s="61">
        <f t="shared" si="5"/>
        <v>0.82075000000000009</v>
      </c>
      <c r="W14" s="62">
        <f>IF(OR(D14="",N(E14)=0),"",SUMIFS(Registre!$Q$8:$Q$507,Registre!$D$8:$D$507,D14,Registre!$AN$8:$AN$507,"Organique")/E14)</f>
        <v>180</v>
      </c>
      <c r="X14" s="62">
        <f>IF(D14="","",COUNTIF(Registre!$D$8:$D$507,D14))</f>
        <v>3</v>
      </c>
      <c r="Y14" s="46" t="str">
        <f t="shared" si="6"/>
        <v>Conforme</v>
      </c>
      <c r="Z14" s="43">
        <v>46522</v>
      </c>
      <c r="AA14" s="58">
        <v>9.4</v>
      </c>
      <c r="AB14" s="63">
        <f t="shared" si="7"/>
        <v>-5.9999999999999942E-2</v>
      </c>
      <c r="AC14" s="44"/>
    </row>
    <row r="15" spans="1:30" ht="18.95" customHeight="1" x14ac:dyDescent="0.25">
      <c r="B15" s="54" t="s">
        <v>238</v>
      </c>
      <c r="C15" s="44" t="s">
        <v>239</v>
      </c>
      <c r="D15" s="55" t="str">
        <f t="shared" si="0"/>
        <v>08 – Les Terres Fortes</v>
      </c>
      <c r="E15" s="56">
        <v>13.1</v>
      </c>
      <c r="F15" s="44" t="s">
        <v>240</v>
      </c>
      <c r="G15" s="54" t="s">
        <v>199</v>
      </c>
      <c r="H15" s="44" t="s">
        <v>208</v>
      </c>
      <c r="I15" s="44" t="s">
        <v>201</v>
      </c>
      <c r="J15" s="44" t="s">
        <v>241</v>
      </c>
      <c r="K15" s="43">
        <v>46254</v>
      </c>
      <c r="L15" s="43">
        <v>46433</v>
      </c>
      <c r="M15" s="57">
        <f t="shared" si="1"/>
        <v>179</v>
      </c>
      <c r="N15" s="44" t="s">
        <v>242</v>
      </c>
      <c r="O15" s="45" t="str">
        <f t="shared" si="2"/>
        <v>Culture de printemps</v>
      </c>
      <c r="P15" s="43">
        <v>46456</v>
      </c>
      <c r="Q15" s="58">
        <v>68</v>
      </c>
      <c r="R15" s="46" t="str">
        <f t="shared" si="3"/>
        <v>q/ha</v>
      </c>
      <c r="S15" s="51">
        <v>105</v>
      </c>
      <c r="T15" s="59">
        <f>IF(OR(D15="",N(E15)=0),"",SUMIFS(Registre!$AO$8:$AO$507,Registre!$D$8:$D$507,D15)/E15)</f>
        <v>103.65</v>
      </c>
      <c r="U15" s="60">
        <f t="shared" si="4"/>
        <v>-1</v>
      </c>
      <c r="V15" s="61">
        <f t="shared" si="5"/>
        <v>0.98714285714285721</v>
      </c>
      <c r="W15" s="62">
        <f>IF(OR(D15="",N(E15)=0),"",SUMIFS(Registre!$Q$8:$Q$507,Registre!$D$8:$D$507,D15,Registre!$AN$8:$AN$507,"Organique")/E15)</f>
        <v>208.00000000000003</v>
      </c>
      <c r="X15" s="62">
        <f>IF(D15="","",COUNTIF(Registre!$D$8:$D$507,D15))</f>
        <v>3</v>
      </c>
      <c r="Y15" s="46" t="str">
        <f t="shared" si="6"/>
        <v>Conforme</v>
      </c>
      <c r="Z15" s="43">
        <v>46580</v>
      </c>
      <c r="AA15" s="58">
        <v>66</v>
      </c>
      <c r="AB15" s="63">
        <f t="shared" si="7"/>
        <v>-2.9411764705882359E-2</v>
      </c>
      <c r="AC15" s="44"/>
    </row>
    <row r="16" spans="1:30" ht="18.95" customHeight="1" x14ac:dyDescent="0.25">
      <c r="B16" s="54" t="s">
        <v>243</v>
      </c>
      <c r="C16" s="44" t="s">
        <v>244</v>
      </c>
      <c r="D16" s="55" t="str">
        <f t="shared" si="0"/>
        <v>09 – Les Sablons</v>
      </c>
      <c r="E16" s="56">
        <v>10.050000000000001</v>
      </c>
      <c r="F16" s="44" t="s">
        <v>245</v>
      </c>
      <c r="G16" s="54" t="s">
        <v>199</v>
      </c>
      <c r="H16" s="44" t="s">
        <v>200</v>
      </c>
      <c r="I16" s="44" t="s">
        <v>246</v>
      </c>
      <c r="J16" s="44"/>
      <c r="K16" s="43">
        <v>46228</v>
      </c>
      <c r="L16" s="43">
        <v>46300</v>
      </c>
      <c r="M16" s="57">
        <f t="shared" si="1"/>
        <v>72</v>
      </c>
      <c r="N16" s="44" t="s">
        <v>247</v>
      </c>
      <c r="O16" s="45" t="str">
        <f t="shared" si="2"/>
        <v>Culture d'automne (hors colza)</v>
      </c>
      <c r="P16" s="43">
        <v>46315</v>
      </c>
      <c r="Q16" s="58">
        <v>70</v>
      </c>
      <c r="R16" s="46" t="str">
        <f t="shared" si="3"/>
        <v>q/ha</v>
      </c>
      <c r="S16" s="51">
        <v>140</v>
      </c>
      <c r="T16" s="59">
        <f>IF(OR(D16="",N(E16)=0),"",SUMIFS(Registre!$AO$8:$AO$507,Registre!$D$8:$D$507,D16)/E16)</f>
        <v>136.80000000000001</v>
      </c>
      <c r="U16" s="60">
        <f t="shared" si="4"/>
        <v>-3</v>
      </c>
      <c r="V16" s="61">
        <f t="shared" si="5"/>
        <v>0.9771428571428572</v>
      </c>
      <c r="W16" s="62">
        <f>IF(OR(D16="",N(E16)=0),"",SUMIFS(Registre!$Q$8:$Q$507,Registre!$D$8:$D$507,D16,Registre!$AN$8:$AN$507,"Organique")/E16)</f>
        <v>114.99999999999999</v>
      </c>
      <c r="X16" s="62">
        <f>IF(D16="","",COUNTIF(Registre!$D$8:$D$507,D16))</f>
        <v>3</v>
      </c>
      <c r="Y16" s="46" t="str">
        <f t="shared" si="6"/>
        <v>Conforme</v>
      </c>
      <c r="Z16" s="43">
        <v>46578</v>
      </c>
      <c r="AA16" s="58">
        <v>73</v>
      </c>
      <c r="AB16" s="63">
        <f t="shared" si="7"/>
        <v>4.2857142857142927E-2</v>
      </c>
      <c r="AC16" s="44"/>
    </row>
    <row r="17" spans="2:29" ht="18.95" customHeight="1" x14ac:dyDescent="0.25">
      <c r="B17" s="54" t="s">
        <v>248</v>
      </c>
      <c r="C17" s="44" t="s">
        <v>249</v>
      </c>
      <c r="D17" s="55" t="str">
        <f t="shared" si="0"/>
        <v>10 – Le Bois Rond</v>
      </c>
      <c r="E17" s="56">
        <v>8.25</v>
      </c>
      <c r="F17" s="44" t="s">
        <v>250</v>
      </c>
      <c r="G17" s="54" t="s">
        <v>199</v>
      </c>
      <c r="H17" s="44" t="s">
        <v>208</v>
      </c>
      <c r="I17" s="44" t="s">
        <v>230</v>
      </c>
      <c r="J17" s="44"/>
      <c r="K17" s="43"/>
      <c r="L17" s="43"/>
      <c r="M17" s="57" t="str">
        <f t="shared" si="1"/>
        <v/>
      </c>
      <c r="N17" s="44" t="s">
        <v>251</v>
      </c>
      <c r="O17" s="45" t="str">
        <f t="shared" si="2"/>
        <v>Prairie &gt; 6 mois et luzerne</v>
      </c>
      <c r="P17" s="43">
        <v>45757</v>
      </c>
      <c r="Q17" s="58">
        <v>12</v>
      </c>
      <c r="R17" s="46" t="str">
        <f t="shared" si="3"/>
        <v>t MS/ha</v>
      </c>
      <c r="S17" s="51">
        <v>0</v>
      </c>
      <c r="T17" s="59">
        <f>IF(OR(D17="",N(E17)=0),"",SUMIFS(Registre!$AO$8:$AO$507,Registre!$D$8:$D$507,D17)/E17)</f>
        <v>0</v>
      </c>
      <c r="U17" s="60">
        <f t="shared" si="4"/>
        <v>0</v>
      </c>
      <c r="V17" s="61" t="str">
        <f t="shared" si="5"/>
        <v/>
      </c>
      <c r="W17" s="62">
        <f>IF(OR(D17="",N(E17)=0),"",SUMIFS(Registre!$Q$8:$Q$507,Registre!$D$8:$D$507,D17,Registre!$AN$8:$AN$507,"Organique")/E17)</f>
        <v>0</v>
      </c>
      <c r="X17" s="62">
        <f>IF(D17="","",COUNTIF(Registre!$D$8:$D$507,D17))</f>
        <v>0</v>
      </c>
      <c r="Y17" s="46" t="str">
        <f t="shared" si="6"/>
        <v>Aucun apport</v>
      </c>
      <c r="Z17" s="43">
        <v>46535</v>
      </c>
      <c r="AA17" s="58">
        <v>11.5</v>
      </c>
      <c r="AB17" s="63">
        <f t="shared" si="7"/>
        <v>-4.166666666666663E-2</v>
      </c>
      <c r="AC17" s="44" t="s">
        <v>252</v>
      </c>
    </row>
    <row r="18" spans="2:29" ht="18.95" customHeight="1" x14ac:dyDescent="0.25">
      <c r="B18" s="54"/>
      <c r="C18" s="44"/>
      <c r="D18" s="55" t="str">
        <f t="shared" si="0"/>
        <v/>
      </c>
      <c r="E18" s="56"/>
      <c r="F18" s="44"/>
      <c r="G18" s="54"/>
      <c r="H18" s="44"/>
      <c r="I18" s="44"/>
      <c r="J18" s="44"/>
      <c r="K18" s="43"/>
      <c r="L18" s="43"/>
      <c r="M18" s="57" t="str">
        <f t="shared" si="1"/>
        <v/>
      </c>
      <c r="N18" s="44"/>
      <c r="O18" s="45" t="str">
        <f t="shared" si="2"/>
        <v/>
      </c>
      <c r="P18" s="43"/>
      <c r="Q18" s="58"/>
      <c r="R18" s="46" t="str">
        <f t="shared" si="3"/>
        <v/>
      </c>
      <c r="S18" s="51"/>
      <c r="T18" s="59" t="str">
        <f>IF(OR(D18="",N(E18)=0),"",SUMIFS(Registre!$AO$8:$AO$507,Registre!$D$8:$D$507,D18)/E18)</f>
        <v/>
      </c>
      <c r="U18" s="60" t="str">
        <f t="shared" si="4"/>
        <v/>
      </c>
      <c r="V18" s="61" t="str">
        <f t="shared" si="5"/>
        <v/>
      </c>
      <c r="W18" s="62" t="str">
        <f>IF(OR(D18="",N(E18)=0),"",SUMIFS(Registre!$Q$8:$Q$507,Registre!$D$8:$D$507,D18,Registre!$AN$8:$AN$507,"Organique")/E18)</f>
        <v/>
      </c>
      <c r="X18" s="62" t="str">
        <f>IF(D18="","",COUNTIF(Registre!$D$8:$D$507,D18))</f>
        <v/>
      </c>
      <c r="Y18" s="46" t="str">
        <f t="shared" si="6"/>
        <v/>
      </c>
      <c r="Z18" s="43"/>
      <c r="AA18" s="58"/>
      <c r="AB18" s="63" t="str">
        <f t="shared" si="7"/>
        <v/>
      </c>
      <c r="AC18" s="44"/>
    </row>
    <row r="19" spans="2:29" ht="18.95" customHeight="1" x14ac:dyDescent="0.25">
      <c r="B19" s="54"/>
      <c r="C19" s="44"/>
      <c r="D19" s="55" t="str">
        <f t="shared" si="0"/>
        <v/>
      </c>
      <c r="E19" s="56"/>
      <c r="F19" s="44"/>
      <c r="G19" s="54"/>
      <c r="H19" s="44"/>
      <c r="I19" s="44"/>
      <c r="J19" s="44"/>
      <c r="K19" s="43"/>
      <c r="L19" s="43"/>
      <c r="M19" s="57" t="str">
        <f t="shared" si="1"/>
        <v/>
      </c>
      <c r="N19" s="44"/>
      <c r="O19" s="45" t="str">
        <f t="shared" si="2"/>
        <v/>
      </c>
      <c r="P19" s="43"/>
      <c r="Q19" s="58"/>
      <c r="R19" s="46" t="str">
        <f t="shared" si="3"/>
        <v/>
      </c>
      <c r="S19" s="51"/>
      <c r="T19" s="59" t="str">
        <f>IF(OR(D19="",N(E19)=0),"",SUMIFS(Registre!$AO$8:$AO$507,Registre!$D$8:$D$507,D19)/E19)</f>
        <v/>
      </c>
      <c r="U19" s="60" t="str">
        <f t="shared" si="4"/>
        <v/>
      </c>
      <c r="V19" s="61" t="str">
        <f t="shared" si="5"/>
        <v/>
      </c>
      <c r="W19" s="62" t="str">
        <f>IF(OR(D19="",N(E19)=0),"",SUMIFS(Registre!$Q$8:$Q$507,Registre!$D$8:$D$507,D19,Registre!$AN$8:$AN$507,"Organique")/E19)</f>
        <v/>
      </c>
      <c r="X19" s="62" t="str">
        <f>IF(D19="","",COUNTIF(Registre!$D$8:$D$507,D19))</f>
        <v/>
      </c>
      <c r="Y19" s="46" t="str">
        <f t="shared" si="6"/>
        <v/>
      </c>
      <c r="Z19" s="43"/>
      <c r="AA19" s="58"/>
      <c r="AB19" s="63" t="str">
        <f t="shared" si="7"/>
        <v/>
      </c>
      <c r="AC19" s="44"/>
    </row>
    <row r="20" spans="2:29" ht="18.95" customHeight="1" x14ac:dyDescent="0.25">
      <c r="B20" s="54"/>
      <c r="C20" s="44"/>
      <c r="D20" s="55" t="str">
        <f t="shared" si="0"/>
        <v/>
      </c>
      <c r="E20" s="56"/>
      <c r="F20" s="44"/>
      <c r="G20" s="54"/>
      <c r="H20" s="44"/>
      <c r="I20" s="44"/>
      <c r="J20" s="44"/>
      <c r="K20" s="43"/>
      <c r="L20" s="43"/>
      <c r="M20" s="57" t="str">
        <f t="shared" si="1"/>
        <v/>
      </c>
      <c r="N20" s="44"/>
      <c r="O20" s="45" t="str">
        <f t="shared" si="2"/>
        <v/>
      </c>
      <c r="P20" s="43"/>
      <c r="Q20" s="58"/>
      <c r="R20" s="46" t="str">
        <f t="shared" si="3"/>
        <v/>
      </c>
      <c r="S20" s="51"/>
      <c r="T20" s="59" t="str">
        <f>IF(OR(D20="",N(E20)=0),"",SUMIFS(Registre!$AO$8:$AO$507,Registre!$D$8:$D$507,D20)/E20)</f>
        <v/>
      </c>
      <c r="U20" s="60" t="str">
        <f t="shared" si="4"/>
        <v/>
      </c>
      <c r="V20" s="61" t="str">
        <f t="shared" si="5"/>
        <v/>
      </c>
      <c r="W20" s="62" t="str">
        <f>IF(OR(D20="",N(E20)=0),"",SUMIFS(Registre!$Q$8:$Q$507,Registre!$D$8:$D$507,D20,Registre!$AN$8:$AN$507,"Organique")/E20)</f>
        <v/>
      </c>
      <c r="X20" s="62" t="str">
        <f>IF(D20="","",COUNTIF(Registre!$D$8:$D$507,D20))</f>
        <v/>
      </c>
      <c r="Y20" s="46" t="str">
        <f t="shared" si="6"/>
        <v/>
      </c>
      <c r="Z20" s="43"/>
      <c r="AA20" s="58"/>
      <c r="AB20" s="63" t="str">
        <f t="shared" si="7"/>
        <v/>
      </c>
      <c r="AC20" s="44"/>
    </row>
    <row r="21" spans="2:29" ht="18.95" customHeight="1" x14ac:dyDescent="0.25">
      <c r="B21" s="54"/>
      <c r="C21" s="44"/>
      <c r="D21" s="55" t="str">
        <f t="shared" si="0"/>
        <v/>
      </c>
      <c r="E21" s="56"/>
      <c r="F21" s="44"/>
      <c r="G21" s="54"/>
      <c r="H21" s="44"/>
      <c r="I21" s="44"/>
      <c r="J21" s="44"/>
      <c r="K21" s="43"/>
      <c r="L21" s="43"/>
      <c r="M21" s="57" t="str">
        <f t="shared" si="1"/>
        <v/>
      </c>
      <c r="N21" s="44"/>
      <c r="O21" s="45" t="str">
        <f t="shared" si="2"/>
        <v/>
      </c>
      <c r="P21" s="43"/>
      <c r="Q21" s="58"/>
      <c r="R21" s="46" t="str">
        <f t="shared" si="3"/>
        <v/>
      </c>
      <c r="S21" s="51"/>
      <c r="T21" s="59" t="str">
        <f>IF(OR(D21="",N(E21)=0),"",SUMIFS(Registre!$AO$8:$AO$507,Registre!$D$8:$D$507,D21)/E21)</f>
        <v/>
      </c>
      <c r="U21" s="60" t="str">
        <f t="shared" si="4"/>
        <v/>
      </c>
      <c r="V21" s="61" t="str">
        <f t="shared" si="5"/>
        <v/>
      </c>
      <c r="W21" s="62" t="str">
        <f>IF(OR(D21="",N(E21)=0),"",SUMIFS(Registre!$Q$8:$Q$507,Registre!$D$8:$D$507,D21,Registre!$AN$8:$AN$507,"Organique")/E21)</f>
        <v/>
      </c>
      <c r="X21" s="62" t="str">
        <f>IF(D21="","",COUNTIF(Registre!$D$8:$D$507,D21))</f>
        <v/>
      </c>
      <c r="Y21" s="46" t="str">
        <f t="shared" si="6"/>
        <v/>
      </c>
      <c r="Z21" s="43"/>
      <c r="AA21" s="58"/>
      <c r="AB21" s="63" t="str">
        <f t="shared" si="7"/>
        <v/>
      </c>
      <c r="AC21" s="44"/>
    </row>
    <row r="22" spans="2:29" ht="18.95" customHeight="1" x14ac:dyDescent="0.25">
      <c r="B22" s="54"/>
      <c r="C22" s="44"/>
      <c r="D22" s="55" t="str">
        <f t="shared" si="0"/>
        <v/>
      </c>
      <c r="E22" s="56"/>
      <c r="F22" s="44"/>
      <c r="G22" s="54"/>
      <c r="H22" s="44"/>
      <c r="I22" s="44"/>
      <c r="J22" s="44"/>
      <c r="K22" s="43"/>
      <c r="L22" s="43"/>
      <c r="M22" s="57" t="str">
        <f t="shared" si="1"/>
        <v/>
      </c>
      <c r="N22" s="44"/>
      <c r="O22" s="45" t="str">
        <f t="shared" si="2"/>
        <v/>
      </c>
      <c r="P22" s="43"/>
      <c r="Q22" s="58"/>
      <c r="R22" s="46" t="str">
        <f t="shared" si="3"/>
        <v/>
      </c>
      <c r="S22" s="51"/>
      <c r="T22" s="59" t="str">
        <f>IF(OR(D22="",N(E22)=0),"",SUMIFS(Registre!$AO$8:$AO$507,Registre!$D$8:$D$507,D22)/E22)</f>
        <v/>
      </c>
      <c r="U22" s="60" t="str">
        <f t="shared" si="4"/>
        <v/>
      </c>
      <c r="V22" s="61" t="str">
        <f t="shared" si="5"/>
        <v/>
      </c>
      <c r="W22" s="62" t="str">
        <f>IF(OR(D22="",N(E22)=0),"",SUMIFS(Registre!$Q$8:$Q$507,Registre!$D$8:$D$507,D22,Registre!$AN$8:$AN$507,"Organique")/E22)</f>
        <v/>
      </c>
      <c r="X22" s="62" t="str">
        <f>IF(D22="","",COUNTIF(Registre!$D$8:$D$507,D22))</f>
        <v/>
      </c>
      <c r="Y22" s="46" t="str">
        <f t="shared" si="6"/>
        <v/>
      </c>
      <c r="Z22" s="43"/>
      <c r="AA22" s="58"/>
      <c r="AB22" s="63" t="str">
        <f t="shared" si="7"/>
        <v/>
      </c>
      <c r="AC22" s="44"/>
    </row>
    <row r="23" spans="2:29" ht="18.95" customHeight="1" x14ac:dyDescent="0.25">
      <c r="B23" s="54"/>
      <c r="C23" s="44"/>
      <c r="D23" s="55" t="str">
        <f t="shared" si="0"/>
        <v/>
      </c>
      <c r="E23" s="56"/>
      <c r="F23" s="44"/>
      <c r="G23" s="54"/>
      <c r="H23" s="44"/>
      <c r="I23" s="44"/>
      <c r="J23" s="44"/>
      <c r="K23" s="43"/>
      <c r="L23" s="43"/>
      <c r="M23" s="57" t="str">
        <f t="shared" si="1"/>
        <v/>
      </c>
      <c r="N23" s="44"/>
      <c r="O23" s="45" t="str">
        <f t="shared" si="2"/>
        <v/>
      </c>
      <c r="P23" s="43"/>
      <c r="Q23" s="58"/>
      <c r="R23" s="46" t="str">
        <f t="shared" si="3"/>
        <v/>
      </c>
      <c r="S23" s="51"/>
      <c r="T23" s="59" t="str">
        <f>IF(OR(D23="",N(E23)=0),"",SUMIFS(Registre!$AO$8:$AO$507,Registre!$D$8:$D$507,D23)/E23)</f>
        <v/>
      </c>
      <c r="U23" s="60" t="str">
        <f t="shared" si="4"/>
        <v/>
      </c>
      <c r="V23" s="61" t="str">
        <f t="shared" si="5"/>
        <v/>
      </c>
      <c r="W23" s="62" t="str">
        <f>IF(OR(D23="",N(E23)=0),"",SUMIFS(Registre!$Q$8:$Q$507,Registre!$D$8:$D$507,D23,Registre!$AN$8:$AN$507,"Organique")/E23)</f>
        <v/>
      </c>
      <c r="X23" s="62" t="str">
        <f>IF(D23="","",COUNTIF(Registre!$D$8:$D$507,D23))</f>
        <v/>
      </c>
      <c r="Y23" s="46" t="str">
        <f t="shared" si="6"/>
        <v/>
      </c>
      <c r="Z23" s="43"/>
      <c r="AA23" s="58"/>
      <c r="AB23" s="63" t="str">
        <f t="shared" si="7"/>
        <v/>
      </c>
      <c r="AC23" s="44"/>
    </row>
    <row r="24" spans="2:29" ht="18.95" customHeight="1" x14ac:dyDescent="0.25">
      <c r="B24" s="54"/>
      <c r="C24" s="44"/>
      <c r="D24" s="55" t="str">
        <f t="shared" si="0"/>
        <v/>
      </c>
      <c r="E24" s="56"/>
      <c r="F24" s="44"/>
      <c r="G24" s="54"/>
      <c r="H24" s="44"/>
      <c r="I24" s="44"/>
      <c r="J24" s="44"/>
      <c r="K24" s="43"/>
      <c r="L24" s="43"/>
      <c r="M24" s="57" t="str">
        <f t="shared" si="1"/>
        <v/>
      </c>
      <c r="N24" s="44"/>
      <c r="O24" s="45" t="str">
        <f t="shared" si="2"/>
        <v/>
      </c>
      <c r="P24" s="43"/>
      <c r="Q24" s="58"/>
      <c r="R24" s="46" t="str">
        <f t="shared" si="3"/>
        <v/>
      </c>
      <c r="S24" s="51"/>
      <c r="T24" s="59" t="str">
        <f>IF(OR(D24="",N(E24)=0),"",SUMIFS(Registre!$AO$8:$AO$507,Registre!$D$8:$D$507,D24)/E24)</f>
        <v/>
      </c>
      <c r="U24" s="60" t="str">
        <f t="shared" si="4"/>
        <v/>
      </c>
      <c r="V24" s="61" t="str">
        <f t="shared" si="5"/>
        <v/>
      </c>
      <c r="W24" s="62" t="str">
        <f>IF(OR(D24="",N(E24)=0),"",SUMIFS(Registre!$Q$8:$Q$507,Registre!$D$8:$D$507,D24,Registre!$AN$8:$AN$507,"Organique")/E24)</f>
        <v/>
      </c>
      <c r="X24" s="62" t="str">
        <f>IF(D24="","",COUNTIF(Registre!$D$8:$D$507,D24))</f>
        <v/>
      </c>
      <c r="Y24" s="46" t="str">
        <f t="shared" si="6"/>
        <v/>
      </c>
      <c r="Z24" s="43"/>
      <c r="AA24" s="58"/>
      <c r="AB24" s="63" t="str">
        <f t="shared" si="7"/>
        <v/>
      </c>
      <c r="AC24" s="44"/>
    </row>
    <row r="25" spans="2:29" ht="18.95" customHeight="1" x14ac:dyDescent="0.25">
      <c r="B25" s="54"/>
      <c r="C25" s="44"/>
      <c r="D25" s="55" t="str">
        <f t="shared" si="0"/>
        <v/>
      </c>
      <c r="E25" s="56"/>
      <c r="F25" s="44"/>
      <c r="G25" s="54"/>
      <c r="H25" s="44"/>
      <c r="I25" s="44"/>
      <c r="J25" s="44"/>
      <c r="K25" s="43"/>
      <c r="L25" s="43"/>
      <c r="M25" s="57" t="str">
        <f t="shared" si="1"/>
        <v/>
      </c>
      <c r="N25" s="44"/>
      <c r="O25" s="45" t="str">
        <f t="shared" si="2"/>
        <v/>
      </c>
      <c r="P25" s="43"/>
      <c r="Q25" s="58"/>
      <c r="R25" s="46" t="str">
        <f t="shared" si="3"/>
        <v/>
      </c>
      <c r="S25" s="51"/>
      <c r="T25" s="59" t="str">
        <f>IF(OR(D25="",N(E25)=0),"",SUMIFS(Registre!$AO$8:$AO$507,Registre!$D$8:$D$507,D25)/E25)</f>
        <v/>
      </c>
      <c r="U25" s="60" t="str">
        <f t="shared" si="4"/>
        <v/>
      </c>
      <c r="V25" s="61" t="str">
        <f t="shared" si="5"/>
        <v/>
      </c>
      <c r="W25" s="62" t="str">
        <f>IF(OR(D25="",N(E25)=0),"",SUMIFS(Registre!$Q$8:$Q$507,Registre!$D$8:$D$507,D25,Registre!$AN$8:$AN$507,"Organique")/E25)</f>
        <v/>
      </c>
      <c r="X25" s="62" t="str">
        <f>IF(D25="","",COUNTIF(Registre!$D$8:$D$507,D25))</f>
        <v/>
      </c>
      <c r="Y25" s="46" t="str">
        <f t="shared" si="6"/>
        <v/>
      </c>
      <c r="Z25" s="43"/>
      <c r="AA25" s="58"/>
      <c r="AB25" s="63" t="str">
        <f t="shared" si="7"/>
        <v/>
      </c>
      <c r="AC25" s="44"/>
    </row>
    <row r="26" spans="2:29" ht="18.95" customHeight="1" x14ac:dyDescent="0.25">
      <c r="B26" s="54"/>
      <c r="C26" s="44"/>
      <c r="D26" s="55" t="str">
        <f t="shared" si="0"/>
        <v/>
      </c>
      <c r="E26" s="56"/>
      <c r="F26" s="44"/>
      <c r="G26" s="54"/>
      <c r="H26" s="44"/>
      <c r="I26" s="44"/>
      <c r="J26" s="44"/>
      <c r="K26" s="43"/>
      <c r="L26" s="43"/>
      <c r="M26" s="57" t="str">
        <f t="shared" si="1"/>
        <v/>
      </c>
      <c r="N26" s="44"/>
      <c r="O26" s="45" t="str">
        <f t="shared" si="2"/>
        <v/>
      </c>
      <c r="P26" s="43"/>
      <c r="Q26" s="58"/>
      <c r="R26" s="46" t="str">
        <f t="shared" si="3"/>
        <v/>
      </c>
      <c r="S26" s="51"/>
      <c r="T26" s="59" t="str">
        <f>IF(OR(D26="",N(E26)=0),"",SUMIFS(Registre!$AO$8:$AO$507,Registre!$D$8:$D$507,D26)/E26)</f>
        <v/>
      </c>
      <c r="U26" s="60" t="str">
        <f t="shared" si="4"/>
        <v/>
      </c>
      <c r="V26" s="61" t="str">
        <f t="shared" si="5"/>
        <v/>
      </c>
      <c r="W26" s="62" t="str">
        <f>IF(OR(D26="",N(E26)=0),"",SUMIFS(Registre!$Q$8:$Q$507,Registre!$D$8:$D$507,D26,Registre!$AN$8:$AN$507,"Organique")/E26)</f>
        <v/>
      </c>
      <c r="X26" s="62" t="str">
        <f>IF(D26="","",COUNTIF(Registre!$D$8:$D$507,D26))</f>
        <v/>
      </c>
      <c r="Y26" s="46" t="str">
        <f t="shared" si="6"/>
        <v/>
      </c>
      <c r="Z26" s="43"/>
      <c r="AA26" s="58"/>
      <c r="AB26" s="63" t="str">
        <f t="shared" si="7"/>
        <v/>
      </c>
      <c r="AC26" s="44"/>
    </row>
    <row r="27" spans="2:29" ht="18.95" customHeight="1" x14ac:dyDescent="0.25">
      <c r="B27" s="54"/>
      <c r="C27" s="44"/>
      <c r="D27" s="55" t="str">
        <f t="shared" si="0"/>
        <v/>
      </c>
      <c r="E27" s="56"/>
      <c r="F27" s="44"/>
      <c r="G27" s="54"/>
      <c r="H27" s="44"/>
      <c r="I27" s="44"/>
      <c r="J27" s="44"/>
      <c r="K27" s="43"/>
      <c r="L27" s="43"/>
      <c r="M27" s="57" t="str">
        <f t="shared" si="1"/>
        <v/>
      </c>
      <c r="N27" s="44"/>
      <c r="O27" s="45" t="str">
        <f t="shared" si="2"/>
        <v/>
      </c>
      <c r="P27" s="43"/>
      <c r="Q27" s="58"/>
      <c r="R27" s="46" t="str">
        <f t="shared" si="3"/>
        <v/>
      </c>
      <c r="S27" s="51"/>
      <c r="T27" s="59" t="str">
        <f>IF(OR(D27="",N(E27)=0),"",SUMIFS(Registre!$AO$8:$AO$507,Registre!$D$8:$D$507,D27)/E27)</f>
        <v/>
      </c>
      <c r="U27" s="60" t="str">
        <f t="shared" si="4"/>
        <v/>
      </c>
      <c r="V27" s="61" t="str">
        <f t="shared" si="5"/>
        <v/>
      </c>
      <c r="W27" s="62" t="str">
        <f>IF(OR(D27="",N(E27)=0),"",SUMIFS(Registre!$Q$8:$Q$507,Registre!$D$8:$D$507,D27,Registre!$AN$8:$AN$507,"Organique")/E27)</f>
        <v/>
      </c>
      <c r="X27" s="62" t="str">
        <f>IF(D27="","",COUNTIF(Registre!$D$8:$D$507,D27))</f>
        <v/>
      </c>
      <c r="Y27" s="46" t="str">
        <f t="shared" si="6"/>
        <v/>
      </c>
      <c r="Z27" s="43"/>
      <c r="AA27" s="58"/>
      <c r="AB27" s="63" t="str">
        <f t="shared" si="7"/>
        <v/>
      </c>
      <c r="AC27" s="44"/>
    </row>
    <row r="28" spans="2:29" ht="18.95" customHeight="1" x14ac:dyDescent="0.25">
      <c r="B28" s="54"/>
      <c r="C28" s="44"/>
      <c r="D28" s="55" t="str">
        <f t="shared" si="0"/>
        <v/>
      </c>
      <c r="E28" s="56"/>
      <c r="F28" s="44"/>
      <c r="G28" s="54"/>
      <c r="H28" s="44"/>
      <c r="I28" s="44"/>
      <c r="J28" s="44"/>
      <c r="K28" s="43"/>
      <c r="L28" s="43"/>
      <c r="M28" s="57" t="str">
        <f t="shared" si="1"/>
        <v/>
      </c>
      <c r="N28" s="44"/>
      <c r="O28" s="45" t="str">
        <f t="shared" si="2"/>
        <v/>
      </c>
      <c r="P28" s="43"/>
      <c r="Q28" s="58"/>
      <c r="R28" s="46" t="str">
        <f t="shared" si="3"/>
        <v/>
      </c>
      <c r="S28" s="51"/>
      <c r="T28" s="59" t="str">
        <f>IF(OR(D28="",N(E28)=0),"",SUMIFS(Registre!$AO$8:$AO$507,Registre!$D$8:$D$507,D28)/E28)</f>
        <v/>
      </c>
      <c r="U28" s="60" t="str">
        <f t="shared" si="4"/>
        <v/>
      </c>
      <c r="V28" s="61" t="str">
        <f t="shared" si="5"/>
        <v/>
      </c>
      <c r="W28" s="62" t="str">
        <f>IF(OR(D28="",N(E28)=0),"",SUMIFS(Registre!$Q$8:$Q$507,Registre!$D$8:$D$507,D28,Registre!$AN$8:$AN$507,"Organique")/E28)</f>
        <v/>
      </c>
      <c r="X28" s="62" t="str">
        <f>IF(D28="","",COUNTIF(Registre!$D$8:$D$507,D28))</f>
        <v/>
      </c>
      <c r="Y28" s="46" t="str">
        <f t="shared" si="6"/>
        <v/>
      </c>
      <c r="Z28" s="43"/>
      <c r="AA28" s="58"/>
      <c r="AB28" s="63" t="str">
        <f t="shared" si="7"/>
        <v/>
      </c>
      <c r="AC28" s="44"/>
    </row>
    <row r="29" spans="2:29" ht="18.95" customHeight="1" x14ac:dyDescent="0.25">
      <c r="B29" s="54"/>
      <c r="C29" s="44"/>
      <c r="D29" s="55" t="str">
        <f t="shared" si="0"/>
        <v/>
      </c>
      <c r="E29" s="56"/>
      <c r="F29" s="44"/>
      <c r="G29" s="54"/>
      <c r="H29" s="44"/>
      <c r="I29" s="44"/>
      <c r="J29" s="44"/>
      <c r="K29" s="43"/>
      <c r="L29" s="43"/>
      <c r="M29" s="57" t="str">
        <f t="shared" si="1"/>
        <v/>
      </c>
      <c r="N29" s="44"/>
      <c r="O29" s="45" t="str">
        <f t="shared" si="2"/>
        <v/>
      </c>
      <c r="P29" s="43"/>
      <c r="Q29" s="58"/>
      <c r="R29" s="46" t="str">
        <f t="shared" si="3"/>
        <v/>
      </c>
      <c r="S29" s="51"/>
      <c r="T29" s="59" t="str">
        <f>IF(OR(D29="",N(E29)=0),"",SUMIFS(Registre!$AO$8:$AO$507,Registre!$D$8:$D$507,D29)/E29)</f>
        <v/>
      </c>
      <c r="U29" s="60" t="str">
        <f t="shared" si="4"/>
        <v/>
      </c>
      <c r="V29" s="61" t="str">
        <f t="shared" si="5"/>
        <v/>
      </c>
      <c r="W29" s="62" t="str">
        <f>IF(OR(D29="",N(E29)=0),"",SUMIFS(Registre!$Q$8:$Q$507,Registre!$D$8:$D$507,D29,Registre!$AN$8:$AN$507,"Organique")/E29)</f>
        <v/>
      </c>
      <c r="X29" s="62" t="str">
        <f>IF(D29="","",COUNTIF(Registre!$D$8:$D$507,D29))</f>
        <v/>
      </c>
      <c r="Y29" s="46" t="str">
        <f t="shared" si="6"/>
        <v/>
      </c>
      <c r="Z29" s="43"/>
      <c r="AA29" s="58"/>
      <c r="AB29" s="63" t="str">
        <f t="shared" si="7"/>
        <v/>
      </c>
      <c r="AC29" s="44"/>
    </row>
    <row r="30" spans="2:29" ht="18.95" customHeight="1" x14ac:dyDescent="0.25">
      <c r="B30" s="54"/>
      <c r="C30" s="44"/>
      <c r="D30" s="55" t="str">
        <f t="shared" si="0"/>
        <v/>
      </c>
      <c r="E30" s="56"/>
      <c r="F30" s="44"/>
      <c r="G30" s="54"/>
      <c r="H30" s="44"/>
      <c r="I30" s="44"/>
      <c r="J30" s="44"/>
      <c r="K30" s="43"/>
      <c r="L30" s="43"/>
      <c r="M30" s="57" t="str">
        <f t="shared" si="1"/>
        <v/>
      </c>
      <c r="N30" s="44"/>
      <c r="O30" s="45" t="str">
        <f t="shared" si="2"/>
        <v/>
      </c>
      <c r="P30" s="43"/>
      <c r="Q30" s="58"/>
      <c r="R30" s="46" t="str">
        <f t="shared" si="3"/>
        <v/>
      </c>
      <c r="S30" s="51"/>
      <c r="T30" s="59" t="str">
        <f>IF(OR(D30="",N(E30)=0),"",SUMIFS(Registre!$AO$8:$AO$507,Registre!$D$8:$D$507,D30)/E30)</f>
        <v/>
      </c>
      <c r="U30" s="60" t="str">
        <f t="shared" si="4"/>
        <v/>
      </c>
      <c r="V30" s="61" t="str">
        <f t="shared" si="5"/>
        <v/>
      </c>
      <c r="W30" s="62" t="str">
        <f>IF(OR(D30="",N(E30)=0),"",SUMIFS(Registre!$Q$8:$Q$507,Registre!$D$8:$D$507,D30,Registre!$AN$8:$AN$507,"Organique")/E30)</f>
        <v/>
      </c>
      <c r="X30" s="62" t="str">
        <f>IF(D30="","",COUNTIF(Registre!$D$8:$D$507,D30))</f>
        <v/>
      </c>
      <c r="Y30" s="46" t="str">
        <f t="shared" si="6"/>
        <v/>
      </c>
      <c r="Z30" s="43"/>
      <c r="AA30" s="58"/>
      <c r="AB30" s="63" t="str">
        <f t="shared" si="7"/>
        <v/>
      </c>
      <c r="AC30" s="44"/>
    </row>
    <row r="31" spans="2:29" ht="18.95" customHeight="1" x14ac:dyDescent="0.25">
      <c r="B31" s="54"/>
      <c r="C31" s="44"/>
      <c r="D31" s="55" t="str">
        <f t="shared" si="0"/>
        <v/>
      </c>
      <c r="E31" s="56"/>
      <c r="F31" s="44"/>
      <c r="G31" s="54"/>
      <c r="H31" s="44"/>
      <c r="I31" s="44"/>
      <c r="J31" s="44"/>
      <c r="K31" s="43"/>
      <c r="L31" s="43"/>
      <c r="M31" s="57" t="str">
        <f t="shared" si="1"/>
        <v/>
      </c>
      <c r="N31" s="44"/>
      <c r="O31" s="45" t="str">
        <f t="shared" si="2"/>
        <v/>
      </c>
      <c r="P31" s="43"/>
      <c r="Q31" s="58"/>
      <c r="R31" s="46" t="str">
        <f t="shared" si="3"/>
        <v/>
      </c>
      <c r="S31" s="51"/>
      <c r="T31" s="59" t="str">
        <f>IF(OR(D31="",N(E31)=0),"",SUMIFS(Registre!$AO$8:$AO$507,Registre!$D$8:$D$507,D31)/E31)</f>
        <v/>
      </c>
      <c r="U31" s="60" t="str">
        <f t="shared" si="4"/>
        <v/>
      </c>
      <c r="V31" s="61" t="str">
        <f t="shared" si="5"/>
        <v/>
      </c>
      <c r="W31" s="62" t="str">
        <f>IF(OR(D31="",N(E31)=0),"",SUMIFS(Registre!$Q$8:$Q$507,Registre!$D$8:$D$507,D31,Registre!$AN$8:$AN$507,"Organique")/E31)</f>
        <v/>
      </c>
      <c r="X31" s="62" t="str">
        <f>IF(D31="","",COUNTIF(Registre!$D$8:$D$507,D31))</f>
        <v/>
      </c>
      <c r="Y31" s="46" t="str">
        <f t="shared" si="6"/>
        <v/>
      </c>
      <c r="Z31" s="43"/>
      <c r="AA31" s="58"/>
      <c r="AB31" s="63" t="str">
        <f t="shared" si="7"/>
        <v/>
      </c>
      <c r="AC31" s="44"/>
    </row>
    <row r="32" spans="2:29" ht="18.95" customHeight="1" x14ac:dyDescent="0.25">
      <c r="B32" s="54"/>
      <c r="C32" s="44"/>
      <c r="D32" s="55" t="str">
        <f t="shared" si="0"/>
        <v/>
      </c>
      <c r="E32" s="56"/>
      <c r="F32" s="44"/>
      <c r="G32" s="54"/>
      <c r="H32" s="44"/>
      <c r="I32" s="44"/>
      <c r="J32" s="44"/>
      <c r="K32" s="43"/>
      <c r="L32" s="43"/>
      <c r="M32" s="57" t="str">
        <f t="shared" si="1"/>
        <v/>
      </c>
      <c r="N32" s="44"/>
      <c r="O32" s="45" t="str">
        <f t="shared" si="2"/>
        <v/>
      </c>
      <c r="P32" s="43"/>
      <c r="Q32" s="58"/>
      <c r="R32" s="46" t="str">
        <f t="shared" si="3"/>
        <v/>
      </c>
      <c r="S32" s="51"/>
      <c r="T32" s="59" t="str">
        <f>IF(OR(D32="",N(E32)=0),"",SUMIFS(Registre!$AO$8:$AO$507,Registre!$D$8:$D$507,D32)/E32)</f>
        <v/>
      </c>
      <c r="U32" s="60" t="str">
        <f t="shared" si="4"/>
        <v/>
      </c>
      <c r="V32" s="61" t="str">
        <f t="shared" si="5"/>
        <v/>
      </c>
      <c r="W32" s="62" t="str">
        <f>IF(OR(D32="",N(E32)=0),"",SUMIFS(Registre!$Q$8:$Q$507,Registre!$D$8:$D$507,D32,Registre!$AN$8:$AN$507,"Organique")/E32)</f>
        <v/>
      </c>
      <c r="X32" s="62" t="str">
        <f>IF(D32="","",COUNTIF(Registre!$D$8:$D$507,D32))</f>
        <v/>
      </c>
      <c r="Y32" s="46" t="str">
        <f t="shared" si="6"/>
        <v/>
      </c>
      <c r="Z32" s="43"/>
      <c r="AA32" s="58"/>
      <c r="AB32" s="63" t="str">
        <f t="shared" si="7"/>
        <v/>
      </c>
      <c r="AC32" s="44"/>
    </row>
    <row r="33" spans="2:29" ht="18.95" customHeight="1" x14ac:dyDescent="0.25">
      <c r="B33" s="54"/>
      <c r="C33" s="44"/>
      <c r="D33" s="55" t="str">
        <f t="shared" si="0"/>
        <v/>
      </c>
      <c r="E33" s="56"/>
      <c r="F33" s="44"/>
      <c r="G33" s="54"/>
      <c r="H33" s="44"/>
      <c r="I33" s="44"/>
      <c r="J33" s="44"/>
      <c r="K33" s="43"/>
      <c r="L33" s="43"/>
      <c r="M33" s="57" t="str">
        <f t="shared" si="1"/>
        <v/>
      </c>
      <c r="N33" s="44"/>
      <c r="O33" s="45" t="str">
        <f t="shared" si="2"/>
        <v/>
      </c>
      <c r="P33" s="43"/>
      <c r="Q33" s="58"/>
      <c r="R33" s="46" t="str">
        <f t="shared" si="3"/>
        <v/>
      </c>
      <c r="S33" s="51"/>
      <c r="T33" s="59" t="str">
        <f>IF(OR(D33="",N(E33)=0),"",SUMIFS(Registre!$AO$8:$AO$507,Registre!$D$8:$D$507,D33)/E33)</f>
        <v/>
      </c>
      <c r="U33" s="60" t="str">
        <f t="shared" si="4"/>
        <v/>
      </c>
      <c r="V33" s="61" t="str">
        <f t="shared" si="5"/>
        <v/>
      </c>
      <c r="W33" s="62" t="str">
        <f>IF(OR(D33="",N(E33)=0),"",SUMIFS(Registre!$Q$8:$Q$507,Registre!$D$8:$D$507,D33,Registre!$AN$8:$AN$507,"Organique")/E33)</f>
        <v/>
      </c>
      <c r="X33" s="62" t="str">
        <f>IF(D33="","",COUNTIF(Registre!$D$8:$D$507,D33))</f>
        <v/>
      </c>
      <c r="Y33" s="46" t="str">
        <f t="shared" si="6"/>
        <v/>
      </c>
      <c r="Z33" s="43"/>
      <c r="AA33" s="58"/>
      <c r="AB33" s="63" t="str">
        <f t="shared" si="7"/>
        <v/>
      </c>
      <c r="AC33" s="44"/>
    </row>
    <row r="34" spans="2:29" ht="18.95" customHeight="1" x14ac:dyDescent="0.25">
      <c r="B34" s="54"/>
      <c r="C34" s="44"/>
      <c r="D34" s="55" t="str">
        <f t="shared" si="0"/>
        <v/>
      </c>
      <c r="E34" s="56"/>
      <c r="F34" s="44"/>
      <c r="G34" s="54"/>
      <c r="H34" s="44"/>
      <c r="I34" s="44"/>
      <c r="J34" s="44"/>
      <c r="K34" s="43"/>
      <c r="L34" s="43"/>
      <c r="M34" s="57" t="str">
        <f t="shared" si="1"/>
        <v/>
      </c>
      <c r="N34" s="44"/>
      <c r="O34" s="45" t="str">
        <f t="shared" si="2"/>
        <v/>
      </c>
      <c r="P34" s="43"/>
      <c r="Q34" s="58"/>
      <c r="R34" s="46" t="str">
        <f t="shared" si="3"/>
        <v/>
      </c>
      <c r="S34" s="51"/>
      <c r="T34" s="59" t="str">
        <f>IF(OR(D34="",N(E34)=0),"",SUMIFS(Registre!$AO$8:$AO$507,Registre!$D$8:$D$507,D34)/E34)</f>
        <v/>
      </c>
      <c r="U34" s="60" t="str">
        <f t="shared" si="4"/>
        <v/>
      </c>
      <c r="V34" s="61" t="str">
        <f t="shared" si="5"/>
        <v/>
      </c>
      <c r="W34" s="62" t="str">
        <f>IF(OR(D34="",N(E34)=0),"",SUMIFS(Registre!$Q$8:$Q$507,Registre!$D$8:$D$507,D34,Registre!$AN$8:$AN$507,"Organique")/E34)</f>
        <v/>
      </c>
      <c r="X34" s="62" t="str">
        <f>IF(D34="","",COUNTIF(Registre!$D$8:$D$507,D34))</f>
        <v/>
      </c>
      <c r="Y34" s="46" t="str">
        <f t="shared" si="6"/>
        <v/>
      </c>
      <c r="Z34" s="43"/>
      <c r="AA34" s="58"/>
      <c r="AB34" s="63" t="str">
        <f t="shared" si="7"/>
        <v/>
      </c>
      <c r="AC34" s="44"/>
    </row>
    <row r="35" spans="2:29" ht="18.95" customHeight="1" x14ac:dyDescent="0.25">
      <c r="B35" s="54"/>
      <c r="C35" s="44"/>
      <c r="D35" s="55" t="str">
        <f t="shared" si="0"/>
        <v/>
      </c>
      <c r="E35" s="56"/>
      <c r="F35" s="44"/>
      <c r="G35" s="54"/>
      <c r="H35" s="44"/>
      <c r="I35" s="44"/>
      <c r="J35" s="44"/>
      <c r="K35" s="43"/>
      <c r="L35" s="43"/>
      <c r="M35" s="57" t="str">
        <f t="shared" si="1"/>
        <v/>
      </c>
      <c r="N35" s="44"/>
      <c r="O35" s="45" t="str">
        <f t="shared" si="2"/>
        <v/>
      </c>
      <c r="P35" s="43"/>
      <c r="Q35" s="58"/>
      <c r="R35" s="46" t="str">
        <f t="shared" si="3"/>
        <v/>
      </c>
      <c r="S35" s="51"/>
      <c r="T35" s="59" t="str">
        <f>IF(OR(D35="",N(E35)=0),"",SUMIFS(Registre!$AO$8:$AO$507,Registre!$D$8:$D$507,D35)/E35)</f>
        <v/>
      </c>
      <c r="U35" s="60" t="str">
        <f t="shared" si="4"/>
        <v/>
      </c>
      <c r="V35" s="61" t="str">
        <f t="shared" si="5"/>
        <v/>
      </c>
      <c r="W35" s="62" t="str">
        <f>IF(OR(D35="",N(E35)=0),"",SUMIFS(Registre!$Q$8:$Q$507,Registre!$D$8:$D$507,D35,Registre!$AN$8:$AN$507,"Organique")/E35)</f>
        <v/>
      </c>
      <c r="X35" s="62" t="str">
        <f>IF(D35="","",COUNTIF(Registre!$D$8:$D$507,D35))</f>
        <v/>
      </c>
      <c r="Y35" s="46" t="str">
        <f t="shared" si="6"/>
        <v/>
      </c>
      <c r="Z35" s="43"/>
      <c r="AA35" s="58"/>
      <c r="AB35" s="63" t="str">
        <f t="shared" si="7"/>
        <v/>
      </c>
      <c r="AC35" s="44"/>
    </row>
    <row r="36" spans="2:29" ht="18.95" customHeight="1" x14ac:dyDescent="0.25">
      <c r="B36" s="54"/>
      <c r="C36" s="44"/>
      <c r="D36" s="55" t="str">
        <f t="shared" si="0"/>
        <v/>
      </c>
      <c r="E36" s="56"/>
      <c r="F36" s="44"/>
      <c r="G36" s="54"/>
      <c r="H36" s="44"/>
      <c r="I36" s="44"/>
      <c r="J36" s="44"/>
      <c r="K36" s="43"/>
      <c r="L36" s="43"/>
      <c r="M36" s="57" t="str">
        <f t="shared" si="1"/>
        <v/>
      </c>
      <c r="N36" s="44"/>
      <c r="O36" s="45" t="str">
        <f t="shared" si="2"/>
        <v/>
      </c>
      <c r="P36" s="43"/>
      <c r="Q36" s="58"/>
      <c r="R36" s="46" t="str">
        <f t="shared" si="3"/>
        <v/>
      </c>
      <c r="S36" s="51"/>
      <c r="T36" s="59" t="str">
        <f>IF(OR(D36="",N(E36)=0),"",SUMIFS(Registre!$AO$8:$AO$507,Registre!$D$8:$D$507,D36)/E36)</f>
        <v/>
      </c>
      <c r="U36" s="60" t="str">
        <f t="shared" si="4"/>
        <v/>
      </c>
      <c r="V36" s="61" t="str">
        <f t="shared" si="5"/>
        <v/>
      </c>
      <c r="W36" s="62" t="str">
        <f>IF(OR(D36="",N(E36)=0),"",SUMIFS(Registre!$Q$8:$Q$507,Registre!$D$8:$D$507,D36,Registre!$AN$8:$AN$507,"Organique")/E36)</f>
        <v/>
      </c>
      <c r="X36" s="62" t="str">
        <f>IF(D36="","",COUNTIF(Registre!$D$8:$D$507,D36))</f>
        <v/>
      </c>
      <c r="Y36" s="46" t="str">
        <f t="shared" si="6"/>
        <v/>
      </c>
      <c r="Z36" s="43"/>
      <c r="AA36" s="58"/>
      <c r="AB36" s="63" t="str">
        <f t="shared" si="7"/>
        <v/>
      </c>
      <c r="AC36" s="44"/>
    </row>
    <row r="37" spans="2:29" ht="18.95" customHeight="1" x14ac:dyDescent="0.25">
      <c r="B37" s="54"/>
      <c r="C37" s="44"/>
      <c r="D37" s="55" t="str">
        <f t="shared" si="0"/>
        <v/>
      </c>
      <c r="E37" s="56"/>
      <c r="F37" s="44"/>
      <c r="G37" s="54"/>
      <c r="H37" s="44"/>
      <c r="I37" s="44"/>
      <c r="J37" s="44"/>
      <c r="K37" s="43"/>
      <c r="L37" s="43"/>
      <c r="M37" s="57" t="str">
        <f t="shared" si="1"/>
        <v/>
      </c>
      <c r="N37" s="44"/>
      <c r="O37" s="45" t="str">
        <f t="shared" si="2"/>
        <v/>
      </c>
      <c r="P37" s="43"/>
      <c r="Q37" s="58"/>
      <c r="R37" s="46" t="str">
        <f t="shared" si="3"/>
        <v/>
      </c>
      <c r="S37" s="51"/>
      <c r="T37" s="59" t="str">
        <f>IF(OR(D37="",N(E37)=0),"",SUMIFS(Registre!$AO$8:$AO$507,Registre!$D$8:$D$507,D37)/E37)</f>
        <v/>
      </c>
      <c r="U37" s="60" t="str">
        <f t="shared" si="4"/>
        <v/>
      </c>
      <c r="V37" s="61" t="str">
        <f t="shared" si="5"/>
        <v/>
      </c>
      <c r="W37" s="62" t="str">
        <f>IF(OR(D37="",N(E37)=0),"",SUMIFS(Registre!$Q$8:$Q$507,Registre!$D$8:$D$507,D37,Registre!$AN$8:$AN$507,"Organique")/E37)</f>
        <v/>
      </c>
      <c r="X37" s="62" t="str">
        <f>IF(D37="","",COUNTIF(Registre!$D$8:$D$507,D37))</f>
        <v/>
      </c>
      <c r="Y37" s="46" t="str">
        <f t="shared" si="6"/>
        <v/>
      </c>
      <c r="Z37" s="43"/>
      <c r="AA37" s="58"/>
      <c r="AB37" s="63" t="str">
        <f t="shared" si="7"/>
        <v/>
      </c>
      <c r="AC37" s="44"/>
    </row>
    <row r="38" spans="2:29" ht="18.95" customHeight="1" x14ac:dyDescent="0.25">
      <c r="B38" s="54"/>
      <c r="C38" s="44"/>
      <c r="D38" s="55" t="str">
        <f t="shared" si="0"/>
        <v/>
      </c>
      <c r="E38" s="56"/>
      <c r="F38" s="44"/>
      <c r="G38" s="54"/>
      <c r="H38" s="44"/>
      <c r="I38" s="44"/>
      <c r="J38" s="44"/>
      <c r="K38" s="43"/>
      <c r="L38" s="43"/>
      <c r="M38" s="57" t="str">
        <f t="shared" si="1"/>
        <v/>
      </c>
      <c r="N38" s="44"/>
      <c r="O38" s="45" t="str">
        <f t="shared" si="2"/>
        <v/>
      </c>
      <c r="P38" s="43"/>
      <c r="Q38" s="58"/>
      <c r="R38" s="46" t="str">
        <f t="shared" si="3"/>
        <v/>
      </c>
      <c r="S38" s="51"/>
      <c r="T38" s="59" t="str">
        <f>IF(OR(D38="",N(E38)=0),"",SUMIFS(Registre!$AO$8:$AO$507,Registre!$D$8:$D$507,D38)/E38)</f>
        <v/>
      </c>
      <c r="U38" s="60" t="str">
        <f t="shared" si="4"/>
        <v/>
      </c>
      <c r="V38" s="61" t="str">
        <f t="shared" si="5"/>
        <v/>
      </c>
      <c r="W38" s="62" t="str">
        <f>IF(OR(D38="",N(E38)=0),"",SUMIFS(Registre!$Q$8:$Q$507,Registre!$D$8:$D$507,D38,Registre!$AN$8:$AN$507,"Organique")/E38)</f>
        <v/>
      </c>
      <c r="X38" s="62" t="str">
        <f>IF(D38="","",COUNTIF(Registre!$D$8:$D$507,D38))</f>
        <v/>
      </c>
      <c r="Y38" s="46" t="str">
        <f t="shared" si="6"/>
        <v/>
      </c>
      <c r="Z38" s="43"/>
      <c r="AA38" s="58"/>
      <c r="AB38" s="63" t="str">
        <f t="shared" si="7"/>
        <v/>
      </c>
      <c r="AC38" s="44"/>
    </row>
    <row r="39" spans="2:29" ht="18.95" customHeight="1" x14ac:dyDescent="0.25">
      <c r="B39" s="54"/>
      <c r="C39" s="44"/>
      <c r="D39" s="55" t="str">
        <f t="shared" si="0"/>
        <v/>
      </c>
      <c r="E39" s="56"/>
      <c r="F39" s="44"/>
      <c r="G39" s="54"/>
      <c r="H39" s="44"/>
      <c r="I39" s="44"/>
      <c r="J39" s="44"/>
      <c r="K39" s="43"/>
      <c r="L39" s="43"/>
      <c r="M39" s="57" t="str">
        <f t="shared" si="1"/>
        <v/>
      </c>
      <c r="N39" s="44"/>
      <c r="O39" s="45" t="str">
        <f t="shared" si="2"/>
        <v/>
      </c>
      <c r="P39" s="43"/>
      <c r="Q39" s="58"/>
      <c r="R39" s="46" t="str">
        <f t="shared" si="3"/>
        <v/>
      </c>
      <c r="S39" s="51"/>
      <c r="T39" s="59" t="str">
        <f>IF(OR(D39="",N(E39)=0),"",SUMIFS(Registre!$AO$8:$AO$507,Registre!$D$8:$D$507,D39)/E39)</f>
        <v/>
      </c>
      <c r="U39" s="60" t="str">
        <f t="shared" si="4"/>
        <v/>
      </c>
      <c r="V39" s="61" t="str">
        <f t="shared" si="5"/>
        <v/>
      </c>
      <c r="W39" s="62" t="str">
        <f>IF(OR(D39="",N(E39)=0),"",SUMIFS(Registre!$Q$8:$Q$507,Registre!$D$8:$D$507,D39,Registre!$AN$8:$AN$507,"Organique")/E39)</f>
        <v/>
      </c>
      <c r="X39" s="62" t="str">
        <f>IF(D39="","",COUNTIF(Registre!$D$8:$D$507,D39))</f>
        <v/>
      </c>
      <c r="Y39" s="46" t="str">
        <f t="shared" si="6"/>
        <v/>
      </c>
      <c r="Z39" s="43"/>
      <c r="AA39" s="58"/>
      <c r="AB39" s="63" t="str">
        <f t="shared" si="7"/>
        <v/>
      </c>
      <c r="AC39" s="44"/>
    </row>
    <row r="40" spans="2:29" ht="18.95" customHeight="1" x14ac:dyDescent="0.25">
      <c r="B40" s="54"/>
      <c r="C40" s="44"/>
      <c r="D40" s="55" t="str">
        <f t="shared" ref="D40:D71" si="8">IF(B40="","",B40&amp;" – "&amp;C40)</f>
        <v/>
      </c>
      <c r="E40" s="56"/>
      <c r="F40" s="44"/>
      <c r="G40" s="54"/>
      <c r="H40" s="44"/>
      <c r="I40" s="44"/>
      <c r="J40" s="44"/>
      <c r="K40" s="43"/>
      <c r="L40" s="43"/>
      <c r="M40" s="57" t="str">
        <f t="shared" ref="M40:M71" si="9">IF(AND(ISNUMBER(K40),ISNUMBER(L40)),L40-K40,"")</f>
        <v/>
      </c>
      <c r="N40" s="44"/>
      <c r="O40" s="45" t="str">
        <f t="shared" ref="O40:O71" si="10">IF(N40="","",IFERROR(INDEX(CulturesCat,MATCH(N40,CulturesNoms,0)),"Culture à ajouter"))</f>
        <v/>
      </c>
      <c r="P40" s="43"/>
      <c r="Q40" s="58"/>
      <c r="R40" s="46" t="str">
        <f t="shared" ref="R40:R57" si="11">IF(N40="","",IFERROR(INDEX(CulturesUnite,MATCH(N40,CulturesNoms,0))&amp;"",""))</f>
        <v/>
      </c>
      <c r="S40" s="51"/>
      <c r="T40" s="59" t="str">
        <f>IF(OR(D40="",N(E40)=0),"",SUMIFS(Registre!$AO$8:$AO$507,Registre!$D$8:$D$507,D40)/E40)</f>
        <v/>
      </c>
      <c r="U40" s="60" t="str">
        <f t="shared" ref="U40:U71" si="12">IF(OR(T40="",S40=""),"",ROUND(T40-S40,0))</f>
        <v/>
      </c>
      <c r="V40" s="61" t="str">
        <f t="shared" ref="V40:V57" si="13">IF(OR(T40="",N(S40)=0),"",T40/S40)</f>
        <v/>
      </c>
      <c r="W40" s="62" t="str">
        <f>IF(OR(D40="",N(E40)=0),"",SUMIFS(Registre!$Q$8:$Q$507,Registre!$D$8:$D$507,D40,Registre!$AN$8:$AN$507,"Organique")/E40)</f>
        <v/>
      </c>
      <c r="X40" s="62" t="str">
        <f>IF(D40="","",COUNTIF(Registre!$D$8:$D$507,D40))</f>
        <v/>
      </c>
      <c r="Y40" s="46" t="str">
        <f t="shared" ref="Y40:Y71" si="14">IF(D40="","",IF(S40="","PPF à renseigner",IF(X40=0,"Aucun apport",IF(T40&gt;S40+TolerancePPF,"Dépassement PPF","Conforme"))))</f>
        <v/>
      </c>
      <c r="Z40" s="43"/>
      <c r="AA40" s="58"/>
      <c r="AB40" s="63" t="str">
        <f t="shared" ref="AB40:AB71" si="15">IF(OR(N(Q40)=0,AA40=""),"",AA40/Q40-1)</f>
        <v/>
      </c>
      <c r="AC40" s="44"/>
    </row>
    <row r="41" spans="2:29" ht="18.95" customHeight="1" x14ac:dyDescent="0.25">
      <c r="B41" s="54"/>
      <c r="C41" s="44"/>
      <c r="D41" s="55" t="str">
        <f t="shared" si="8"/>
        <v/>
      </c>
      <c r="E41" s="56"/>
      <c r="F41" s="44"/>
      <c r="G41" s="54"/>
      <c r="H41" s="44"/>
      <c r="I41" s="44"/>
      <c r="J41" s="44"/>
      <c r="K41" s="43"/>
      <c r="L41" s="43"/>
      <c r="M41" s="57" t="str">
        <f t="shared" si="9"/>
        <v/>
      </c>
      <c r="N41" s="44"/>
      <c r="O41" s="45" t="str">
        <f t="shared" si="10"/>
        <v/>
      </c>
      <c r="P41" s="43"/>
      <c r="Q41" s="58"/>
      <c r="R41" s="46" t="str">
        <f t="shared" si="11"/>
        <v/>
      </c>
      <c r="S41" s="51"/>
      <c r="T41" s="59" t="str">
        <f>IF(OR(D41="",N(E41)=0),"",SUMIFS(Registre!$AO$8:$AO$507,Registre!$D$8:$D$507,D41)/E41)</f>
        <v/>
      </c>
      <c r="U41" s="60" t="str">
        <f t="shared" si="12"/>
        <v/>
      </c>
      <c r="V41" s="61" t="str">
        <f t="shared" si="13"/>
        <v/>
      </c>
      <c r="W41" s="62" t="str">
        <f>IF(OR(D41="",N(E41)=0),"",SUMIFS(Registre!$Q$8:$Q$507,Registre!$D$8:$D$507,D41,Registre!$AN$8:$AN$507,"Organique")/E41)</f>
        <v/>
      </c>
      <c r="X41" s="62" t="str">
        <f>IF(D41="","",COUNTIF(Registre!$D$8:$D$507,D41))</f>
        <v/>
      </c>
      <c r="Y41" s="46" t="str">
        <f t="shared" si="14"/>
        <v/>
      </c>
      <c r="Z41" s="43"/>
      <c r="AA41" s="58"/>
      <c r="AB41" s="63" t="str">
        <f t="shared" si="15"/>
        <v/>
      </c>
      <c r="AC41" s="44"/>
    </row>
    <row r="42" spans="2:29" ht="18.95" customHeight="1" x14ac:dyDescent="0.25">
      <c r="B42" s="54"/>
      <c r="C42" s="44"/>
      <c r="D42" s="55" t="str">
        <f t="shared" si="8"/>
        <v/>
      </c>
      <c r="E42" s="56"/>
      <c r="F42" s="44"/>
      <c r="G42" s="54"/>
      <c r="H42" s="44"/>
      <c r="I42" s="44"/>
      <c r="J42" s="44"/>
      <c r="K42" s="43"/>
      <c r="L42" s="43"/>
      <c r="M42" s="57" t="str">
        <f t="shared" si="9"/>
        <v/>
      </c>
      <c r="N42" s="44"/>
      <c r="O42" s="45" t="str">
        <f t="shared" si="10"/>
        <v/>
      </c>
      <c r="P42" s="43"/>
      <c r="Q42" s="58"/>
      <c r="R42" s="46" t="str">
        <f t="shared" si="11"/>
        <v/>
      </c>
      <c r="S42" s="51"/>
      <c r="T42" s="59" t="str">
        <f>IF(OR(D42="",N(E42)=0),"",SUMIFS(Registre!$AO$8:$AO$507,Registre!$D$8:$D$507,D42)/E42)</f>
        <v/>
      </c>
      <c r="U42" s="60" t="str">
        <f t="shared" si="12"/>
        <v/>
      </c>
      <c r="V42" s="61" t="str">
        <f t="shared" si="13"/>
        <v/>
      </c>
      <c r="W42" s="62" t="str">
        <f>IF(OR(D42="",N(E42)=0),"",SUMIFS(Registre!$Q$8:$Q$507,Registre!$D$8:$D$507,D42,Registre!$AN$8:$AN$507,"Organique")/E42)</f>
        <v/>
      </c>
      <c r="X42" s="62" t="str">
        <f>IF(D42="","",COUNTIF(Registre!$D$8:$D$507,D42))</f>
        <v/>
      </c>
      <c r="Y42" s="46" t="str">
        <f t="shared" si="14"/>
        <v/>
      </c>
      <c r="Z42" s="43"/>
      <c r="AA42" s="58"/>
      <c r="AB42" s="63" t="str">
        <f t="shared" si="15"/>
        <v/>
      </c>
      <c r="AC42" s="44"/>
    </row>
    <row r="43" spans="2:29" ht="18.95" customHeight="1" x14ac:dyDescent="0.25">
      <c r="B43" s="54"/>
      <c r="C43" s="44"/>
      <c r="D43" s="55" t="str">
        <f t="shared" si="8"/>
        <v/>
      </c>
      <c r="E43" s="56"/>
      <c r="F43" s="44"/>
      <c r="G43" s="54"/>
      <c r="H43" s="44"/>
      <c r="I43" s="44"/>
      <c r="J43" s="44"/>
      <c r="K43" s="43"/>
      <c r="L43" s="43"/>
      <c r="M43" s="57" t="str">
        <f t="shared" si="9"/>
        <v/>
      </c>
      <c r="N43" s="44"/>
      <c r="O43" s="45" t="str">
        <f t="shared" si="10"/>
        <v/>
      </c>
      <c r="P43" s="43"/>
      <c r="Q43" s="58"/>
      <c r="R43" s="46" t="str">
        <f t="shared" si="11"/>
        <v/>
      </c>
      <c r="S43" s="51"/>
      <c r="T43" s="59" t="str">
        <f>IF(OR(D43="",N(E43)=0),"",SUMIFS(Registre!$AO$8:$AO$507,Registre!$D$8:$D$507,D43)/E43)</f>
        <v/>
      </c>
      <c r="U43" s="60" t="str">
        <f t="shared" si="12"/>
        <v/>
      </c>
      <c r="V43" s="61" t="str">
        <f t="shared" si="13"/>
        <v/>
      </c>
      <c r="W43" s="62" t="str">
        <f>IF(OR(D43="",N(E43)=0),"",SUMIFS(Registre!$Q$8:$Q$507,Registre!$D$8:$D$507,D43,Registre!$AN$8:$AN$507,"Organique")/E43)</f>
        <v/>
      </c>
      <c r="X43" s="62" t="str">
        <f>IF(D43="","",COUNTIF(Registre!$D$8:$D$507,D43))</f>
        <v/>
      </c>
      <c r="Y43" s="46" t="str">
        <f t="shared" si="14"/>
        <v/>
      </c>
      <c r="Z43" s="43"/>
      <c r="AA43" s="58"/>
      <c r="AB43" s="63" t="str">
        <f t="shared" si="15"/>
        <v/>
      </c>
      <c r="AC43" s="44"/>
    </row>
    <row r="44" spans="2:29" ht="18.95" customHeight="1" x14ac:dyDescent="0.25">
      <c r="B44" s="54"/>
      <c r="C44" s="44"/>
      <c r="D44" s="55" t="str">
        <f t="shared" si="8"/>
        <v/>
      </c>
      <c r="E44" s="56"/>
      <c r="F44" s="44"/>
      <c r="G44" s="54"/>
      <c r="H44" s="44"/>
      <c r="I44" s="44"/>
      <c r="J44" s="44"/>
      <c r="K44" s="43"/>
      <c r="L44" s="43"/>
      <c r="M44" s="57" t="str">
        <f t="shared" si="9"/>
        <v/>
      </c>
      <c r="N44" s="44"/>
      <c r="O44" s="45" t="str">
        <f t="shared" si="10"/>
        <v/>
      </c>
      <c r="P44" s="43"/>
      <c r="Q44" s="58"/>
      <c r="R44" s="46" t="str">
        <f t="shared" si="11"/>
        <v/>
      </c>
      <c r="S44" s="51"/>
      <c r="T44" s="59" t="str">
        <f>IF(OR(D44="",N(E44)=0),"",SUMIFS(Registre!$AO$8:$AO$507,Registre!$D$8:$D$507,D44)/E44)</f>
        <v/>
      </c>
      <c r="U44" s="60" t="str">
        <f t="shared" si="12"/>
        <v/>
      </c>
      <c r="V44" s="61" t="str">
        <f t="shared" si="13"/>
        <v/>
      </c>
      <c r="W44" s="62" t="str">
        <f>IF(OR(D44="",N(E44)=0),"",SUMIFS(Registre!$Q$8:$Q$507,Registre!$D$8:$D$507,D44,Registre!$AN$8:$AN$507,"Organique")/E44)</f>
        <v/>
      </c>
      <c r="X44" s="62" t="str">
        <f>IF(D44="","",COUNTIF(Registre!$D$8:$D$507,D44))</f>
        <v/>
      </c>
      <c r="Y44" s="46" t="str">
        <f t="shared" si="14"/>
        <v/>
      </c>
      <c r="Z44" s="43"/>
      <c r="AA44" s="58"/>
      <c r="AB44" s="63" t="str">
        <f t="shared" si="15"/>
        <v/>
      </c>
      <c r="AC44" s="44"/>
    </row>
    <row r="45" spans="2:29" ht="18.95" customHeight="1" x14ac:dyDescent="0.25">
      <c r="B45" s="54"/>
      <c r="C45" s="44"/>
      <c r="D45" s="55" t="str">
        <f t="shared" si="8"/>
        <v/>
      </c>
      <c r="E45" s="56"/>
      <c r="F45" s="44"/>
      <c r="G45" s="54"/>
      <c r="H45" s="44"/>
      <c r="I45" s="44"/>
      <c r="J45" s="44"/>
      <c r="K45" s="43"/>
      <c r="L45" s="43"/>
      <c r="M45" s="57" t="str">
        <f t="shared" si="9"/>
        <v/>
      </c>
      <c r="N45" s="44"/>
      <c r="O45" s="45" t="str">
        <f t="shared" si="10"/>
        <v/>
      </c>
      <c r="P45" s="43"/>
      <c r="Q45" s="58"/>
      <c r="R45" s="46" t="str">
        <f t="shared" si="11"/>
        <v/>
      </c>
      <c r="S45" s="51"/>
      <c r="T45" s="59" t="str">
        <f>IF(OR(D45="",N(E45)=0),"",SUMIFS(Registre!$AO$8:$AO$507,Registre!$D$8:$D$507,D45)/E45)</f>
        <v/>
      </c>
      <c r="U45" s="60" t="str">
        <f t="shared" si="12"/>
        <v/>
      </c>
      <c r="V45" s="61" t="str">
        <f t="shared" si="13"/>
        <v/>
      </c>
      <c r="W45" s="62" t="str">
        <f>IF(OR(D45="",N(E45)=0),"",SUMIFS(Registre!$Q$8:$Q$507,Registre!$D$8:$D$507,D45,Registre!$AN$8:$AN$507,"Organique")/E45)</f>
        <v/>
      </c>
      <c r="X45" s="62" t="str">
        <f>IF(D45="","",COUNTIF(Registre!$D$8:$D$507,D45))</f>
        <v/>
      </c>
      <c r="Y45" s="46" t="str">
        <f t="shared" si="14"/>
        <v/>
      </c>
      <c r="Z45" s="43"/>
      <c r="AA45" s="58"/>
      <c r="AB45" s="63" t="str">
        <f t="shared" si="15"/>
        <v/>
      </c>
      <c r="AC45" s="44"/>
    </row>
    <row r="46" spans="2:29" ht="18.95" customHeight="1" x14ac:dyDescent="0.25">
      <c r="B46" s="54"/>
      <c r="C46" s="44"/>
      <c r="D46" s="55" t="str">
        <f t="shared" si="8"/>
        <v/>
      </c>
      <c r="E46" s="56"/>
      <c r="F46" s="44"/>
      <c r="G46" s="54"/>
      <c r="H46" s="44"/>
      <c r="I46" s="44"/>
      <c r="J46" s="44"/>
      <c r="K46" s="43"/>
      <c r="L46" s="43"/>
      <c r="M46" s="57" t="str">
        <f t="shared" si="9"/>
        <v/>
      </c>
      <c r="N46" s="44"/>
      <c r="O46" s="45" t="str">
        <f t="shared" si="10"/>
        <v/>
      </c>
      <c r="P46" s="43"/>
      <c r="Q46" s="58"/>
      <c r="R46" s="46" t="str">
        <f t="shared" si="11"/>
        <v/>
      </c>
      <c r="S46" s="51"/>
      <c r="T46" s="59" t="str">
        <f>IF(OR(D46="",N(E46)=0),"",SUMIFS(Registre!$AO$8:$AO$507,Registre!$D$8:$D$507,D46)/E46)</f>
        <v/>
      </c>
      <c r="U46" s="60" t="str">
        <f t="shared" si="12"/>
        <v/>
      </c>
      <c r="V46" s="61" t="str">
        <f t="shared" si="13"/>
        <v/>
      </c>
      <c r="W46" s="62" t="str">
        <f>IF(OR(D46="",N(E46)=0),"",SUMIFS(Registre!$Q$8:$Q$507,Registre!$D$8:$D$507,D46,Registre!$AN$8:$AN$507,"Organique")/E46)</f>
        <v/>
      </c>
      <c r="X46" s="62" t="str">
        <f>IF(D46="","",COUNTIF(Registre!$D$8:$D$507,D46))</f>
        <v/>
      </c>
      <c r="Y46" s="46" t="str">
        <f t="shared" si="14"/>
        <v/>
      </c>
      <c r="Z46" s="43"/>
      <c r="AA46" s="58"/>
      <c r="AB46" s="63" t="str">
        <f t="shared" si="15"/>
        <v/>
      </c>
      <c r="AC46" s="44"/>
    </row>
    <row r="47" spans="2:29" ht="18.95" customHeight="1" x14ac:dyDescent="0.25">
      <c r="B47" s="54"/>
      <c r="C47" s="44"/>
      <c r="D47" s="55" t="str">
        <f t="shared" si="8"/>
        <v/>
      </c>
      <c r="E47" s="56"/>
      <c r="F47" s="44"/>
      <c r="G47" s="54"/>
      <c r="H47" s="44"/>
      <c r="I47" s="44"/>
      <c r="J47" s="44"/>
      <c r="K47" s="43"/>
      <c r="L47" s="43"/>
      <c r="M47" s="57" t="str">
        <f t="shared" si="9"/>
        <v/>
      </c>
      <c r="N47" s="44"/>
      <c r="O47" s="45" t="str">
        <f t="shared" si="10"/>
        <v/>
      </c>
      <c r="P47" s="43"/>
      <c r="Q47" s="58"/>
      <c r="R47" s="46" t="str">
        <f t="shared" si="11"/>
        <v/>
      </c>
      <c r="S47" s="51"/>
      <c r="T47" s="59" t="str">
        <f>IF(OR(D47="",N(E47)=0),"",SUMIFS(Registre!$AO$8:$AO$507,Registre!$D$8:$D$507,D47)/E47)</f>
        <v/>
      </c>
      <c r="U47" s="60" t="str">
        <f t="shared" si="12"/>
        <v/>
      </c>
      <c r="V47" s="61" t="str">
        <f t="shared" si="13"/>
        <v/>
      </c>
      <c r="W47" s="62" t="str">
        <f>IF(OR(D47="",N(E47)=0),"",SUMIFS(Registre!$Q$8:$Q$507,Registre!$D$8:$D$507,D47,Registre!$AN$8:$AN$507,"Organique")/E47)</f>
        <v/>
      </c>
      <c r="X47" s="62" t="str">
        <f>IF(D47="","",COUNTIF(Registre!$D$8:$D$507,D47))</f>
        <v/>
      </c>
      <c r="Y47" s="46" t="str">
        <f t="shared" si="14"/>
        <v/>
      </c>
      <c r="Z47" s="43"/>
      <c r="AA47" s="58"/>
      <c r="AB47" s="63" t="str">
        <f t="shared" si="15"/>
        <v/>
      </c>
      <c r="AC47" s="44"/>
    </row>
    <row r="48" spans="2:29" ht="18.95" customHeight="1" x14ac:dyDescent="0.25">
      <c r="B48" s="54"/>
      <c r="C48" s="44"/>
      <c r="D48" s="55" t="str">
        <f t="shared" si="8"/>
        <v/>
      </c>
      <c r="E48" s="56"/>
      <c r="F48" s="44"/>
      <c r="G48" s="54"/>
      <c r="H48" s="44"/>
      <c r="I48" s="44"/>
      <c r="J48" s="44"/>
      <c r="K48" s="43"/>
      <c r="L48" s="43"/>
      <c r="M48" s="57" t="str">
        <f t="shared" si="9"/>
        <v/>
      </c>
      <c r="N48" s="44"/>
      <c r="O48" s="45" t="str">
        <f t="shared" si="10"/>
        <v/>
      </c>
      <c r="P48" s="43"/>
      <c r="Q48" s="58"/>
      <c r="R48" s="46" t="str">
        <f t="shared" si="11"/>
        <v/>
      </c>
      <c r="S48" s="51"/>
      <c r="T48" s="59" t="str">
        <f>IF(OR(D48="",N(E48)=0),"",SUMIFS(Registre!$AO$8:$AO$507,Registre!$D$8:$D$507,D48)/E48)</f>
        <v/>
      </c>
      <c r="U48" s="60" t="str">
        <f t="shared" si="12"/>
        <v/>
      </c>
      <c r="V48" s="61" t="str">
        <f t="shared" si="13"/>
        <v/>
      </c>
      <c r="W48" s="62" t="str">
        <f>IF(OR(D48="",N(E48)=0),"",SUMIFS(Registre!$Q$8:$Q$507,Registre!$D$8:$D$507,D48,Registre!$AN$8:$AN$507,"Organique")/E48)</f>
        <v/>
      </c>
      <c r="X48" s="62" t="str">
        <f>IF(D48="","",COUNTIF(Registre!$D$8:$D$507,D48))</f>
        <v/>
      </c>
      <c r="Y48" s="46" t="str">
        <f t="shared" si="14"/>
        <v/>
      </c>
      <c r="Z48" s="43"/>
      <c r="AA48" s="58"/>
      <c r="AB48" s="63" t="str">
        <f t="shared" si="15"/>
        <v/>
      </c>
      <c r="AC48" s="44"/>
    </row>
    <row r="49" spans="2:29" ht="18.95" customHeight="1" x14ac:dyDescent="0.25">
      <c r="B49" s="54"/>
      <c r="C49" s="44"/>
      <c r="D49" s="55" t="str">
        <f t="shared" si="8"/>
        <v/>
      </c>
      <c r="E49" s="56"/>
      <c r="F49" s="44"/>
      <c r="G49" s="54"/>
      <c r="H49" s="44"/>
      <c r="I49" s="44"/>
      <c r="J49" s="44"/>
      <c r="K49" s="43"/>
      <c r="L49" s="43"/>
      <c r="M49" s="57" t="str">
        <f t="shared" si="9"/>
        <v/>
      </c>
      <c r="N49" s="44"/>
      <c r="O49" s="45" t="str">
        <f t="shared" si="10"/>
        <v/>
      </c>
      <c r="P49" s="43"/>
      <c r="Q49" s="58"/>
      <c r="R49" s="46" t="str">
        <f t="shared" si="11"/>
        <v/>
      </c>
      <c r="S49" s="51"/>
      <c r="T49" s="59" t="str">
        <f>IF(OR(D49="",N(E49)=0),"",SUMIFS(Registre!$AO$8:$AO$507,Registre!$D$8:$D$507,D49)/E49)</f>
        <v/>
      </c>
      <c r="U49" s="60" t="str">
        <f t="shared" si="12"/>
        <v/>
      </c>
      <c r="V49" s="61" t="str">
        <f t="shared" si="13"/>
        <v/>
      </c>
      <c r="W49" s="62" t="str">
        <f>IF(OR(D49="",N(E49)=0),"",SUMIFS(Registre!$Q$8:$Q$507,Registre!$D$8:$D$507,D49,Registre!$AN$8:$AN$507,"Organique")/E49)</f>
        <v/>
      </c>
      <c r="X49" s="62" t="str">
        <f>IF(D49="","",COUNTIF(Registre!$D$8:$D$507,D49))</f>
        <v/>
      </c>
      <c r="Y49" s="46" t="str">
        <f t="shared" si="14"/>
        <v/>
      </c>
      <c r="Z49" s="43"/>
      <c r="AA49" s="58"/>
      <c r="AB49" s="63" t="str">
        <f t="shared" si="15"/>
        <v/>
      </c>
      <c r="AC49" s="44"/>
    </row>
    <row r="50" spans="2:29" ht="18.95" customHeight="1" x14ac:dyDescent="0.25">
      <c r="B50" s="54"/>
      <c r="C50" s="44"/>
      <c r="D50" s="55" t="str">
        <f t="shared" si="8"/>
        <v/>
      </c>
      <c r="E50" s="56"/>
      <c r="F50" s="44"/>
      <c r="G50" s="54"/>
      <c r="H50" s="44"/>
      <c r="I50" s="44"/>
      <c r="J50" s="44"/>
      <c r="K50" s="43"/>
      <c r="L50" s="43"/>
      <c r="M50" s="57" t="str">
        <f t="shared" si="9"/>
        <v/>
      </c>
      <c r="N50" s="44"/>
      <c r="O50" s="45" t="str">
        <f t="shared" si="10"/>
        <v/>
      </c>
      <c r="P50" s="43"/>
      <c r="Q50" s="58"/>
      <c r="R50" s="46" t="str">
        <f t="shared" si="11"/>
        <v/>
      </c>
      <c r="S50" s="51"/>
      <c r="T50" s="59" t="str">
        <f>IF(OR(D50="",N(E50)=0),"",SUMIFS(Registre!$AO$8:$AO$507,Registre!$D$8:$D$507,D50)/E50)</f>
        <v/>
      </c>
      <c r="U50" s="60" t="str">
        <f t="shared" si="12"/>
        <v/>
      </c>
      <c r="V50" s="61" t="str">
        <f t="shared" si="13"/>
        <v/>
      </c>
      <c r="W50" s="62" t="str">
        <f>IF(OR(D50="",N(E50)=0),"",SUMIFS(Registre!$Q$8:$Q$507,Registre!$D$8:$D$507,D50,Registre!$AN$8:$AN$507,"Organique")/E50)</f>
        <v/>
      </c>
      <c r="X50" s="62" t="str">
        <f>IF(D50="","",COUNTIF(Registre!$D$8:$D$507,D50))</f>
        <v/>
      </c>
      <c r="Y50" s="46" t="str">
        <f t="shared" si="14"/>
        <v/>
      </c>
      <c r="Z50" s="43"/>
      <c r="AA50" s="58"/>
      <c r="AB50" s="63" t="str">
        <f t="shared" si="15"/>
        <v/>
      </c>
      <c r="AC50" s="44"/>
    </row>
    <row r="51" spans="2:29" ht="18.95" customHeight="1" x14ac:dyDescent="0.25">
      <c r="B51" s="54"/>
      <c r="C51" s="44"/>
      <c r="D51" s="55" t="str">
        <f t="shared" si="8"/>
        <v/>
      </c>
      <c r="E51" s="56"/>
      <c r="F51" s="44"/>
      <c r="G51" s="54"/>
      <c r="H51" s="44"/>
      <c r="I51" s="44"/>
      <c r="J51" s="44"/>
      <c r="K51" s="43"/>
      <c r="L51" s="43"/>
      <c r="M51" s="57" t="str">
        <f t="shared" si="9"/>
        <v/>
      </c>
      <c r="N51" s="44"/>
      <c r="O51" s="45" t="str">
        <f t="shared" si="10"/>
        <v/>
      </c>
      <c r="P51" s="43"/>
      <c r="Q51" s="58"/>
      <c r="R51" s="46" t="str">
        <f t="shared" si="11"/>
        <v/>
      </c>
      <c r="S51" s="51"/>
      <c r="T51" s="59" t="str">
        <f>IF(OR(D51="",N(E51)=0),"",SUMIFS(Registre!$AO$8:$AO$507,Registre!$D$8:$D$507,D51)/E51)</f>
        <v/>
      </c>
      <c r="U51" s="60" t="str">
        <f t="shared" si="12"/>
        <v/>
      </c>
      <c r="V51" s="61" t="str">
        <f t="shared" si="13"/>
        <v/>
      </c>
      <c r="W51" s="62" t="str">
        <f>IF(OR(D51="",N(E51)=0),"",SUMIFS(Registre!$Q$8:$Q$507,Registre!$D$8:$D$507,D51,Registre!$AN$8:$AN$507,"Organique")/E51)</f>
        <v/>
      </c>
      <c r="X51" s="62" t="str">
        <f>IF(D51="","",COUNTIF(Registre!$D$8:$D$507,D51))</f>
        <v/>
      </c>
      <c r="Y51" s="46" t="str">
        <f t="shared" si="14"/>
        <v/>
      </c>
      <c r="Z51" s="43"/>
      <c r="AA51" s="58"/>
      <c r="AB51" s="63" t="str">
        <f t="shared" si="15"/>
        <v/>
      </c>
      <c r="AC51" s="44"/>
    </row>
    <row r="52" spans="2:29" ht="18.95" customHeight="1" x14ac:dyDescent="0.25">
      <c r="B52" s="54"/>
      <c r="C52" s="44"/>
      <c r="D52" s="55" t="str">
        <f t="shared" si="8"/>
        <v/>
      </c>
      <c r="E52" s="56"/>
      <c r="F52" s="44"/>
      <c r="G52" s="54"/>
      <c r="H52" s="44"/>
      <c r="I52" s="44"/>
      <c r="J52" s="44"/>
      <c r="K52" s="43"/>
      <c r="L52" s="43"/>
      <c r="M52" s="57" t="str">
        <f t="shared" si="9"/>
        <v/>
      </c>
      <c r="N52" s="44"/>
      <c r="O52" s="45" t="str">
        <f t="shared" si="10"/>
        <v/>
      </c>
      <c r="P52" s="43"/>
      <c r="Q52" s="58"/>
      <c r="R52" s="46" t="str">
        <f t="shared" si="11"/>
        <v/>
      </c>
      <c r="S52" s="51"/>
      <c r="T52" s="59" t="str">
        <f>IF(OR(D52="",N(E52)=0),"",SUMIFS(Registre!$AO$8:$AO$507,Registre!$D$8:$D$507,D52)/E52)</f>
        <v/>
      </c>
      <c r="U52" s="60" t="str">
        <f t="shared" si="12"/>
        <v/>
      </c>
      <c r="V52" s="61" t="str">
        <f t="shared" si="13"/>
        <v/>
      </c>
      <c r="W52" s="62" t="str">
        <f>IF(OR(D52="",N(E52)=0),"",SUMIFS(Registre!$Q$8:$Q$507,Registre!$D$8:$D$507,D52,Registre!$AN$8:$AN$507,"Organique")/E52)</f>
        <v/>
      </c>
      <c r="X52" s="62" t="str">
        <f>IF(D52="","",COUNTIF(Registre!$D$8:$D$507,D52))</f>
        <v/>
      </c>
      <c r="Y52" s="46" t="str">
        <f t="shared" si="14"/>
        <v/>
      </c>
      <c r="Z52" s="43"/>
      <c r="AA52" s="58"/>
      <c r="AB52" s="63" t="str">
        <f t="shared" si="15"/>
        <v/>
      </c>
      <c r="AC52" s="44"/>
    </row>
    <row r="53" spans="2:29" ht="18.95" customHeight="1" x14ac:dyDescent="0.25">
      <c r="B53" s="54"/>
      <c r="C53" s="44"/>
      <c r="D53" s="55" t="str">
        <f t="shared" si="8"/>
        <v/>
      </c>
      <c r="E53" s="56"/>
      <c r="F53" s="44"/>
      <c r="G53" s="54"/>
      <c r="H53" s="44"/>
      <c r="I53" s="44"/>
      <c r="J53" s="44"/>
      <c r="K53" s="43"/>
      <c r="L53" s="43"/>
      <c r="M53" s="57" t="str">
        <f t="shared" si="9"/>
        <v/>
      </c>
      <c r="N53" s="44"/>
      <c r="O53" s="45" t="str">
        <f t="shared" si="10"/>
        <v/>
      </c>
      <c r="P53" s="43"/>
      <c r="Q53" s="58"/>
      <c r="R53" s="46" t="str">
        <f t="shared" si="11"/>
        <v/>
      </c>
      <c r="S53" s="51"/>
      <c r="T53" s="59" t="str">
        <f>IF(OR(D53="",N(E53)=0),"",SUMIFS(Registre!$AO$8:$AO$507,Registre!$D$8:$D$507,D53)/E53)</f>
        <v/>
      </c>
      <c r="U53" s="60" t="str">
        <f t="shared" si="12"/>
        <v/>
      </c>
      <c r="V53" s="61" t="str">
        <f t="shared" si="13"/>
        <v/>
      </c>
      <c r="W53" s="62" t="str">
        <f>IF(OR(D53="",N(E53)=0),"",SUMIFS(Registre!$Q$8:$Q$507,Registre!$D$8:$D$507,D53,Registre!$AN$8:$AN$507,"Organique")/E53)</f>
        <v/>
      </c>
      <c r="X53" s="62" t="str">
        <f>IF(D53="","",COUNTIF(Registre!$D$8:$D$507,D53))</f>
        <v/>
      </c>
      <c r="Y53" s="46" t="str">
        <f t="shared" si="14"/>
        <v/>
      </c>
      <c r="Z53" s="43"/>
      <c r="AA53" s="58"/>
      <c r="AB53" s="63" t="str">
        <f t="shared" si="15"/>
        <v/>
      </c>
      <c r="AC53" s="44"/>
    </row>
    <row r="54" spans="2:29" ht="18.95" customHeight="1" x14ac:dyDescent="0.25">
      <c r="B54" s="54"/>
      <c r="C54" s="44"/>
      <c r="D54" s="55" t="str">
        <f t="shared" si="8"/>
        <v/>
      </c>
      <c r="E54" s="56"/>
      <c r="F54" s="44"/>
      <c r="G54" s="54"/>
      <c r="H54" s="44"/>
      <c r="I54" s="44"/>
      <c r="J54" s="44"/>
      <c r="K54" s="43"/>
      <c r="L54" s="43"/>
      <c r="M54" s="57" t="str">
        <f t="shared" si="9"/>
        <v/>
      </c>
      <c r="N54" s="44"/>
      <c r="O54" s="45" t="str">
        <f t="shared" si="10"/>
        <v/>
      </c>
      <c r="P54" s="43"/>
      <c r="Q54" s="58"/>
      <c r="R54" s="46" t="str">
        <f t="shared" si="11"/>
        <v/>
      </c>
      <c r="S54" s="51"/>
      <c r="T54" s="59" t="str">
        <f>IF(OR(D54="",N(E54)=0),"",SUMIFS(Registre!$AO$8:$AO$507,Registre!$D$8:$D$507,D54)/E54)</f>
        <v/>
      </c>
      <c r="U54" s="60" t="str">
        <f t="shared" si="12"/>
        <v/>
      </c>
      <c r="V54" s="61" t="str">
        <f t="shared" si="13"/>
        <v/>
      </c>
      <c r="W54" s="62" t="str">
        <f>IF(OR(D54="",N(E54)=0),"",SUMIFS(Registre!$Q$8:$Q$507,Registre!$D$8:$D$507,D54,Registre!$AN$8:$AN$507,"Organique")/E54)</f>
        <v/>
      </c>
      <c r="X54" s="62" t="str">
        <f>IF(D54="","",COUNTIF(Registre!$D$8:$D$507,D54))</f>
        <v/>
      </c>
      <c r="Y54" s="46" t="str">
        <f t="shared" si="14"/>
        <v/>
      </c>
      <c r="Z54" s="43"/>
      <c r="AA54" s="58"/>
      <c r="AB54" s="63" t="str">
        <f t="shared" si="15"/>
        <v/>
      </c>
      <c r="AC54" s="44"/>
    </row>
    <row r="55" spans="2:29" ht="18.95" customHeight="1" x14ac:dyDescent="0.25">
      <c r="B55" s="54"/>
      <c r="C55" s="44"/>
      <c r="D55" s="55" t="str">
        <f t="shared" si="8"/>
        <v/>
      </c>
      <c r="E55" s="56"/>
      <c r="F55" s="44"/>
      <c r="G55" s="54"/>
      <c r="H55" s="44"/>
      <c r="I55" s="44"/>
      <c r="J55" s="44"/>
      <c r="K55" s="43"/>
      <c r="L55" s="43"/>
      <c r="M55" s="57" t="str">
        <f t="shared" si="9"/>
        <v/>
      </c>
      <c r="N55" s="44"/>
      <c r="O55" s="45" t="str">
        <f t="shared" si="10"/>
        <v/>
      </c>
      <c r="P55" s="43"/>
      <c r="Q55" s="58"/>
      <c r="R55" s="46" t="str">
        <f t="shared" si="11"/>
        <v/>
      </c>
      <c r="S55" s="51"/>
      <c r="T55" s="59" t="str">
        <f>IF(OR(D55="",N(E55)=0),"",SUMIFS(Registre!$AO$8:$AO$507,Registre!$D$8:$D$507,D55)/E55)</f>
        <v/>
      </c>
      <c r="U55" s="60" t="str">
        <f t="shared" si="12"/>
        <v/>
      </c>
      <c r="V55" s="61" t="str">
        <f t="shared" si="13"/>
        <v/>
      </c>
      <c r="W55" s="62" t="str">
        <f>IF(OR(D55="",N(E55)=0),"",SUMIFS(Registre!$Q$8:$Q$507,Registre!$D$8:$D$507,D55,Registre!$AN$8:$AN$507,"Organique")/E55)</f>
        <v/>
      </c>
      <c r="X55" s="62" t="str">
        <f>IF(D55="","",COUNTIF(Registre!$D$8:$D$507,D55))</f>
        <v/>
      </c>
      <c r="Y55" s="46" t="str">
        <f t="shared" si="14"/>
        <v/>
      </c>
      <c r="Z55" s="43"/>
      <c r="AA55" s="58"/>
      <c r="AB55" s="63" t="str">
        <f t="shared" si="15"/>
        <v/>
      </c>
      <c r="AC55" s="44"/>
    </row>
    <row r="56" spans="2:29" ht="18.95" customHeight="1" x14ac:dyDescent="0.25">
      <c r="B56" s="54"/>
      <c r="C56" s="44"/>
      <c r="D56" s="55" t="str">
        <f t="shared" si="8"/>
        <v/>
      </c>
      <c r="E56" s="56"/>
      <c r="F56" s="44"/>
      <c r="G56" s="54"/>
      <c r="H56" s="44"/>
      <c r="I56" s="44"/>
      <c r="J56" s="44"/>
      <c r="K56" s="43"/>
      <c r="L56" s="43"/>
      <c r="M56" s="57" t="str">
        <f t="shared" si="9"/>
        <v/>
      </c>
      <c r="N56" s="44"/>
      <c r="O56" s="45" t="str">
        <f t="shared" si="10"/>
        <v/>
      </c>
      <c r="P56" s="43"/>
      <c r="Q56" s="58"/>
      <c r="R56" s="46" t="str">
        <f t="shared" si="11"/>
        <v/>
      </c>
      <c r="S56" s="51"/>
      <c r="T56" s="59" t="str">
        <f>IF(OR(D56="",N(E56)=0),"",SUMIFS(Registre!$AO$8:$AO$507,Registre!$D$8:$D$507,D56)/E56)</f>
        <v/>
      </c>
      <c r="U56" s="60" t="str">
        <f t="shared" si="12"/>
        <v/>
      </c>
      <c r="V56" s="61" t="str">
        <f t="shared" si="13"/>
        <v/>
      </c>
      <c r="W56" s="62" t="str">
        <f>IF(OR(D56="",N(E56)=0),"",SUMIFS(Registre!$Q$8:$Q$507,Registre!$D$8:$D$507,D56,Registre!$AN$8:$AN$507,"Organique")/E56)</f>
        <v/>
      </c>
      <c r="X56" s="62" t="str">
        <f>IF(D56="","",COUNTIF(Registre!$D$8:$D$507,D56))</f>
        <v/>
      </c>
      <c r="Y56" s="46" t="str">
        <f t="shared" si="14"/>
        <v/>
      </c>
      <c r="Z56" s="43"/>
      <c r="AA56" s="58"/>
      <c r="AB56" s="63" t="str">
        <f t="shared" si="15"/>
        <v/>
      </c>
      <c r="AC56" s="44"/>
    </row>
    <row r="57" spans="2:29" ht="18.95" customHeight="1" x14ac:dyDescent="0.25">
      <c r="B57" s="54"/>
      <c r="C57" s="44"/>
      <c r="D57" s="55" t="str">
        <f t="shared" si="8"/>
        <v/>
      </c>
      <c r="E57" s="56"/>
      <c r="F57" s="44"/>
      <c r="G57" s="54"/>
      <c r="H57" s="44"/>
      <c r="I57" s="44"/>
      <c r="J57" s="44"/>
      <c r="K57" s="43"/>
      <c r="L57" s="43"/>
      <c r="M57" s="57" t="str">
        <f t="shared" si="9"/>
        <v/>
      </c>
      <c r="N57" s="44"/>
      <c r="O57" s="45" t="str">
        <f t="shared" si="10"/>
        <v/>
      </c>
      <c r="P57" s="43"/>
      <c r="Q57" s="58"/>
      <c r="R57" s="46" t="str">
        <f t="shared" si="11"/>
        <v/>
      </c>
      <c r="S57" s="51"/>
      <c r="T57" s="59" t="str">
        <f>IF(OR(D57="",N(E57)=0),"",SUMIFS(Registre!$AO$8:$AO$507,Registre!$D$8:$D$507,D57)/E57)</f>
        <v/>
      </c>
      <c r="U57" s="60" t="str">
        <f t="shared" si="12"/>
        <v/>
      </c>
      <c r="V57" s="61" t="str">
        <f t="shared" si="13"/>
        <v/>
      </c>
      <c r="W57" s="62" t="str">
        <f>IF(OR(D57="",N(E57)=0),"",SUMIFS(Registre!$Q$8:$Q$507,Registre!$D$8:$D$507,D57,Registre!$AN$8:$AN$507,"Organique")/E57)</f>
        <v/>
      </c>
      <c r="X57" s="62" t="str">
        <f>IF(D57="","",COUNTIF(Registre!$D$8:$D$507,D57))</f>
        <v/>
      </c>
      <c r="Y57" s="46" t="str">
        <f t="shared" si="14"/>
        <v/>
      </c>
      <c r="Z57" s="43"/>
      <c r="AA57" s="58"/>
      <c r="AB57" s="63" t="str">
        <f t="shared" si="15"/>
        <v/>
      </c>
      <c r="AC57" s="44"/>
    </row>
    <row r="58" spans="2:29" ht="21.95" customHeight="1" x14ac:dyDescent="0.25">
      <c r="B58" s="64" t="s">
        <v>253</v>
      </c>
      <c r="C58" s="65"/>
      <c r="D58" s="65"/>
      <c r="E58" s="66">
        <f>SUM(E8:E57)</f>
        <v>112.45</v>
      </c>
      <c r="F58" s="65"/>
      <c r="G58" s="65"/>
      <c r="H58" s="65"/>
      <c r="I58" s="65"/>
      <c r="J58" s="65"/>
      <c r="K58" s="65"/>
      <c r="L58" s="65"/>
      <c r="M58" s="65"/>
      <c r="N58" s="65"/>
      <c r="O58" s="65"/>
      <c r="P58" s="65"/>
      <c r="Q58" s="65"/>
      <c r="R58" s="65"/>
      <c r="S58" s="67">
        <f>IFERROR(SUMPRODUCT(E8:E57,S8:S57)/E58,0)</f>
        <v>128.19253001333925</v>
      </c>
      <c r="T58" s="67">
        <f>IFERROR(SUMPRODUCT(E8:E57,T8:T57)/E58,0)</f>
        <v>126.74314806580703</v>
      </c>
      <c r="U58" s="68">
        <f>ROUND(T58-S58,0)</f>
        <v>-1</v>
      </c>
      <c r="V58" s="69">
        <f>IFERROR(T58/S58,0)</f>
        <v>0.98869370978651094</v>
      </c>
      <c r="W58" s="67">
        <f>IFERROR(SUMPRODUCT(E8:E57,W8:W57)/E58,0)</f>
        <v>174.62427745664741</v>
      </c>
      <c r="X58" s="70">
        <f>SUM(X8:X57)</f>
        <v>29</v>
      </c>
      <c r="Y58" s="65" t="str">
        <f>COUNTIF(Y8:Y57,"Dépassement PPF")&amp;" dépassement(s)"</f>
        <v>1 dépassement(s)</v>
      </c>
      <c r="Z58" s="65"/>
      <c r="AA58" s="65"/>
      <c r="AB58" s="65"/>
      <c r="AC58" s="65"/>
    </row>
  </sheetData>
  <autoFilter ref="B7:AC57" xr:uid="{00000000-0009-0000-0000-000002000000}"/>
  <mergeCells count="6">
    <mergeCell ref="Z6:AB6"/>
    <mergeCell ref="N6:S6"/>
    <mergeCell ref="T6:Y6"/>
    <mergeCell ref="K4:M4"/>
    <mergeCell ref="I6:M6"/>
    <mergeCell ref="B6:H6"/>
  </mergeCells>
  <conditionalFormatting sqref="O8:O57">
    <cfRule type="expression" dxfId="28" priority="8">
      <formula>O8="Culture à ajouter"</formula>
    </cfRule>
  </conditionalFormatting>
  <conditionalFormatting sqref="S8:S57">
    <cfRule type="expression" dxfId="27" priority="7">
      <formula>AND($B8&lt;&gt;"",S8="")</formula>
    </cfRule>
  </conditionalFormatting>
  <conditionalFormatting sqref="U8:U57">
    <cfRule type="expression" dxfId="26" priority="5">
      <formula>AND(ISNUMBER(U8),U8&gt;TolerancePPF)</formula>
    </cfRule>
  </conditionalFormatting>
  <conditionalFormatting sqref="V8:V57">
    <cfRule type="dataBar" priority="6">
      <dataBar>
        <cfvo type="num" val="0"/>
        <cfvo type="num" val="1.2"/>
        <color rgb="FF7CCDBF"/>
      </dataBar>
    </cfRule>
  </conditionalFormatting>
  <conditionalFormatting sqref="Y8:Y57">
    <cfRule type="expression" dxfId="25" priority="1" stopIfTrue="1">
      <formula>$Y8="Dépassement PPF"</formula>
    </cfRule>
    <cfRule type="expression" dxfId="24" priority="2" stopIfTrue="1">
      <formula>$Y8="PPF à renseigner"</formula>
    </cfRule>
    <cfRule type="expression" dxfId="23" priority="3" stopIfTrue="1">
      <formula>$Y8="Conforme"</formula>
    </cfRule>
    <cfRule type="expression" dxfId="22" priority="4" stopIfTrue="1">
      <formula>$Y8="Aucun apport"</formula>
    </cfRule>
  </conditionalFormatting>
  <conditionalFormatting sqref="AB8:AB57">
    <cfRule type="expression" dxfId="21" priority="9">
      <formula>AND(ISNUMBER(AB8),AB8&lt;-0.1)</formula>
    </cfRule>
  </conditionalFormatting>
  <dataValidations count="8">
    <dataValidation type="list" allowBlank="1" showErrorMessage="1" errorTitle="Valeur non prévue" error="Choisissez une valeur dans la liste déroulante." sqref="G8:G57" xr:uid="{00000000-0002-0000-0200-000000000000}">
      <formula1>"Oui,Non"</formula1>
    </dataValidation>
    <dataValidation type="list" allowBlank="1" showErrorMessage="1" errorTitle="Valeur non prévue" error="Choisissez une valeur dans la liste déroulante." sqref="H8:H57" xr:uid="{00000000-0002-0000-0200-000001000000}">
      <formula1>ListeFaireValoir</formula1>
    </dataValidation>
    <dataValidation type="list" allowBlank="1" showInputMessage="1" showErrorMessage="1" errorTitle="Valeur non prévue" error="Choisissez une valeur dans la liste déroulante." promptTitle="Interculture" prompt="Couvert présent pendant l'interculture qui précède la culture principale." sqref="I8:I57" xr:uid="{00000000-0002-0000-0200-000002000000}">
      <formula1>ListeCouverts</formula1>
    </dataValidation>
    <dataValidation type="list" allowBlank="1" showInputMessage="1" showErrorMessage="1" errorTitle="Valeur non prévue" error="Choisissez une valeur dans la liste déroulante." promptTitle="Culture principale" prompt="La culture détermine la catégorie du calendrier d'interdiction (liste modifiable dans Configuration)." sqref="N8:N57" xr:uid="{00000000-0002-0000-0200-000003000000}">
      <formula1>ListeCultures</formula1>
    </dataValidation>
    <dataValidation type="decimal" allowBlank="1" showErrorMessage="1" errorTitle="Valeur non valide" error="Surface en hectares." sqref="E8:E57" xr:uid="{00000000-0002-0000-0200-000004000000}">
      <formula1>0</formula1>
      <formula2>10000</formula2>
    </dataValidation>
    <dataValidation type="decimal" allowBlank="1" showErrorMessage="1" errorTitle="Valeur non valide" error="Saisissez un nombre positif." sqref="Q8:Q57 AA8:AA57" xr:uid="{00000000-0002-0000-0200-000005000000}">
      <formula1>0</formula1>
      <formula2>100000</formula2>
    </dataValidation>
    <dataValidation type="decimal" allowBlank="1" showInputMessage="1" showErrorMessage="1" errorTitle="Valeur non valide" error="Dose en kg N efficace par hectare (0 à 600)." promptTitle="Dose PPF" prompt="Reportez la dose d'azote calculée dans le plan prévisionnel de fumure." sqref="S8:S57" xr:uid="{00000000-0002-0000-0200-000007000000}">
      <formula1>0</formula1>
      <formula2>600</formula2>
    </dataValidation>
    <dataValidation type="date" allowBlank="1" showErrorMessage="1" errorTitle="Date non valide" error="Saisissez une date au format jj/mm/aaaa." sqref="K8:L57 Z8:Z57 P8:P57" xr:uid="{00000000-0002-0000-0200-000008000000}">
      <formula1>36526</formula1>
      <formula2>73051</formula2>
    </dataValidation>
  </dataValidations>
  <printOptions horizontalCentered="1"/>
  <pageMargins left="0.35" right="0.35" top="0.45" bottom="0.55000000000000004" header="0.5" footer="0.5"/>
  <pageSetup paperSize="9" fitToHeight="0" orientation="landscape"/>
  <headerFooter>
    <oddFooter>&amp;L&amp;8 &amp;K7B8794Cahier d'épandage – &amp;A&amp;R&amp;8 &amp;K7B8794Page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2A18A"/>
    <pageSetUpPr fitToPage="1"/>
  </sheetPr>
  <dimension ref="A1:T48"/>
  <sheetViews>
    <sheetView showGridLines="0" workbookViewId="0">
      <pane xSplit="2" ySplit="7" topLeftCell="C8" activePane="bottomRight" state="frozen"/>
      <selection pane="topRight"/>
      <selection pane="bottomLeft"/>
      <selection pane="bottomRight"/>
    </sheetView>
  </sheetViews>
  <sheetFormatPr baseColWidth="10" defaultColWidth="9.140625" defaultRowHeight="15" x14ac:dyDescent="0.25"/>
  <cols>
    <col min="1" max="1" width="2" customWidth="1"/>
    <col min="2" max="3" width="29" customWidth="1"/>
    <col min="4" max="4" width="9" customWidth="1"/>
    <col min="5" max="5" width="7" customWidth="1"/>
    <col min="6" max="6" width="8" customWidth="1"/>
    <col min="7" max="7" width="10" customWidth="1"/>
    <col min="8" max="8" width="8" customWidth="1"/>
    <col min="9" max="9" width="10" customWidth="1"/>
    <col min="10" max="11" width="9" customWidth="1"/>
    <col min="12" max="12" width="19" customWidth="1"/>
    <col min="13" max="13" width="11" customWidth="1"/>
    <col min="14" max="14" width="10" customWidth="1"/>
    <col min="15" max="15" width="9" customWidth="1"/>
    <col min="16" max="18" width="12" customWidth="1"/>
    <col min="19" max="19" width="44" customWidth="1"/>
    <col min="20" max="20" width="2" customWidth="1"/>
  </cols>
  <sheetData>
    <row r="1" spans="1:20" ht="30" customHeight="1" x14ac:dyDescent="0.35">
      <c r="A1" s="1"/>
      <c r="B1" s="33" t="s">
        <v>254</v>
      </c>
      <c r="C1" s="1"/>
      <c r="D1" s="1"/>
      <c r="E1" s="1"/>
      <c r="F1" s="1"/>
      <c r="G1" s="1"/>
      <c r="H1" s="1"/>
      <c r="I1" s="1"/>
      <c r="J1" s="1"/>
      <c r="K1" s="1"/>
      <c r="L1" s="1"/>
      <c r="M1" s="1"/>
      <c r="N1" s="1"/>
      <c r="O1" s="1"/>
      <c r="P1" s="1"/>
      <c r="Q1" s="1"/>
      <c r="R1" s="1"/>
      <c r="S1" s="34" t="str">
        <f>RaisonSociale</f>
        <v>SCEA du Val de Mérienne</v>
      </c>
      <c r="T1" s="1"/>
    </row>
    <row r="2" spans="1:20" ht="20.100000000000001" customHeight="1" x14ac:dyDescent="0.25">
      <c r="A2" s="1"/>
      <c r="B2" s="4" t="s">
        <v>255</v>
      </c>
      <c r="C2" s="1"/>
      <c r="D2" s="1"/>
      <c r="E2" s="1"/>
      <c r="F2" s="1"/>
      <c r="G2" s="1"/>
      <c r="H2" s="1"/>
      <c r="I2" s="1"/>
      <c r="J2" s="1"/>
      <c r="K2" s="1"/>
      <c r="L2" s="1"/>
      <c r="M2" s="1"/>
      <c r="N2" s="1"/>
      <c r="O2" s="1"/>
      <c r="P2" s="1"/>
      <c r="Q2" s="1"/>
      <c r="R2" s="1"/>
      <c r="S2" s="35" t="str">
        <f>"Campagne "&amp;(AnneeRecolte-1)&amp;"-"&amp;AnneeRecolte&amp;"  ·  récolte "&amp;AnneeRecolte</f>
        <v>Campagne 2026-2027  ·  récolte 2027</v>
      </c>
      <c r="T2" s="1"/>
    </row>
    <row r="3" spans="1:20" ht="3" customHeight="1" x14ac:dyDescent="0.25">
      <c r="A3" s="6"/>
      <c r="B3" s="6"/>
      <c r="C3" s="6"/>
      <c r="D3" s="6"/>
      <c r="E3" s="6"/>
      <c r="F3" s="6"/>
      <c r="G3" s="6"/>
      <c r="H3" s="6"/>
      <c r="I3" s="6"/>
      <c r="J3" s="6"/>
      <c r="K3" s="6"/>
      <c r="L3" s="6"/>
      <c r="M3" s="6"/>
      <c r="N3" s="6"/>
      <c r="O3" s="6"/>
      <c r="P3" s="6"/>
      <c r="Q3" s="6"/>
      <c r="R3" s="6"/>
      <c r="S3" s="6"/>
      <c r="T3" s="6"/>
    </row>
    <row r="4" spans="1:20" ht="21.95" customHeight="1" x14ac:dyDescent="0.25">
      <c r="B4" s="36" t="s">
        <v>256</v>
      </c>
      <c r="L4" s="37" t="s">
        <v>56</v>
      </c>
      <c r="M4" s="155" t="s">
        <v>57</v>
      </c>
      <c r="N4" s="156"/>
    </row>
    <row r="5" spans="1:20" ht="8.1" customHeight="1" x14ac:dyDescent="0.25"/>
    <row r="6" spans="1:20" ht="18" customHeight="1" x14ac:dyDescent="0.25">
      <c r="B6" s="151" t="s">
        <v>165</v>
      </c>
      <c r="C6" s="152"/>
      <c r="D6" s="152"/>
      <c r="E6" s="152"/>
      <c r="F6" s="151" t="s">
        <v>257</v>
      </c>
      <c r="G6" s="152"/>
      <c r="H6" s="152"/>
      <c r="I6" s="152"/>
      <c r="J6" s="152"/>
      <c r="K6" s="152"/>
      <c r="L6" s="152"/>
      <c r="M6" s="152"/>
      <c r="N6" s="151" t="s">
        <v>258</v>
      </c>
      <c r="O6" s="152"/>
      <c r="P6" s="152"/>
      <c r="Q6" s="152"/>
      <c r="R6" s="152"/>
      <c r="S6" s="38"/>
    </row>
    <row r="7" spans="1:20" ht="44.1" customHeight="1" x14ac:dyDescent="0.25">
      <c r="B7" s="40" t="s">
        <v>69</v>
      </c>
      <c r="C7" s="40" t="s">
        <v>259</v>
      </c>
      <c r="D7" s="40" t="s">
        <v>70</v>
      </c>
      <c r="E7" s="40" t="s">
        <v>73</v>
      </c>
      <c r="F7" s="40" t="s">
        <v>260</v>
      </c>
      <c r="G7" s="40" t="s">
        <v>261</v>
      </c>
      <c r="H7" s="40" t="s">
        <v>262</v>
      </c>
      <c r="I7" s="39" t="s">
        <v>263</v>
      </c>
      <c r="J7" s="40" t="s">
        <v>264</v>
      </c>
      <c r="K7" s="40" t="s">
        <v>265</v>
      </c>
      <c r="L7" s="40" t="s">
        <v>266</v>
      </c>
      <c r="M7" s="40" t="s">
        <v>267</v>
      </c>
      <c r="N7" s="40" t="s">
        <v>268</v>
      </c>
      <c r="O7" s="39" t="s">
        <v>191</v>
      </c>
      <c r="P7" s="39" t="s">
        <v>269</v>
      </c>
      <c r="Q7" s="39" t="s">
        <v>270</v>
      </c>
      <c r="R7" s="39" t="s">
        <v>271</v>
      </c>
      <c r="S7" s="40" t="s">
        <v>272</v>
      </c>
    </row>
    <row r="8" spans="1:20" ht="18.95" customHeight="1" x14ac:dyDescent="0.25">
      <c r="B8" s="44" t="s">
        <v>108</v>
      </c>
      <c r="C8" s="44" t="s">
        <v>273</v>
      </c>
      <c r="D8" s="54" t="s">
        <v>48</v>
      </c>
      <c r="E8" s="54" t="s">
        <v>274</v>
      </c>
      <c r="F8" s="71">
        <v>22</v>
      </c>
      <c r="G8" s="72">
        <v>5.8</v>
      </c>
      <c r="H8" s="73">
        <v>0.1</v>
      </c>
      <c r="I8" s="74">
        <f t="shared" ref="I8:I47" si="0">IF(OR(G8="",H8=""),"",G8*H8)</f>
        <v>0.57999999999999996</v>
      </c>
      <c r="J8" s="72">
        <v>2.6</v>
      </c>
      <c r="K8" s="72">
        <v>9.5</v>
      </c>
      <c r="L8" s="44" t="s">
        <v>275</v>
      </c>
      <c r="M8" s="43"/>
      <c r="N8" s="75">
        <v>0</v>
      </c>
      <c r="O8" s="62">
        <f>IF(B8="","",COUNTIF(Registre!$G$8:$G$507,B8))</f>
        <v>3</v>
      </c>
      <c r="P8" s="49">
        <f>IF(B8="","",SUMIFS(Registre!$L$8:$L$507,Registre!$G$8:$G$507,B8))</f>
        <v>989.75</v>
      </c>
      <c r="Q8" s="50">
        <f>IF(B8="","",SUMIFS(Registre!$Q$8:$Q$507,Registre!$G$8:$G$507,B8))</f>
        <v>5740.55</v>
      </c>
      <c r="R8" s="76">
        <f t="shared" ref="R8:R47" si="1">IF(OR(B8="",N8=""),"",P8*N8)</f>
        <v>0</v>
      </c>
      <c r="S8" s="44" t="s">
        <v>276</v>
      </c>
    </row>
    <row r="9" spans="1:20" ht="18.95" customHeight="1" x14ac:dyDescent="0.25">
      <c r="B9" s="44" t="s">
        <v>115</v>
      </c>
      <c r="C9" s="44" t="s">
        <v>273</v>
      </c>
      <c r="D9" s="54" t="s">
        <v>50</v>
      </c>
      <c r="E9" s="54" t="s">
        <v>277</v>
      </c>
      <c r="F9" s="71">
        <v>8</v>
      </c>
      <c r="G9" s="72">
        <v>4</v>
      </c>
      <c r="H9" s="73">
        <v>0.5</v>
      </c>
      <c r="I9" s="74">
        <f t="shared" si="0"/>
        <v>2</v>
      </c>
      <c r="J9" s="72">
        <v>1.7</v>
      </c>
      <c r="K9" s="72">
        <v>4.5999999999999996</v>
      </c>
      <c r="L9" s="44" t="s">
        <v>278</v>
      </c>
      <c r="M9" s="43">
        <v>46252</v>
      </c>
      <c r="N9" s="75">
        <v>0</v>
      </c>
      <c r="O9" s="62">
        <f>IF(B9="","",COUNTIF(Registre!$G$8:$G$507,B9))</f>
        <v>8</v>
      </c>
      <c r="P9" s="49">
        <f>IF(B9="","",SUMIFS(Registre!$L$8:$L$507,Registre!$G$8:$G$507,B9))</f>
        <v>2548.5</v>
      </c>
      <c r="Q9" s="50">
        <f>IF(B9="","",SUMIFS(Registre!$Q$8:$Q$507,Registre!$G$8:$G$507,B9))</f>
        <v>10194</v>
      </c>
      <c r="R9" s="76">
        <f t="shared" si="1"/>
        <v>0</v>
      </c>
      <c r="S9" s="44" t="s">
        <v>279</v>
      </c>
    </row>
    <row r="10" spans="1:20" ht="18.95" customHeight="1" x14ac:dyDescent="0.25">
      <c r="B10" s="44" t="s">
        <v>147</v>
      </c>
      <c r="C10" s="44" t="s">
        <v>273</v>
      </c>
      <c r="D10" s="54" t="s">
        <v>50</v>
      </c>
      <c r="E10" s="54" t="s">
        <v>274</v>
      </c>
      <c r="F10" s="71">
        <v>60</v>
      </c>
      <c r="G10" s="72">
        <v>24</v>
      </c>
      <c r="H10" s="73">
        <v>0.55000000000000004</v>
      </c>
      <c r="I10" s="74">
        <f t="shared" si="0"/>
        <v>13.200000000000001</v>
      </c>
      <c r="J10" s="72">
        <v>21</v>
      </c>
      <c r="K10" s="72">
        <v>19</v>
      </c>
      <c r="L10" s="44" t="s">
        <v>278</v>
      </c>
      <c r="M10" s="43">
        <v>46420</v>
      </c>
      <c r="N10" s="75">
        <v>18</v>
      </c>
      <c r="O10" s="62">
        <f>IF(B10="","",COUNTIF(Registre!$G$8:$G$507,B10))</f>
        <v>1</v>
      </c>
      <c r="P10" s="49">
        <f>IF(B10="","",SUMIFS(Registre!$L$8:$L$507,Registre!$G$8:$G$507,B10))</f>
        <v>22.35</v>
      </c>
      <c r="Q10" s="50">
        <f>IF(B10="","",SUMIFS(Registre!$Q$8:$Q$507,Registre!$G$8:$G$507,B10))</f>
        <v>536.4</v>
      </c>
      <c r="R10" s="76">
        <f t="shared" si="1"/>
        <v>402.3</v>
      </c>
      <c r="S10" s="44" t="s">
        <v>280</v>
      </c>
    </row>
    <row r="11" spans="1:20" ht="18.95" customHeight="1" x14ac:dyDescent="0.25">
      <c r="B11" s="44" t="s">
        <v>125</v>
      </c>
      <c r="C11" s="44" t="s">
        <v>273</v>
      </c>
      <c r="D11" s="54" t="s">
        <v>48</v>
      </c>
      <c r="E11" s="54" t="s">
        <v>274</v>
      </c>
      <c r="F11" s="71">
        <v>35</v>
      </c>
      <c r="G11" s="72">
        <v>7.2</v>
      </c>
      <c r="H11" s="73">
        <v>0.08</v>
      </c>
      <c r="I11" s="74">
        <f t="shared" si="0"/>
        <v>0.57600000000000007</v>
      </c>
      <c r="J11" s="72">
        <v>4.5</v>
      </c>
      <c r="K11" s="72">
        <v>11</v>
      </c>
      <c r="L11" s="44" t="s">
        <v>275</v>
      </c>
      <c r="M11" s="43"/>
      <c r="N11" s="75">
        <v>0</v>
      </c>
      <c r="O11" s="62">
        <f>IF(B11="","",COUNTIF(Registre!$G$8:$G$507,B11))</f>
        <v>1</v>
      </c>
      <c r="P11" s="49">
        <f>IF(B11="","",SUMIFS(Registre!$L$8:$L$507,Registre!$G$8:$G$507,B11))</f>
        <v>111.75</v>
      </c>
      <c r="Q11" s="50">
        <f>IF(B11="","",SUMIFS(Registre!$Q$8:$Q$507,Registre!$G$8:$G$507,B11))</f>
        <v>804.6</v>
      </c>
      <c r="R11" s="76">
        <f t="shared" si="1"/>
        <v>0</v>
      </c>
      <c r="S11" s="44"/>
    </row>
    <row r="12" spans="1:20" ht="18.95" customHeight="1" x14ac:dyDescent="0.25">
      <c r="B12" s="44" t="s">
        <v>142</v>
      </c>
      <c r="C12" s="44" t="s">
        <v>281</v>
      </c>
      <c r="D12" s="54" t="s">
        <v>50</v>
      </c>
      <c r="E12" s="54" t="s">
        <v>277</v>
      </c>
      <c r="F12" s="71">
        <v>6</v>
      </c>
      <c r="G12" s="72">
        <v>4.5999999999999996</v>
      </c>
      <c r="H12" s="73">
        <v>0.6</v>
      </c>
      <c r="I12" s="74">
        <f t="shared" si="0"/>
        <v>2.76</v>
      </c>
      <c r="J12" s="72">
        <v>1.6</v>
      </c>
      <c r="K12" s="72">
        <v>4.8</v>
      </c>
      <c r="L12" s="44" t="s">
        <v>278</v>
      </c>
      <c r="M12" s="43">
        <v>46397</v>
      </c>
      <c r="N12" s="75">
        <v>2.5</v>
      </c>
      <c r="O12" s="62">
        <f>IF(B12="","",COUNTIF(Registre!$G$8:$G$507,B12))</f>
        <v>2</v>
      </c>
      <c r="P12" s="49">
        <f>IF(B12="","",SUMIFS(Registre!$L$8:$L$507,Registre!$G$8:$G$507,B12))</f>
        <v>513.25</v>
      </c>
      <c r="Q12" s="50">
        <f>IF(B12="","",SUMIFS(Registre!$Q$8:$Q$507,Registre!$G$8:$G$507,B12))</f>
        <v>2360.9499999999998</v>
      </c>
      <c r="R12" s="76">
        <f t="shared" si="1"/>
        <v>1283.125</v>
      </c>
      <c r="S12" s="44" t="s">
        <v>282</v>
      </c>
    </row>
    <row r="13" spans="1:20" ht="18.95" customHeight="1" x14ac:dyDescent="0.25">
      <c r="B13" s="44" t="s">
        <v>135</v>
      </c>
      <c r="C13" s="44" t="s">
        <v>283</v>
      </c>
      <c r="D13" s="54" t="s">
        <v>51</v>
      </c>
      <c r="E13" s="54" t="s">
        <v>284</v>
      </c>
      <c r="F13" s="71"/>
      <c r="G13" s="72">
        <v>0.33500000000000002</v>
      </c>
      <c r="H13" s="73">
        <v>1</v>
      </c>
      <c r="I13" s="74">
        <f t="shared" si="0"/>
        <v>0.33500000000000002</v>
      </c>
      <c r="J13" s="72">
        <v>0</v>
      </c>
      <c r="K13" s="72">
        <v>0</v>
      </c>
      <c r="L13" s="44" t="s">
        <v>285</v>
      </c>
      <c r="M13" s="43"/>
      <c r="N13" s="75">
        <v>0.46</v>
      </c>
      <c r="O13" s="62">
        <f>IF(B13="","",COUNTIF(Registre!$G$8:$G$507,B13))</f>
        <v>7</v>
      </c>
      <c r="P13" s="49">
        <f>IF(B13="","",SUMIFS(Registre!$L$8:$L$507,Registre!$G$8:$G$507,B13))</f>
        <v>10654</v>
      </c>
      <c r="Q13" s="50">
        <f>IF(B13="","",SUMIFS(Registre!$Q$8:$Q$507,Registre!$G$8:$G$507,B13))</f>
        <v>3569.09</v>
      </c>
      <c r="R13" s="76">
        <f t="shared" si="1"/>
        <v>4900.84</v>
      </c>
      <c r="S13" s="44"/>
    </row>
    <row r="14" spans="1:20" ht="18.95" customHeight="1" x14ac:dyDescent="0.25">
      <c r="B14" s="44" t="s">
        <v>145</v>
      </c>
      <c r="C14" s="44" t="s">
        <v>283</v>
      </c>
      <c r="D14" s="54" t="s">
        <v>51</v>
      </c>
      <c r="E14" s="54" t="s">
        <v>286</v>
      </c>
      <c r="F14" s="71"/>
      <c r="G14" s="72">
        <v>0.38400000000000001</v>
      </c>
      <c r="H14" s="73">
        <v>1</v>
      </c>
      <c r="I14" s="74">
        <f t="shared" si="0"/>
        <v>0.38400000000000001</v>
      </c>
      <c r="J14" s="72">
        <v>0</v>
      </c>
      <c r="K14" s="72">
        <v>0</v>
      </c>
      <c r="L14" s="44" t="s">
        <v>285</v>
      </c>
      <c r="M14" s="43"/>
      <c r="N14" s="75">
        <v>0.36</v>
      </c>
      <c r="O14" s="62">
        <f>IF(B14="","",COUNTIF(Registre!$G$8:$G$507,B14))</f>
        <v>2</v>
      </c>
      <c r="P14" s="49">
        <f>IF(B14="","",SUMIFS(Registre!$L$8:$L$507,Registre!$G$8:$G$507,B14))</f>
        <v>3771</v>
      </c>
      <c r="Q14" s="50">
        <f>IF(B14="","",SUMIFS(Registre!$Q$8:$Q$507,Registre!$G$8:$G$507,B14))</f>
        <v>1448.0640000000001</v>
      </c>
      <c r="R14" s="76">
        <f t="shared" si="1"/>
        <v>1357.56</v>
      </c>
      <c r="S14" s="44" t="s">
        <v>287</v>
      </c>
    </row>
    <row r="15" spans="1:20" ht="18.95" customHeight="1" x14ac:dyDescent="0.25">
      <c r="B15" s="44" t="s">
        <v>153</v>
      </c>
      <c r="C15" s="44" t="s">
        <v>283</v>
      </c>
      <c r="D15" s="54" t="s">
        <v>51</v>
      </c>
      <c r="E15" s="54" t="s">
        <v>284</v>
      </c>
      <c r="F15" s="71"/>
      <c r="G15" s="72">
        <v>0.46</v>
      </c>
      <c r="H15" s="73">
        <v>1</v>
      </c>
      <c r="I15" s="74">
        <f t="shared" si="0"/>
        <v>0.46</v>
      </c>
      <c r="J15" s="72">
        <v>0</v>
      </c>
      <c r="K15" s="72">
        <v>0</v>
      </c>
      <c r="L15" s="44" t="s">
        <v>285</v>
      </c>
      <c r="M15" s="43"/>
      <c r="N15" s="75">
        <v>0.55000000000000004</v>
      </c>
      <c r="O15" s="62">
        <f>IF(B15="","",COUNTIF(Registre!$G$8:$G$507,B15))</f>
        <v>2</v>
      </c>
      <c r="P15" s="49">
        <f>IF(B15="","",SUMIFS(Registre!$L$8:$L$507,Registre!$G$8:$G$507,B15))</f>
        <v>1861</v>
      </c>
      <c r="Q15" s="50">
        <f>IF(B15="","",SUMIFS(Registre!$Q$8:$Q$507,Registre!$G$8:$G$507,B15))</f>
        <v>856.06000000000017</v>
      </c>
      <c r="R15" s="76">
        <f t="shared" si="1"/>
        <v>1023.5500000000001</v>
      </c>
      <c r="S15" s="44"/>
    </row>
    <row r="16" spans="1:20" ht="18.95" customHeight="1" x14ac:dyDescent="0.25">
      <c r="B16" s="44" t="s">
        <v>132</v>
      </c>
      <c r="C16" s="44" t="s">
        <v>283</v>
      </c>
      <c r="D16" s="54" t="s">
        <v>51</v>
      </c>
      <c r="E16" s="54" t="s">
        <v>284</v>
      </c>
      <c r="F16" s="71"/>
      <c r="G16" s="72">
        <v>0.21</v>
      </c>
      <c r="H16" s="73">
        <v>1</v>
      </c>
      <c r="I16" s="74">
        <f t="shared" si="0"/>
        <v>0.21</v>
      </c>
      <c r="J16" s="72">
        <v>0</v>
      </c>
      <c r="K16" s="72">
        <v>0</v>
      </c>
      <c r="L16" s="44" t="s">
        <v>285</v>
      </c>
      <c r="M16" s="43"/>
      <c r="N16" s="75">
        <v>0.4</v>
      </c>
      <c r="O16" s="62">
        <f>IF(B16="","",COUNTIF(Registre!$G$8:$G$507,B16))</f>
        <v>1</v>
      </c>
      <c r="P16" s="49">
        <f>IF(B16="","",SUMIFS(Registre!$L$8:$L$507,Registre!$G$8:$G$507,B16))</f>
        <v>1920</v>
      </c>
      <c r="Q16" s="50">
        <f>IF(B16="","",SUMIFS(Registre!$Q$8:$Q$507,Registre!$G$8:$G$507,B16))</f>
        <v>403.2</v>
      </c>
      <c r="R16" s="76">
        <f t="shared" si="1"/>
        <v>768</v>
      </c>
      <c r="S16" s="44" t="s">
        <v>288</v>
      </c>
    </row>
    <row r="17" spans="2:19" ht="18.95" customHeight="1" x14ac:dyDescent="0.25">
      <c r="B17" s="44" t="s">
        <v>156</v>
      </c>
      <c r="C17" s="44" t="s">
        <v>283</v>
      </c>
      <c r="D17" s="54" t="s">
        <v>51</v>
      </c>
      <c r="E17" s="54" t="s">
        <v>284</v>
      </c>
      <c r="F17" s="71"/>
      <c r="G17" s="72">
        <v>0.18</v>
      </c>
      <c r="H17" s="73">
        <v>1</v>
      </c>
      <c r="I17" s="74">
        <f t="shared" si="0"/>
        <v>0.18</v>
      </c>
      <c r="J17" s="72">
        <v>0.46</v>
      </c>
      <c r="K17" s="72">
        <v>0</v>
      </c>
      <c r="L17" s="44" t="s">
        <v>285</v>
      </c>
      <c r="M17" s="43"/>
      <c r="N17" s="75">
        <v>0.72</v>
      </c>
      <c r="O17" s="62">
        <f>IF(B17="","",COUNTIF(Registre!$G$8:$G$507,B17))</f>
        <v>2</v>
      </c>
      <c r="P17" s="49">
        <f>IF(B17="","",SUMIFS(Registre!$L$8:$L$507,Registre!$G$8:$G$507,B17))</f>
        <v>2938</v>
      </c>
      <c r="Q17" s="50">
        <f>IF(B17="","",SUMIFS(Registre!$Q$8:$Q$507,Registre!$G$8:$G$507,B17))</f>
        <v>528.84</v>
      </c>
      <c r="R17" s="76">
        <f t="shared" si="1"/>
        <v>2115.36</v>
      </c>
      <c r="S17" s="44" t="s">
        <v>158</v>
      </c>
    </row>
    <row r="18" spans="2:19" ht="18.95" customHeight="1" x14ac:dyDescent="0.25">
      <c r="B18" s="44"/>
      <c r="C18" s="44"/>
      <c r="D18" s="54"/>
      <c r="E18" s="54"/>
      <c r="F18" s="71"/>
      <c r="G18" s="72"/>
      <c r="H18" s="73"/>
      <c r="I18" s="74" t="str">
        <f t="shared" si="0"/>
        <v/>
      </c>
      <c r="J18" s="72"/>
      <c r="K18" s="72"/>
      <c r="L18" s="44"/>
      <c r="M18" s="43"/>
      <c r="N18" s="75"/>
      <c r="O18" s="62" t="str">
        <f>IF(B18="","",COUNTIF(Registre!$G$8:$G$507,B18))</f>
        <v/>
      </c>
      <c r="P18" s="49" t="str">
        <f>IF(B18="","",SUMIFS(Registre!$L$8:$L$507,Registre!$G$8:$G$507,B18))</f>
        <v/>
      </c>
      <c r="Q18" s="50" t="str">
        <f>IF(B18="","",SUMIFS(Registre!$Q$8:$Q$507,Registre!$G$8:$G$507,B18))</f>
        <v/>
      </c>
      <c r="R18" s="76" t="str">
        <f t="shared" si="1"/>
        <v/>
      </c>
      <c r="S18" s="44"/>
    </row>
    <row r="19" spans="2:19" ht="18.95" customHeight="1" x14ac:dyDescent="0.25">
      <c r="B19" s="44"/>
      <c r="C19" s="44"/>
      <c r="D19" s="54"/>
      <c r="E19" s="54"/>
      <c r="F19" s="71"/>
      <c r="G19" s="72"/>
      <c r="H19" s="73"/>
      <c r="I19" s="74" t="str">
        <f t="shared" si="0"/>
        <v/>
      </c>
      <c r="J19" s="72"/>
      <c r="K19" s="72"/>
      <c r="L19" s="44"/>
      <c r="M19" s="43"/>
      <c r="N19" s="75"/>
      <c r="O19" s="62" t="str">
        <f>IF(B19="","",COUNTIF(Registre!$G$8:$G$507,B19))</f>
        <v/>
      </c>
      <c r="P19" s="49" t="str">
        <f>IF(B19="","",SUMIFS(Registre!$L$8:$L$507,Registre!$G$8:$G$507,B19))</f>
        <v/>
      </c>
      <c r="Q19" s="50" t="str">
        <f>IF(B19="","",SUMIFS(Registre!$Q$8:$Q$507,Registre!$G$8:$G$507,B19))</f>
        <v/>
      </c>
      <c r="R19" s="76" t="str">
        <f t="shared" si="1"/>
        <v/>
      </c>
      <c r="S19" s="44"/>
    </row>
    <row r="20" spans="2:19" ht="18.95" customHeight="1" x14ac:dyDescent="0.25">
      <c r="B20" s="44"/>
      <c r="C20" s="44"/>
      <c r="D20" s="54"/>
      <c r="E20" s="54"/>
      <c r="F20" s="71"/>
      <c r="G20" s="72"/>
      <c r="H20" s="73"/>
      <c r="I20" s="74" t="str">
        <f t="shared" si="0"/>
        <v/>
      </c>
      <c r="J20" s="72"/>
      <c r="K20" s="72"/>
      <c r="L20" s="44"/>
      <c r="M20" s="43"/>
      <c r="N20" s="75"/>
      <c r="O20" s="62" t="str">
        <f>IF(B20="","",COUNTIF(Registre!$G$8:$G$507,B20))</f>
        <v/>
      </c>
      <c r="P20" s="49" t="str">
        <f>IF(B20="","",SUMIFS(Registre!$L$8:$L$507,Registre!$G$8:$G$507,B20))</f>
        <v/>
      </c>
      <c r="Q20" s="50" t="str">
        <f>IF(B20="","",SUMIFS(Registre!$Q$8:$Q$507,Registre!$G$8:$G$507,B20))</f>
        <v/>
      </c>
      <c r="R20" s="76" t="str">
        <f t="shared" si="1"/>
        <v/>
      </c>
      <c r="S20" s="44"/>
    </row>
    <row r="21" spans="2:19" ht="18.95" customHeight="1" x14ac:dyDescent="0.25">
      <c r="B21" s="44"/>
      <c r="C21" s="44"/>
      <c r="D21" s="54"/>
      <c r="E21" s="54"/>
      <c r="F21" s="71"/>
      <c r="G21" s="72"/>
      <c r="H21" s="73"/>
      <c r="I21" s="74" t="str">
        <f t="shared" si="0"/>
        <v/>
      </c>
      <c r="J21" s="72"/>
      <c r="K21" s="72"/>
      <c r="L21" s="44"/>
      <c r="M21" s="43"/>
      <c r="N21" s="75"/>
      <c r="O21" s="62" t="str">
        <f>IF(B21="","",COUNTIF(Registre!$G$8:$G$507,B21))</f>
        <v/>
      </c>
      <c r="P21" s="49" t="str">
        <f>IF(B21="","",SUMIFS(Registre!$L$8:$L$507,Registre!$G$8:$G$507,B21))</f>
        <v/>
      </c>
      <c r="Q21" s="50" t="str">
        <f>IF(B21="","",SUMIFS(Registre!$Q$8:$Q$507,Registre!$G$8:$G$507,B21))</f>
        <v/>
      </c>
      <c r="R21" s="76" t="str">
        <f t="shared" si="1"/>
        <v/>
      </c>
      <c r="S21" s="44"/>
    </row>
    <row r="22" spans="2:19" ht="18.95" customHeight="1" x14ac:dyDescent="0.25">
      <c r="B22" s="44"/>
      <c r="C22" s="44"/>
      <c r="D22" s="54"/>
      <c r="E22" s="54"/>
      <c r="F22" s="71"/>
      <c r="G22" s="72"/>
      <c r="H22" s="73"/>
      <c r="I22" s="74" t="str">
        <f t="shared" si="0"/>
        <v/>
      </c>
      <c r="J22" s="72"/>
      <c r="K22" s="72"/>
      <c r="L22" s="44"/>
      <c r="M22" s="43"/>
      <c r="N22" s="75"/>
      <c r="O22" s="62" t="str">
        <f>IF(B22="","",COUNTIF(Registre!$G$8:$G$507,B22))</f>
        <v/>
      </c>
      <c r="P22" s="49" t="str">
        <f>IF(B22="","",SUMIFS(Registre!$L$8:$L$507,Registre!$G$8:$G$507,B22))</f>
        <v/>
      </c>
      <c r="Q22" s="50" t="str">
        <f>IF(B22="","",SUMIFS(Registre!$Q$8:$Q$507,Registre!$G$8:$G$507,B22))</f>
        <v/>
      </c>
      <c r="R22" s="76" t="str">
        <f t="shared" si="1"/>
        <v/>
      </c>
      <c r="S22" s="44"/>
    </row>
    <row r="23" spans="2:19" ht="18.95" customHeight="1" x14ac:dyDescent="0.25">
      <c r="B23" s="44"/>
      <c r="C23" s="44"/>
      <c r="D23" s="54"/>
      <c r="E23" s="54"/>
      <c r="F23" s="71"/>
      <c r="G23" s="72"/>
      <c r="H23" s="73"/>
      <c r="I23" s="74" t="str">
        <f t="shared" si="0"/>
        <v/>
      </c>
      <c r="J23" s="72"/>
      <c r="K23" s="72"/>
      <c r="L23" s="44"/>
      <c r="M23" s="43"/>
      <c r="N23" s="75"/>
      <c r="O23" s="62" t="str">
        <f>IF(B23="","",COUNTIF(Registre!$G$8:$G$507,B23))</f>
        <v/>
      </c>
      <c r="P23" s="49" t="str">
        <f>IF(B23="","",SUMIFS(Registre!$L$8:$L$507,Registre!$G$8:$G$507,B23))</f>
        <v/>
      </c>
      <c r="Q23" s="50" t="str">
        <f>IF(B23="","",SUMIFS(Registre!$Q$8:$Q$507,Registre!$G$8:$G$507,B23))</f>
        <v/>
      </c>
      <c r="R23" s="76" t="str">
        <f t="shared" si="1"/>
        <v/>
      </c>
      <c r="S23" s="44"/>
    </row>
    <row r="24" spans="2:19" ht="18.95" customHeight="1" x14ac:dyDescent="0.25">
      <c r="B24" s="44"/>
      <c r="C24" s="44"/>
      <c r="D24" s="54"/>
      <c r="E24" s="54"/>
      <c r="F24" s="71"/>
      <c r="G24" s="72"/>
      <c r="H24" s="73"/>
      <c r="I24" s="74" t="str">
        <f t="shared" si="0"/>
        <v/>
      </c>
      <c r="J24" s="72"/>
      <c r="K24" s="72"/>
      <c r="L24" s="44"/>
      <c r="M24" s="43"/>
      <c r="N24" s="75"/>
      <c r="O24" s="62" t="str">
        <f>IF(B24="","",COUNTIF(Registre!$G$8:$G$507,B24))</f>
        <v/>
      </c>
      <c r="P24" s="49" t="str">
        <f>IF(B24="","",SUMIFS(Registre!$L$8:$L$507,Registre!$G$8:$G$507,B24))</f>
        <v/>
      </c>
      <c r="Q24" s="50" t="str">
        <f>IF(B24="","",SUMIFS(Registre!$Q$8:$Q$507,Registre!$G$8:$G$507,B24))</f>
        <v/>
      </c>
      <c r="R24" s="76" t="str">
        <f t="shared" si="1"/>
        <v/>
      </c>
      <c r="S24" s="44"/>
    </row>
    <row r="25" spans="2:19" ht="18.95" customHeight="1" x14ac:dyDescent="0.25">
      <c r="B25" s="44"/>
      <c r="C25" s="44"/>
      <c r="D25" s="54"/>
      <c r="E25" s="54"/>
      <c r="F25" s="71"/>
      <c r="G25" s="72"/>
      <c r="H25" s="73"/>
      <c r="I25" s="74" t="str">
        <f t="shared" si="0"/>
        <v/>
      </c>
      <c r="J25" s="72"/>
      <c r="K25" s="72"/>
      <c r="L25" s="44"/>
      <c r="M25" s="43"/>
      <c r="N25" s="75"/>
      <c r="O25" s="62" t="str">
        <f>IF(B25="","",COUNTIF(Registre!$G$8:$G$507,B25))</f>
        <v/>
      </c>
      <c r="P25" s="49" t="str">
        <f>IF(B25="","",SUMIFS(Registre!$L$8:$L$507,Registre!$G$8:$G$507,B25))</f>
        <v/>
      </c>
      <c r="Q25" s="50" t="str">
        <f>IF(B25="","",SUMIFS(Registre!$Q$8:$Q$507,Registre!$G$8:$G$507,B25))</f>
        <v/>
      </c>
      <c r="R25" s="76" t="str">
        <f t="shared" si="1"/>
        <v/>
      </c>
      <c r="S25" s="44"/>
    </row>
    <row r="26" spans="2:19" ht="18.95" customHeight="1" x14ac:dyDescent="0.25">
      <c r="B26" s="44"/>
      <c r="C26" s="44"/>
      <c r="D26" s="54"/>
      <c r="E26" s="54"/>
      <c r="F26" s="71"/>
      <c r="G26" s="72"/>
      <c r="H26" s="73"/>
      <c r="I26" s="74" t="str">
        <f t="shared" si="0"/>
        <v/>
      </c>
      <c r="J26" s="72"/>
      <c r="K26" s="72"/>
      <c r="L26" s="44"/>
      <c r="M26" s="43"/>
      <c r="N26" s="75"/>
      <c r="O26" s="62" t="str">
        <f>IF(B26="","",COUNTIF(Registre!$G$8:$G$507,B26))</f>
        <v/>
      </c>
      <c r="P26" s="49" t="str">
        <f>IF(B26="","",SUMIFS(Registre!$L$8:$L$507,Registre!$G$8:$G$507,B26))</f>
        <v/>
      </c>
      <c r="Q26" s="50" t="str">
        <f>IF(B26="","",SUMIFS(Registre!$Q$8:$Q$507,Registre!$G$8:$G$507,B26))</f>
        <v/>
      </c>
      <c r="R26" s="76" t="str">
        <f t="shared" si="1"/>
        <v/>
      </c>
      <c r="S26" s="44"/>
    </row>
    <row r="27" spans="2:19" ht="18.95" customHeight="1" x14ac:dyDescent="0.25">
      <c r="B27" s="44"/>
      <c r="C27" s="44"/>
      <c r="D27" s="54"/>
      <c r="E27" s="54"/>
      <c r="F27" s="71"/>
      <c r="G27" s="72"/>
      <c r="H27" s="73"/>
      <c r="I27" s="74" t="str">
        <f t="shared" si="0"/>
        <v/>
      </c>
      <c r="J27" s="72"/>
      <c r="K27" s="72"/>
      <c r="L27" s="44"/>
      <c r="M27" s="43"/>
      <c r="N27" s="75"/>
      <c r="O27" s="62" t="str">
        <f>IF(B27="","",COUNTIF(Registre!$G$8:$G$507,B27))</f>
        <v/>
      </c>
      <c r="P27" s="49" t="str">
        <f>IF(B27="","",SUMIFS(Registre!$L$8:$L$507,Registre!$G$8:$G$507,B27))</f>
        <v/>
      </c>
      <c r="Q27" s="50" t="str">
        <f>IF(B27="","",SUMIFS(Registre!$Q$8:$Q$507,Registre!$G$8:$G$507,B27))</f>
        <v/>
      </c>
      <c r="R27" s="76" t="str">
        <f t="shared" si="1"/>
        <v/>
      </c>
      <c r="S27" s="44"/>
    </row>
    <row r="28" spans="2:19" ht="18.95" customHeight="1" x14ac:dyDescent="0.25">
      <c r="B28" s="44"/>
      <c r="C28" s="44"/>
      <c r="D28" s="54"/>
      <c r="E28" s="54"/>
      <c r="F28" s="71"/>
      <c r="G28" s="72"/>
      <c r="H28" s="73"/>
      <c r="I28" s="74" t="str">
        <f t="shared" si="0"/>
        <v/>
      </c>
      <c r="J28" s="72"/>
      <c r="K28" s="72"/>
      <c r="L28" s="44"/>
      <c r="M28" s="43"/>
      <c r="N28" s="75"/>
      <c r="O28" s="62" t="str">
        <f>IF(B28="","",COUNTIF(Registre!$G$8:$G$507,B28))</f>
        <v/>
      </c>
      <c r="P28" s="49" t="str">
        <f>IF(B28="","",SUMIFS(Registre!$L$8:$L$507,Registre!$G$8:$G$507,B28))</f>
        <v/>
      </c>
      <c r="Q28" s="50" t="str">
        <f>IF(B28="","",SUMIFS(Registre!$Q$8:$Q$507,Registre!$G$8:$G$507,B28))</f>
        <v/>
      </c>
      <c r="R28" s="76" t="str">
        <f t="shared" si="1"/>
        <v/>
      </c>
      <c r="S28" s="44"/>
    </row>
    <row r="29" spans="2:19" ht="18.95" customHeight="1" x14ac:dyDescent="0.25">
      <c r="B29" s="44"/>
      <c r="C29" s="44"/>
      <c r="D29" s="54"/>
      <c r="E29" s="54"/>
      <c r="F29" s="71"/>
      <c r="G29" s="72"/>
      <c r="H29" s="73"/>
      <c r="I29" s="74" t="str">
        <f t="shared" si="0"/>
        <v/>
      </c>
      <c r="J29" s="72"/>
      <c r="K29" s="72"/>
      <c r="L29" s="44"/>
      <c r="M29" s="43"/>
      <c r="N29" s="75"/>
      <c r="O29" s="62" t="str">
        <f>IF(B29="","",COUNTIF(Registre!$G$8:$G$507,B29))</f>
        <v/>
      </c>
      <c r="P29" s="49" t="str">
        <f>IF(B29="","",SUMIFS(Registre!$L$8:$L$507,Registre!$G$8:$G$507,B29))</f>
        <v/>
      </c>
      <c r="Q29" s="50" t="str">
        <f>IF(B29="","",SUMIFS(Registre!$Q$8:$Q$507,Registre!$G$8:$G$507,B29))</f>
        <v/>
      </c>
      <c r="R29" s="76" t="str">
        <f t="shared" si="1"/>
        <v/>
      </c>
      <c r="S29" s="44"/>
    </row>
    <row r="30" spans="2:19" ht="18.95" customHeight="1" x14ac:dyDescent="0.25">
      <c r="B30" s="44"/>
      <c r="C30" s="44"/>
      <c r="D30" s="54"/>
      <c r="E30" s="54"/>
      <c r="F30" s="71"/>
      <c r="G30" s="72"/>
      <c r="H30" s="73"/>
      <c r="I30" s="74" t="str">
        <f t="shared" si="0"/>
        <v/>
      </c>
      <c r="J30" s="72"/>
      <c r="K30" s="72"/>
      <c r="L30" s="44"/>
      <c r="M30" s="43"/>
      <c r="N30" s="75"/>
      <c r="O30" s="62" t="str">
        <f>IF(B30="","",COUNTIF(Registre!$G$8:$G$507,B30))</f>
        <v/>
      </c>
      <c r="P30" s="49" t="str">
        <f>IF(B30="","",SUMIFS(Registre!$L$8:$L$507,Registre!$G$8:$G$507,B30))</f>
        <v/>
      </c>
      <c r="Q30" s="50" t="str">
        <f>IF(B30="","",SUMIFS(Registre!$Q$8:$Q$507,Registre!$G$8:$G$507,B30))</f>
        <v/>
      </c>
      <c r="R30" s="76" t="str">
        <f t="shared" si="1"/>
        <v/>
      </c>
      <c r="S30" s="44"/>
    </row>
    <row r="31" spans="2:19" ht="18.95" customHeight="1" x14ac:dyDescent="0.25">
      <c r="B31" s="44"/>
      <c r="C31" s="44"/>
      <c r="D31" s="54"/>
      <c r="E31" s="54"/>
      <c r="F31" s="71"/>
      <c r="G31" s="72"/>
      <c r="H31" s="73"/>
      <c r="I31" s="74" t="str">
        <f t="shared" si="0"/>
        <v/>
      </c>
      <c r="J31" s="72"/>
      <c r="K31" s="72"/>
      <c r="L31" s="44"/>
      <c r="M31" s="43"/>
      <c r="N31" s="75"/>
      <c r="O31" s="62" t="str">
        <f>IF(B31="","",COUNTIF(Registre!$G$8:$G$507,B31))</f>
        <v/>
      </c>
      <c r="P31" s="49" t="str">
        <f>IF(B31="","",SUMIFS(Registre!$L$8:$L$507,Registre!$G$8:$G$507,B31))</f>
        <v/>
      </c>
      <c r="Q31" s="50" t="str">
        <f>IF(B31="","",SUMIFS(Registre!$Q$8:$Q$507,Registre!$G$8:$G$507,B31))</f>
        <v/>
      </c>
      <c r="R31" s="76" t="str">
        <f t="shared" si="1"/>
        <v/>
      </c>
      <c r="S31" s="44"/>
    </row>
    <row r="32" spans="2:19" ht="18.95" customHeight="1" x14ac:dyDescent="0.25">
      <c r="B32" s="44"/>
      <c r="C32" s="44"/>
      <c r="D32" s="54"/>
      <c r="E32" s="54"/>
      <c r="F32" s="71"/>
      <c r="G32" s="72"/>
      <c r="H32" s="73"/>
      <c r="I32" s="74" t="str">
        <f t="shared" si="0"/>
        <v/>
      </c>
      <c r="J32" s="72"/>
      <c r="K32" s="72"/>
      <c r="L32" s="44"/>
      <c r="M32" s="43"/>
      <c r="N32" s="75"/>
      <c r="O32" s="62" t="str">
        <f>IF(B32="","",COUNTIF(Registre!$G$8:$G$507,B32))</f>
        <v/>
      </c>
      <c r="P32" s="49" t="str">
        <f>IF(B32="","",SUMIFS(Registre!$L$8:$L$507,Registre!$G$8:$G$507,B32))</f>
        <v/>
      </c>
      <c r="Q32" s="50" t="str">
        <f>IF(B32="","",SUMIFS(Registre!$Q$8:$Q$507,Registre!$G$8:$G$507,B32))</f>
        <v/>
      </c>
      <c r="R32" s="76" t="str">
        <f t="shared" si="1"/>
        <v/>
      </c>
      <c r="S32" s="44"/>
    </row>
    <row r="33" spans="2:19" ht="18.95" customHeight="1" x14ac:dyDescent="0.25">
      <c r="B33" s="44"/>
      <c r="C33" s="44"/>
      <c r="D33" s="54"/>
      <c r="E33" s="54"/>
      <c r="F33" s="71"/>
      <c r="G33" s="72"/>
      <c r="H33" s="73"/>
      <c r="I33" s="74" t="str">
        <f t="shared" si="0"/>
        <v/>
      </c>
      <c r="J33" s="72"/>
      <c r="K33" s="72"/>
      <c r="L33" s="44"/>
      <c r="M33" s="43"/>
      <c r="N33" s="75"/>
      <c r="O33" s="62" t="str">
        <f>IF(B33="","",COUNTIF(Registre!$G$8:$G$507,B33))</f>
        <v/>
      </c>
      <c r="P33" s="49" t="str">
        <f>IF(B33="","",SUMIFS(Registre!$L$8:$L$507,Registre!$G$8:$G$507,B33))</f>
        <v/>
      </c>
      <c r="Q33" s="50" t="str">
        <f>IF(B33="","",SUMIFS(Registre!$Q$8:$Q$507,Registre!$G$8:$G$507,B33))</f>
        <v/>
      </c>
      <c r="R33" s="76" t="str">
        <f t="shared" si="1"/>
        <v/>
      </c>
      <c r="S33" s="44"/>
    </row>
    <row r="34" spans="2:19" ht="18.95" customHeight="1" x14ac:dyDescent="0.25">
      <c r="B34" s="44"/>
      <c r="C34" s="44"/>
      <c r="D34" s="54"/>
      <c r="E34" s="54"/>
      <c r="F34" s="71"/>
      <c r="G34" s="72"/>
      <c r="H34" s="73"/>
      <c r="I34" s="74" t="str">
        <f t="shared" si="0"/>
        <v/>
      </c>
      <c r="J34" s="72"/>
      <c r="K34" s="72"/>
      <c r="L34" s="44"/>
      <c r="M34" s="43"/>
      <c r="N34" s="75"/>
      <c r="O34" s="62" t="str">
        <f>IF(B34="","",COUNTIF(Registre!$G$8:$G$507,B34))</f>
        <v/>
      </c>
      <c r="P34" s="49" t="str">
        <f>IF(B34="","",SUMIFS(Registre!$L$8:$L$507,Registre!$G$8:$G$507,B34))</f>
        <v/>
      </c>
      <c r="Q34" s="50" t="str">
        <f>IF(B34="","",SUMIFS(Registre!$Q$8:$Q$507,Registre!$G$8:$G$507,B34))</f>
        <v/>
      </c>
      <c r="R34" s="76" t="str">
        <f t="shared" si="1"/>
        <v/>
      </c>
      <c r="S34" s="44"/>
    </row>
    <row r="35" spans="2:19" ht="18.95" customHeight="1" x14ac:dyDescent="0.25">
      <c r="B35" s="44"/>
      <c r="C35" s="44"/>
      <c r="D35" s="54"/>
      <c r="E35" s="54"/>
      <c r="F35" s="71"/>
      <c r="G35" s="72"/>
      <c r="H35" s="73"/>
      <c r="I35" s="74" t="str">
        <f t="shared" si="0"/>
        <v/>
      </c>
      <c r="J35" s="72"/>
      <c r="K35" s="72"/>
      <c r="L35" s="44"/>
      <c r="M35" s="43"/>
      <c r="N35" s="75"/>
      <c r="O35" s="62" t="str">
        <f>IF(B35="","",COUNTIF(Registre!$G$8:$G$507,B35))</f>
        <v/>
      </c>
      <c r="P35" s="49" t="str">
        <f>IF(B35="","",SUMIFS(Registre!$L$8:$L$507,Registre!$G$8:$G$507,B35))</f>
        <v/>
      </c>
      <c r="Q35" s="50" t="str">
        <f>IF(B35="","",SUMIFS(Registre!$Q$8:$Q$507,Registre!$G$8:$G$507,B35))</f>
        <v/>
      </c>
      <c r="R35" s="76" t="str">
        <f t="shared" si="1"/>
        <v/>
      </c>
      <c r="S35" s="44"/>
    </row>
    <row r="36" spans="2:19" ht="18.95" customHeight="1" x14ac:dyDescent="0.25">
      <c r="B36" s="44"/>
      <c r="C36" s="44"/>
      <c r="D36" s="54"/>
      <c r="E36" s="54"/>
      <c r="F36" s="71"/>
      <c r="G36" s="72"/>
      <c r="H36" s="73"/>
      <c r="I36" s="74" t="str">
        <f t="shared" si="0"/>
        <v/>
      </c>
      <c r="J36" s="72"/>
      <c r="K36" s="72"/>
      <c r="L36" s="44"/>
      <c r="M36" s="43"/>
      <c r="N36" s="75"/>
      <c r="O36" s="62" t="str">
        <f>IF(B36="","",COUNTIF(Registre!$G$8:$G$507,B36))</f>
        <v/>
      </c>
      <c r="P36" s="49" t="str">
        <f>IF(B36="","",SUMIFS(Registre!$L$8:$L$507,Registre!$G$8:$G$507,B36))</f>
        <v/>
      </c>
      <c r="Q36" s="50" t="str">
        <f>IF(B36="","",SUMIFS(Registre!$Q$8:$Q$507,Registre!$G$8:$G$507,B36))</f>
        <v/>
      </c>
      <c r="R36" s="76" t="str">
        <f t="shared" si="1"/>
        <v/>
      </c>
      <c r="S36" s="44"/>
    </row>
    <row r="37" spans="2:19" ht="18.95" customHeight="1" x14ac:dyDescent="0.25">
      <c r="B37" s="44"/>
      <c r="C37" s="44"/>
      <c r="D37" s="54"/>
      <c r="E37" s="54"/>
      <c r="F37" s="71"/>
      <c r="G37" s="72"/>
      <c r="H37" s="73"/>
      <c r="I37" s="74" t="str">
        <f t="shared" si="0"/>
        <v/>
      </c>
      <c r="J37" s="72"/>
      <c r="K37" s="72"/>
      <c r="L37" s="44"/>
      <c r="M37" s="43"/>
      <c r="N37" s="75"/>
      <c r="O37" s="62" t="str">
        <f>IF(B37="","",COUNTIF(Registre!$G$8:$G$507,B37))</f>
        <v/>
      </c>
      <c r="P37" s="49" t="str">
        <f>IF(B37="","",SUMIFS(Registre!$L$8:$L$507,Registre!$G$8:$G$507,B37))</f>
        <v/>
      </c>
      <c r="Q37" s="50" t="str">
        <f>IF(B37="","",SUMIFS(Registre!$Q$8:$Q$507,Registre!$G$8:$G$507,B37))</f>
        <v/>
      </c>
      <c r="R37" s="76" t="str">
        <f t="shared" si="1"/>
        <v/>
      </c>
      <c r="S37" s="44"/>
    </row>
    <row r="38" spans="2:19" ht="18.95" customHeight="1" x14ac:dyDescent="0.25">
      <c r="B38" s="44"/>
      <c r="C38" s="44"/>
      <c r="D38" s="54"/>
      <c r="E38" s="54"/>
      <c r="F38" s="71"/>
      <c r="G38" s="72"/>
      <c r="H38" s="73"/>
      <c r="I38" s="74" t="str">
        <f t="shared" si="0"/>
        <v/>
      </c>
      <c r="J38" s="72"/>
      <c r="K38" s="72"/>
      <c r="L38" s="44"/>
      <c r="M38" s="43"/>
      <c r="N38" s="75"/>
      <c r="O38" s="62" t="str">
        <f>IF(B38="","",COUNTIF(Registre!$G$8:$G$507,B38))</f>
        <v/>
      </c>
      <c r="P38" s="49" t="str">
        <f>IF(B38="","",SUMIFS(Registre!$L$8:$L$507,Registre!$G$8:$G$507,B38))</f>
        <v/>
      </c>
      <c r="Q38" s="50" t="str">
        <f>IF(B38="","",SUMIFS(Registre!$Q$8:$Q$507,Registre!$G$8:$G$507,B38))</f>
        <v/>
      </c>
      <c r="R38" s="76" t="str">
        <f t="shared" si="1"/>
        <v/>
      </c>
      <c r="S38" s="44"/>
    </row>
    <row r="39" spans="2:19" ht="18.95" customHeight="1" x14ac:dyDescent="0.25">
      <c r="B39" s="44"/>
      <c r="C39" s="44"/>
      <c r="D39" s="54"/>
      <c r="E39" s="54"/>
      <c r="F39" s="71"/>
      <c r="G39" s="72"/>
      <c r="H39" s="73"/>
      <c r="I39" s="74" t="str">
        <f t="shared" si="0"/>
        <v/>
      </c>
      <c r="J39" s="72"/>
      <c r="K39" s="72"/>
      <c r="L39" s="44"/>
      <c r="M39" s="43"/>
      <c r="N39" s="75"/>
      <c r="O39" s="62" t="str">
        <f>IF(B39="","",COUNTIF(Registre!$G$8:$G$507,B39))</f>
        <v/>
      </c>
      <c r="P39" s="49" t="str">
        <f>IF(B39="","",SUMIFS(Registre!$L$8:$L$507,Registre!$G$8:$G$507,B39))</f>
        <v/>
      </c>
      <c r="Q39" s="50" t="str">
        <f>IF(B39="","",SUMIFS(Registre!$Q$8:$Q$507,Registre!$G$8:$G$507,B39))</f>
        <v/>
      </c>
      <c r="R39" s="76" t="str">
        <f t="shared" si="1"/>
        <v/>
      </c>
      <c r="S39" s="44"/>
    </row>
    <row r="40" spans="2:19" ht="18.95" customHeight="1" x14ac:dyDescent="0.25">
      <c r="B40" s="44"/>
      <c r="C40" s="44"/>
      <c r="D40" s="54"/>
      <c r="E40" s="54"/>
      <c r="F40" s="71"/>
      <c r="G40" s="72"/>
      <c r="H40" s="73"/>
      <c r="I40" s="74" t="str">
        <f t="shared" si="0"/>
        <v/>
      </c>
      <c r="J40" s="72"/>
      <c r="K40" s="72"/>
      <c r="L40" s="44"/>
      <c r="M40" s="43"/>
      <c r="N40" s="75"/>
      <c r="O40" s="62" t="str">
        <f>IF(B40="","",COUNTIF(Registre!$G$8:$G$507,B40))</f>
        <v/>
      </c>
      <c r="P40" s="49" t="str">
        <f>IF(B40="","",SUMIFS(Registre!$L$8:$L$507,Registre!$G$8:$G$507,B40))</f>
        <v/>
      </c>
      <c r="Q40" s="50" t="str">
        <f>IF(B40="","",SUMIFS(Registre!$Q$8:$Q$507,Registre!$G$8:$G$507,B40))</f>
        <v/>
      </c>
      <c r="R40" s="76" t="str">
        <f t="shared" si="1"/>
        <v/>
      </c>
      <c r="S40" s="44"/>
    </row>
    <row r="41" spans="2:19" ht="18.95" customHeight="1" x14ac:dyDescent="0.25">
      <c r="B41" s="44"/>
      <c r="C41" s="44"/>
      <c r="D41" s="54"/>
      <c r="E41" s="54"/>
      <c r="F41" s="71"/>
      <c r="G41" s="72"/>
      <c r="H41" s="73"/>
      <c r="I41" s="74" t="str">
        <f t="shared" si="0"/>
        <v/>
      </c>
      <c r="J41" s="72"/>
      <c r="K41" s="72"/>
      <c r="L41" s="44"/>
      <c r="M41" s="43"/>
      <c r="N41" s="75"/>
      <c r="O41" s="62" t="str">
        <f>IF(B41="","",COUNTIF(Registre!$G$8:$G$507,B41))</f>
        <v/>
      </c>
      <c r="P41" s="49" t="str">
        <f>IF(B41="","",SUMIFS(Registre!$L$8:$L$507,Registre!$G$8:$G$507,B41))</f>
        <v/>
      </c>
      <c r="Q41" s="50" t="str">
        <f>IF(B41="","",SUMIFS(Registre!$Q$8:$Q$507,Registre!$G$8:$G$507,B41))</f>
        <v/>
      </c>
      <c r="R41" s="76" t="str">
        <f t="shared" si="1"/>
        <v/>
      </c>
      <c r="S41" s="44"/>
    </row>
    <row r="42" spans="2:19" ht="18.95" customHeight="1" x14ac:dyDescent="0.25">
      <c r="B42" s="44"/>
      <c r="C42" s="44"/>
      <c r="D42" s="54"/>
      <c r="E42" s="54"/>
      <c r="F42" s="71"/>
      <c r="G42" s="72"/>
      <c r="H42" s="73"/>
      <c r="I42" s="74" t="str">
        <f t="shared" si="0"/>
        <v/>
      </c>
      <c r="J42" s="72"/>
      <c r="K42" s="72"/>
      <c r="L42" s="44"/>
      <c r="M42" s="43"/>
      <c r="N42" s="75"/>
      <c r="O42" s="62" t="str">
        <f>IF(B42="","",COUNTIF(Registre!$G$8:$G$507,B42))</f>
        <v/>
      </c>
      <c r="P42" s="49" t="str">
        <f>IF(B42="","",SUMIFS(Registre!$L$8:$L$507,Registre!$G$8:$G$507,B42))</f>
        <v/>
      </c>
      <c r="Q42" s="50" t="str">
        <f>IF(B42="","",SUMIFS(Registre!$Q$8:$Q$507,Registre!$G$8:$G$507,B42))</f>
        <v/>
      </c>
      <c r="R42" s="76" t="str">
        <f t="shared" si="1"/>
        <v/>
      </c>
      <c r="S42" s="44"/>
    </row>
    <row r="43" spans="2:19" ht="18.95" customHeight="1" x14ac:dyDescent="0.25">
      <c r="B43" s="44"/>
      <c r="C43" s="44"/>
      <c r="D43" s="54"/>
      <c r="E43" s="54"/>
      <c r="F43" s="71"/>
      <c r="G43" s="72"/>
      <c r="H43" s="73"/>
      <c r="I43" s="74" t="str">
        <f t="shared" si="0"/>
        <v/>
      </c>
      <c r="J43" s="72"/>
      <c r="K43" s="72"/>
      <c r="L43" s="44"/>
      <c r="M43" s="43"/>
      <c r="N43" s="75"/>
      <c r="O43" s="62" t="str">
        <f>IF(B43="","",COUNTIF(Registre!$G$8:$G$507,B43))</f>
        <v/>
      </c>
      <c r="P43" s="49" t="str">
        <f>IF(B43="","",SUMIFS(Registre!$L$8:$L$507,Registre!$G$8:$G$507,B43))</f>
        <v/>
      </c>
      <c r="Q43" s="50" t="str">
        <f>IF(B43="","",SUMIFS(Registre!$Q$8:$Q$507,Registre!$G$8:$G$507,B43))</f>
        <v/>
      </c>
      <c r="R43" s="76" t="str">
        <f t="shared" si="1"/>
        <v/>
      </c>
      <c r="S43" s="44"/>
    </row>
    <row r="44" spans="2:19" ht="18.95" customHeight="1" x14ac:dyDescent="0.25">
      <c r="B44" s="44"/>
      <c r="C44" s="44"/>
      <c r="D44" s="54"/>
      <c r="E44" s="54"/>
      <c r="F44" s="71"/>
      <c r="G44" s="72"/>
      <c r="H44" s="73"/>
      <c r="I44" s="74" t="str">
        <f t="shared" si="0"/>
        <v/>
      </c>
      <c r="J44" s="72"/>
      <c r="K44" s="72"/>
      <c r="L44" s="44"/>
      <c r="M44" s="43"/>
      <c r="N44" s="75"/>
      <c r="O44" s="62" t="str">
        <f>IF(B44="","",COUNTIF(Registre!$G$8:$G$507,B44))</f>
        <v/>
      </c>
      <c r="P44" s="49" t="str">
        <f>IF(B44="","",SUMIFS(Registre!$L$8:$L$507,Registre!$G$8:$G$507,B44))</f>
        <v/>
      </c>
      <c r="Q44" s="50" t="str">
        <f>IF(B44="","",SUMIFS(Registre!$Q$8:$Q$507,Registre!$G$8:$G$507,B44))</f>
        <v/>
      </c>
      <c r="R44" s="76" t="str">
        <f t="shared" si="1"/>
        <v/>
      </c>
      <c r="S44" s="44"/>
    </row>
    <row r="45" spans="2:19" ht="18.95" customHeight="1" x14ac:dyDescent="0.25">
      <c r="B45" s="44"/>
      <c r="C45" s="44"/>
      <c r="D45" s="54"/>
      <c r="E45" s="54"/>
      <c r="F45" s="71"/>
      <c r="G45" s="72"/>
      <c r="H45" s="73"/>
      <c r="I45" s="74" t="str">
        <f t="shared" si="0"/>
        <v/>
      </c>
      <c r="J45" s="72"/>
      <c r="K45" s="72"/>
      <c r="L45" s="44"/>
      <c r="M45" s="43"/>
      <c r="N45" s="75"/>
      <c r="O45" s="62" t="str">
        <f>IF(B45="","",COUNTIF(Registre!$G$8:$G$507,B45))</f>
        <v/>
      </c>
      <c r="P45" s="49" t="str">
        <f>IF(B45="","",SUMIFS(Registre!$L$8:$L$507,Registre!$G$8:$G$507,B45))</f>
        <v/>
      </c>
      <c r="Q45" s="50" t="str">
        <f>IF(B45="","",SUMIFS(Registre!$Q$8:$Q$507,Registre!$G$8:$G$507,B45))</f>
        <v/>
      </c>
      <c r="R45" s="76" t="str">
        <f t="shared" si="1"/>
        <v/>
      </c>
      <c r="S45" s="44"/>
    </row>
    <row r="46" spans="2:19" ht="18.95" customHeight="1" x14ac:dyDescent="0.25">
      <c r="B46" s="44"/>
      <c r="C46" s="44"/>
      <c r="D46" s="54"/>
      <c r="E46" s="54"/>
      <c r="F46" s="71"/>
      <c r="G46" s="72"/>
      <c r="H46" s="73"/>
      <c r="I46" s="74" t="str">
        <f t="shared" si="0"/>
        <v/>
      </c>
      <c r="J46" s="72"/>
      <c r="K46" s="72"/>
      <c r="L46" s="44"/>
      <c r="M46" s="43"/>
      <c r="N46" s="75"/>
      <c r="O46" s="62" t="str">
        <f>IF(B46="","",COUNTIF(Registre!$G$8:$G$507,B46))</f>
        <v/>
      </c>
      <c r="P46" s="49" t="str">
        <f>IF(B46="","",SUMIFS(Registre!$L$8:$L$507,Registre!$G$8:$G$507,B46))</f>
        <v/>
      </c>
      <c r="Q46" s="50" t="str">
        <f>IF(B46="","",SUMIFS(Registre!$Q$8:$Q$507,Registre!$G$8:$G$507,B46))</f>
        <v/>
      </c>
      <c r="R46" s="76" t="str">
        <f t="shared" si="1"/>
        <v/>
      </c>
      <c r="S46" s="44"/>
    </row>
    <row r="47" spans="2:19" ht="18.95" customHeight="1" x14ac:dyDescent="0.25">
      <c r="B47" s="44"/>
      <c r="C47" s="44"/>
      <c r="D47" s="54"/>
      <c r="E47" s="54"/>
      <c r="F47" s="71"/>
      <c r="G47" s="72"/>
      <c r="H47" s="73"/>
      <c r="I47" s="74" t="str">
        <f t="shared" si="0"/>
        <v/>
      </c>
      <c r="J47" s="72"/>
      <c r="K47" s="72"/>
      <c r="L47" s="44"/>
      <c r="M47" s="43"/>
      <c r="N47" s="75"/>
      <c r="O47" s="62" t="str">
        <f>IF(B47="","",COUNTIF(Registre!$G$8:$G$507,B47))</f>
        <v/>
      </c>
      <c r="P47" s="49" t="str">
        <f>IF(B47="","",SUMIFS(Registre!$L$8:$L$507,Registre!$G$8:$G$507,B47))</f>
        <v/>
      </c>
      <c r="Q47" s="50" t="str">
        <f>IF(B47="","",SUMIFS(Registre!$Q$8:$Q$507,Registre!$G$8:$G$507,B47))</f>
        <v/>
      </c>
      <c r="R47" s="76" t="str">
        <f t="shared" si="1"/>
        <v/>
      </c>
      <c r="S47" s="44"/>
    </row>
    <row r="48" spans="2:19" ht="21.95" customHeight="1" x14ac:dyDescent="0.25">
      <c r="B48" s="77" t="s">
        <v>289</v>
      </c>
      <c r="C48" s="78"/>
      <c r="D48" s="78"/>
      <c r="E48" s="78"/>
      <c r="F48" s="78"/>
      <c r="G48" s="78"/>
      <c r="H48" s="78"/>
      <c r="I48" s="78"/>
      <c r="J48" s="78"/>
      <c r="K48" s="78"/>
      <c r="L48" s="78"/>
      <c r="M48" s="78"/>
      <c r="N48" s="78"/>
      <c r="O48" s="79">
        <f>SUM(O8:O47)</f>
        <v>29</v>
      </c>
      <c r="P48" s="78"/>
      <c r="Q48" s="80">
        <f>SUM(Q8:Q47)</f>
        <v>26441.754000000001</v>
      </c>
      <c r="R48" s="81">
        <f>SUM(R8:R47)</f>
        <v>11850.735000000001</v>
      </c>
      <c r="S48" s="78"/>
    </row>
  </sheetData>
  <autoFilter ref="B7:S47" xr:uid="{00000000-0009-0000-0000-000003000000}"/>
  <mergeCells count="4">
    <mergeCell ref="M4:N4"/>
    <mergeCell ref="F6:M6"/>
    <mergeCell ref="B6:E6"/>
    <mergeCell ref="N6:R6"/>
  </mergeCells>
  <conditionalFormatting sqref="B8:B47">
    <cfRule type="expression" dxfId="20" priority="2">
      <formula>AND($B8&lt;&gt;"",COUNTIF($B$8:$B$47,$B8)&gt;1)</formula>
    </cfRule>
  </conditionalFormatting>
  <conditionalFormatting sqref="G8:H47">
    <cfRule type="expression" dxfId="19" priority="1">
      <formula>AND($B8&lt;&gt;"",G8="")</formula>
    </cfRule>
  </conditionalFormatting>
  <dataValidations count="9">
    <dataValidation type="list" allowBlank="1" showInputMessage="1" showErrorMessage="1" errorTitle="Valeur non prévue" error="Choisissez une valeur dans la liste déroulante." promptTitle="Catégorie" prompt="« Effluent d'élevage » : l'azote est compté dans le plafond par hectare de SAU." sqref="C8:C47" xr:uid="{00000000-0002-0000-0300-000000000000}">
      <formula1>ListeCategories</formula1>
    </dataValidation>
    <dataValidation type="list" allowBlank="1" showInputMessage="1" showErrorMessage="1" errorTitle="Valeur non prévue" error="Choisissez une valeur dans la liste déroulante." promptTitle="Type de fertilisant" prompt="0 : C/N très élevé, peu d'azote disponible_x000a_Ia : fumiers compacts, composts d'effluents_x000a_Ib : autres produits organiques à C/N élevé_x000a_II : lisiers, fientes, digestats…_x000a_III : engrais minéraux" sqref="D8:D47" xr:uid="{00000000-0002-0000-0300-000001000000}">
      <formula1>ListeTypes</formula1>
    </dataValidation>
    <dataValidation type="list" allowBlank="1" showErrorMessage="1" errorTitle="Valeur non prévue" error="Choisissez une valeur dans la liste déroulante." sqref="E8:E47" xr:uid="{00000000-0002-0000-0300-000002000000}">
      <formula1>ListeUnites</formula1>
    </dataValidation>
    <dataValidation type="list" allowBlank="1" showErrorMessage="1" errorTitle="Valeur non prévue" error="Choisissez une valeur dans la liste déroulante." sqref="L8:L47" xr:uid="{00000000-0002-0000-0300-000003000000}">
      <formula1>ListeSource</formula1>
    </dataValidation>
    <dataValidation type="decimal" allowBlank="1" showErrorMessage="1" errorTitle="Valeur non valide" error="Matière sèche en % (0 à 100)." sqref="F8:F47" xr:uid="{00000000-0002-0000-0300-000004000000}">
      <formula1>0</formula1>
      <formula2>100</formula2>
    </dataValidation>
    <dataValidation type="decimal" allowBlank="1" showErrorMessage="1" errorTitle="Valeur non valide" error="Saisissez un nombre positif." sqref="G8:G47 J8:K47" xr:uid="{00000000-0002-0000-0300-000005000000}">
      <formula1>0</formula1>
      <formula2>1000</formula2>
    </dataValidation>
    <dataValidation type="decimal" allowBlank="1" showInputMessage="1" showErrorMessage="1" errorTitle="Valeur non valide" error="Le coefficient Keq est compris entre 0 et 1." promptTitle="Coefficient Keq" prompt="Part de l'azote total aussi efficace qu'un engrais minéral (1 pour les engrais minéraux). Reprenez la valeur de votre référentiel régional." sqref="H8:H47" xr:uid="{00000000-0002-0000-0300-000006000000}">
      <formula1>0</formula1>
      <formula2>1</formula2>
    </dataValidation>
    <dataValidation type="decimal" allowBlank="1" showErrorMessage="1" errorTitle="Valeur non valide" error="Saisissez un nombre positif." sqref="N8:N47" xr:uid="{00000000-0002-0000-0300-000008000000}">
      <formula1>0</formula1>
      <formula2>100000</formula2>
    </dataValidation>
    <dataValidation type="date" allowBlank="1" showErrorMessage="1" errorTitle="Date non valide" error="Saisissez une date au format jj/mm/aaaa." sqref="M8:M47" xr:uid="{00000000-0002-0000-0300-000009000000}">
      <formula1>36526</formula1>
      <formula2>73051</formula2>
    </dataValidation>
  </dataValidations>
  <printOptions horizontalCentered="1"/>
  <pageMargins left="0.35" right="0.35" top="0.45" bottom="0.55000000000000004" header="0.5" footer="0.5"/>
  <pageSetup paperSize="9" fitToHeight="0" orientation="landscape"/>
  <headerFooter>
    <oddFooter>&amp;L&amp;8 &amp;K7B8794Cahier d'épandage – &amp;A&amp;R&amp;8 &amp;K7B8794Page &amp;P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2A18A"/>
    <pageSetUpPr fitToPage="1"/>
  </sheetPr>
  <dimension ref="A1:N77"/>
  <sheetViews>
    <sheetView showGridLines="0" workbookViewId="0"/>
  </sheetViews>
  <sheetFormatPr baseColWidth="10" defaultColWidth="9.140625" defaultRowHeight="15" x14ac:dyDescent="0.25"/>
  <cols>
    <col min="1" max="1" width="2" customWidth="1"/>
    <col min="2" max="2" width="22" customWidth="1"/>
    <col min="3" max="3" width="11" customWidth="1"/>
    <col min="4" max="4" width="34" customWidth="1"/>
    <col min="5" max="5" width="26" customWidth="1"/>
    <col min="6" max="6" width="25" customWidth="1"/>
    <col min="7" max="7" width="26" customWidth="1"/>
    <col min="8" max="8" width="11" customWidth="1"/>
    <col min="9" max="9" width="8" customWidth="1"/>
    <col min="10" max="10" width="12" customWidth="1"/>
    <col min="11" max="11" width="26" customWidth="1"/>
    <col min="12" max="12" width="10" customWidth="1"/>
    <col min="13" max="13" width="36" customWidth="1"/>
    <col min="14" max="14" width="2" customWidth="1"/>
  </cols>
  <sheetData>
    <row r="1" spans="1:14" ht="30" customHeight="1" x14ac:dyDescent="0.35">
      <c r="A1" s="1"/>
      <c r="B1" s="33" t="s">
        <v>290</v>
      </c>
      <c r="C1" s="1"/>
      <c r="D1" s="1"/>
      <c r="E1" s="1"/>
      <c r="F1" s="1"/>
      <c r="G1" s="1"/>
      <c r="H1" s="1"/>
      <c r="I1" s="1"/>
      <c r="J1" s="1"/>
      <c r="K1" s="1"/>
      <c r="L1" s="1"/>
      <c r="M1" s="34" t="str">
        <f>RaisonSociale</f>
        <v>SCEA du Val de Mérienne</v>
      </c>
      <c r="N1" s="1"/>
    </row>
    <row r="2" spans="1:14" ht="20.100000000000001" customHeight="1" x14ac:dyDescent="0.25">
      <c r="A2" s="1"/>
      <c r="B2" s="4" t="s">
        <v>291</v>
      </c>
      <c r="C2" s="1"/>
      <c r="D2" s="1"/>
      <c r="E2" s="1"/>
      <c r="F2" s="1"/>
      <c r="G2" s="1"/>
      <c r="H2" s="1"/>
      <c r="I2" s="1"/>
      <c r="J2" s="1"/>
      <c r="K2" s="1"/>
      <c r="L2" s="1"/>
      <c r="M2" s="35" t="str">
        <f>"Campagne "&amp;(AnneeRecolte-1)&amp;"-"&amp;AnneeRecolte&amp;"  ·  récolte "&amp;AnneeRecolte</f>
        <v>Campagne 2026-2027  ·  récolte 2027</v>
      </c>
      <c r="N2" s="1"/>
    </row>
    <row r="3" spans="1:14" ht="3" customHeight="1" x14ac:dyDescent="0.25">
      <c r="A3" s="6"/>
      <c r="B3" s="6"/>
      <c r="C3" s="6"/>
      <c r="D3" s="6"/>
      <c r="E3" s="6"/>
      <c r="F3" s="6"/>
      <c r="G3" s="6"/>
      <c r="H3" s="6"/>
      <c r="I3" s="6"/>
      <c r="J3" s="6"/>
      <c r="K3" s="6"/>
      <c r="L3" s="6"/>
      <c r="M3" s="6"/>
      <c r="N3" s="6"/>
    </row>
    <row r="4" spans="1:14" ht="21.95" customHeight="1" x14ac:dyDescent="0.25">
      <c r="B4" s="36" t="s">
        <v>292</v>
      </c>
      <c r="H4" s="37" t="s">
        <v>56</v>
      </c>
      <c r="I4" s="155" t="s">
        <v>57</v>
      </c>
      <c r="J4" s="156"/>
      <c r="K4" s="156"/>
    </row>
    <row r="5" spans="1:14" ht="8.1" customHeight="1" x14ac:dyDescent="0.25"/>
    <row r="6" spans="1:14" ht="20.100000000000001" customHeight="1" x14ac:dyDescent="0.25">
      <c r="B6" s="164" t="s">
        <v>293</v>
      </c>
      <c r="C6" s="165"/>
      <c r="D6" s="82" t="s">
        <v>294</v>
      </c>
      <c r="E6" s="164" t="s">
        <v>295</v>
      </c>
      <c r="F6" s="165"/>
      <c r="G6" s="164" t="s">
        <v>296</v>
      </c>
      <c r="H6" s="166"/>
      <c r="I6" s="166"/>
      <c r="J6" s="165"/>
      <c r="K6" s="164" t="s">
        <v>297</v>
      </c>
      <c r="L6" s="166"/>
      <c r="M6" s="165"/>
    </row>
    <row r="7" spans="1:14" ht="32.1" customHeight="1" x14ac:dyDescent="0.25">
      <c r="B7" s="158">
        <f>SUMIFS($J$12:$J$51,$D$12:$D$51,"Réception (import)")</f>
        <v>2897.35</v>
      </c>
      <c r="C7" s="159"/>
      <c r="D7" s="83">
        <f>SUMIFS($J$12:$J$51,$D$12:$D$51,"Cession (export)")</f>
        <v>1000</v>
      </c>
      <c r="E7" s="158">
        <f>SUMIFS($J$12:$J$51,$D$12:$D$51,"Épandage sur terres mises à disposition")</f>
        <v>1044</v>
      </c>
      <c r="F7" s="159"/>
      <c r="G7" s="162">
        <f>COUNTIFS($B$12:$B$51,"?*",$L$12:$L$51,"&lt;&gt;Oui")</f>
        <v>1</v>
      </c>
      <c r="H7" s="163"/>
      <c r="I7" s="163"/>
      <c r="J7" s="159"/>
      <c r="K7" s="162">
        <f>COUNTIFS($C$55:$C$74,"&gt;0",$G$55:$G$74,"")</f>
        <v>1</v>
      </c>
      <c r="L7" s="163"/>
      <c r="M7" s="159"/>
    </row>
    <row r="8" spans="1:14" ht="9.9499999999999993" customHeight="1" x14ac:dyDescent="0.25"/>
    <row r="10" spans="1:14" ht="26.1" customHeight="1" x14ac:dyDescent="0.25">
      <c r="B10" s="84" t="s">
        <v>298</v>
      </c>
      <c r="C10" s="85"/>
      <c r="D10" s="85"/>
      <c r="E10" s="85"/>
      <c r="F10" s="85"/>
      <c r="G10" s="85"/>
      <c r="H10" s="85"/>
      <c r="I10" s="85"/>
      <c r="J10" s="85"/>
      <c r="K10" s="85"/>
      <c r="L10" s="85"/>
      <c r="M10" s="85"/>
    </row>
    <row r="11" spans="1:14" ht="33.950000000000003" customHeight="1" x14ac:dyDescent="0.25">
      <c r="B11" s="40" t="s">
        <v>299</v>
      </c>
      <c r="C11" s="40" t="s">
        <v>300</v>
      </c>
      <c r="D11" s="40" t="s">
        <v>301</v>
      </c>
      <c r="E11" s="40" t="s">
        <v>302</v>
      </c>
      <c r="F11" s="40" t="s">
        <v>303</v>
      </c>
      <c r="G11" s="40" t="s">
        <v>69</v>
      </c>
      <c r="H11" s="40" t="s">
        <v>304</v>
      </c>
      <c r="I11" s="39" t="s">
        <v>73</v>
      </c>
      <c r="J11" s="39" t="s">
        <v>305</v>
      </c>
      <c r="K11" s="40" t="s">
        <v>306</v>
      </c>
      <c r="L11" s="40" t="s">
        <v>307</v>
      </c>
      <c r="M11" s="40" t="s">
        <v>272</v>
      </c>
    </row>
    <row r="12" spans="1:14" ht="18.95" customHeight="1" x14ac:dyDescent="0.25">
      <c r="B12" s="44" t="s">
        <v>308</v>
      </c>
      <c r="C12" s="43">
        <v>46271</v>
      </c>
      <c r="D12" s="44" t="s">
        <v>309</v>
      </c>
      <c r="E12" s="44" t="s">
        <v>310</v>
      </c>
      <c r="F12" s="44" t="s">
        <v>311</v>
      </c>
      <c r="G12" s="44" t="s">
        <v>115</v>
      </c>
      <c r="H12" s="47">
        <v>250</v>
      </c>
      <c r="I12" s="46" t="str">
        <f>IF(G12="","",IFERROR(INDEX(Fertilisants!$E$8:$E$47,MATCH(G12,Fertilisants!$B$8:$B$47,0))&amp;"",""))</f>
        <v>m³</v>
      </c>
      <c r="J12" s="50">
        <f>IF(OR(G12="",H12=""),"",H12*N(IFERROR(INDEX(Fertilisants!$G$8:$G$47,MATCH(G12,Fertilisants!$B$8:$B$47,0)),0)))</f>
        <v>1000</v>
      </c>
      <c r="K12" s="44" t="s">
        <v>312</v>
      </c>
      <c r="L12" s="54" t="s">
        <v>199</v>
      </c>
      <c r="M12" s="44"/>
    </row>
    <row r="13" spans="1:14" ht="18.95" customHeight="1" x14ac:dyDescent="0.25">
      <c r="B13" s="44" t="s">
        <v>313</v>
      </c>
      <c r="C13" s="43">
        <v>46307</v>
      </c>
      <c r="D13" s="44" t="s">
        <v>314</v>
      </c>
      <c r="E13" s="44" t="s">
        <v>315</v>
      </c>
      <c r="F13" s="44" t="s">
        <v>316</v>
      </c>
      <c r="G13" s="44" t="s">
        <v>108</v>
      </c>
      <c r="H13" s="47">
        <v>180</v>
      </c>
      <c r="I13" s="46" t="str">
        <f>IF(G13="","",IFERROR(INDEX(Fertilisants!$E$8:$E$47,MATCH(G13,Fertilisants!$B$8:$B$47,0))&amp;"",""))</f>
        <v>t</v>
      </c>
      <c r="J13" s="50">
        <f>IF(OR(G13="",H13=""),"",H13*N(IFERROR(INDEX(Fertilisants!$G$8:$G$47,MATCH(G13,Fertilisants!$B$8:$B$47,0)),0)))</f>
        <v>1044</v>
      </c>
      <c r="K13" s="44" t="s">
        <v>317</v>
      </c>
      <c r="L13" s="54" t="s">
        <v>199</v>
      </c>
      <c r="M13" s="44" t="s">
        <v>318</v>
      </c>
    </row>
    <row r="14" spans="1:14" ht="18.95" customHeight="1" x14ac:dyDescent="0.25">
      <c r="B14" s="44" t="s">
        <v>319</v>
      </c>
      <c r="C14" s="43">
        <v>46456</v>
      </c>
      <c r="D14" s="44" t="s">
        <v>320</v>
      </c>
      <c r="E14" s="44" t="s">
        <v>321</v>
      </c>
      <c r="F14" s="44" t="s">
        <v>322</v>
      </c>
      <c r="G14" s="44" t="s">
        <v>147</v>
      </c>
      <c r="H14" s="47">
        <v>22.35</v>
      </c>
      <c r="I14" s="46" t="str">
        <f>IF(G14="","",IFERROR(INDEX(Fertilisants!$E$8:$E$47,MATCH(G14,Fertilisants!$B$8:$B$47,0))&amp;"",""))</f>
        <v>t</v>
      </c>
      <c r="J14" s="50">
        <f>IF(OR(G14="",H14=""),"",H14*N(IFERROR(INDEX(Fertilisants!$G$8:$G$47,MATCH(G14,Fertilisants!$B$8:$B$47,0)),0)))</f>
        <v>536.40000000000009</v>
      </c>
      <c r="K14" s="44" t="s">
        <v>124</v>
      </c>
      <c r="L14" s="54" t="s">
        <v>199</v>
      </c>
      <c r="M14" s="44" t="s">
        <v>323</v>
      </c>
    </row>
    <row r="15" spans="1:14" ht="18.95" customHeight="1" x14ac:dyDescent="0.25">
      <c r="B15" s="44" t="s">
        <v>324</v>
      </c>
      <c r="C15" s="43">
        <v>46452</v>
      </c>
      <c r="D15" s="44" t="s">
        <v>320</v>
      </c>
      <c r="E15" s="44" t="s">
        <v>325</v>
      </c>
      <c r="F15" s="44" t="s">
        <v>316</v>
      </c>
      <c r="G15" s="44" t="s">
        <v>142</v>
      </c>
      <c r="H15" s="47">
        <v>262</v>
      </c>
      <c r="I15" s="46" t="str">
        <f>IF(G15="","",IFERROR(INDEX(Fertilisants!$E$8:$E$47,MATCH(G15,Fertilisants!$B$8:$B$47,0))&amp;"",""))</f>
        <v>m³</v>
      </c>
      <c r="J15" s="50">
        <f>IF(OR(G15="",H15=""),"",H15*N(IFERROR(INDEX(Fertilisants!$G$8:$G$47,MATCH(G15,Fertilisants!$B$8:$B$47,0)),0)))</f>
        <v>1205.1999999999998</v>
      </c>
      <c r="K15" s="44" t="s">
        <v>106</v>
      </c>
      <c r="L15" s="54" t="s">
        <v>199</v>
      </c>
      <c r="M15" s="44"/>
    </row>
    <row r="16" spans="1:14" ht="18.95" customHeight="1" x14ac:dyDescent="0.25">
      <c r="B16" s="44" t="s">
        <v>326</v>
      </c>
      <c r="C16" s="43">
        <v>46466</v>
      </c>
      <c r="D16" s="44" t="s">
        <v>320</v>
      </c>
      <c r="E16" s="44" t="s">
        <v>325</v>
      </c>
      <c r="F16" s="44" t="s">
        <v>316</v>
      </c>
      <c r="G16" s="44" t="s">
        <v>142</v>
      </c>
      <c r="H16" s="47">
        <v>251.25</v>
      </c>
      <c r="I16" s="46" t="str">
        <f>IF(G16="","",IFERROR(INDEX(Fertilisants!$E$8:$E$47,MATCH(G16,Fertilisants!$B$8:$B$47,0))&amp;"",""))</f>
        <v>m³</v>
      </c>
      <c r="J16" s="50">
        <f>IF(OR(G16="",H16=""),"",H16*N(IFERROR(INDEX(Fertilisants!$G$8:$G$47,MATCH(G16,Fertilisants!$B$8:$B$47,0)),0)))</f>
        <v>1155.75</v>
      </c>
      <c r="K16" s="44" t="s">
        <v>137</v>
      </c>
      <c r="L16" s="54" t="s">
        <v>236</v>
      </c>
      <c r="M16" s="44" t="s">
        <v>327</v>
      </c>
    </row>
    <row r="17" spans="2:13" ht="18.95" customHeight="1" x14ac:dyDescent="0.25">
      <c r="B17" s="44"/>
      <c r="C17" s="43"/>
      <c r="D17" s="44"/>
      <c r="E17" s="44"/>
      <c r="F17" s="44"/>
      <c r="G17" s="44"/>
      <c r="H17" s="47"/>
      <c r="I17" s="46" t="str">
        <f>IF(G17="","",IFERROR(INDEX(Fertilisants!$E$8:$E$47,MATCH(G17,Fertilisants!$B$8:$B$47,0))&amp;"",""))</f>
        <v/>
      </c>
      <c r="J17" s="50" t="str">
        <f>IF(OR(G17="",H17=""),"",H17*N(IFERROR(INDEX(Fertilisants!$G$8:$G$47,MATCH(G17,Fertilisants!$B$8:$B$47,0)),0)))</f>
        <v/>
      </c>
      <c r="K17" s="44"/>
      <c r="L17" s="54"/>
      <c r="M17" s="44"/>
    </row>
    <row r="18" spans="2:13" ht="18.95" customHeight="1" x14ac:dyDescent="0.25">
      <c r="B18" s="44"/>
      <c r="C18" s="43"/>
      <c r="D18" s="44"/>
      <c r="E18" s="44"/>
      <c r="F18" s="44"/>
      <c r="G18" s="44"/>
      <c r="H18" s="47"/>
      <c r="I18" s="46" t="str">
        <f>IF(G18="","",IFERROR(INDEX(Fertilisants!$E$8:$E$47,MATCH(G18,Fertilisants!$B$8:$B$47,0))&amp;"",""))</f>
        <v/>
      </c>
      <c r="J18" s="50" t="str">
        <f>IF(OR(G18="",H18=""),"",H18*N(IFERROR(INDEX(Fertilisants!$G$8:$G$47,MATCH(G18,Fertilisants!$B$8:$B$47,0)),0)))</f>
        <v/>
      </c>
      <c r="K18" s="44"/>
      <c r="L18" s="54"/>
      <c r="M18" s="44"/>
    </row>
    <row r="19" spans="2:13" ht="18.95" customHeight="1" x14ac:dyDescent="0.25">
      <c r="B19" s="44"/>
      <c r="C19" s="43"/>
      <c r="D19" s="44"/>
      <c r="E19" s="44"/>
      <c r="F19" s="44"/>
      <c r="G19" s="44"/>
      <c r="H19" s="47"/>
      <c r="I19" s="46" t="str">
        <f>IF(G19="","",IFERROR(INDEX(Fertilisants!$E$8:$E$47,MATCH(G19,Fertilisants!$B$8:$B$47,0))&amp;"",""))</f>
        <v/>
      </c>
      <c r="J19" s="50" t="str">
        <f>IF(OR(G19="",H19=""),"",H19*N(IFERROR(INDEX(Fertilisants!$G$8:$G$47,MATCH(G19,Fertilisants!$B$8:$B$47,0)),0)))</f>
        <v/>
      </c>
      <c r="K19" s="44"/>
      <c r="L19" s="54"/>
      <c r="M19" s="44"/>
    </row>
    <row r="20" spans="2:13" ht="18.95" customHeight="1" x14ac:dyDescent="0.25">
      <c r="B20" s="44"/>
      <c r="C20" s="43"/>
      <c r="D20" s="44"/>
      <c r="E20" s="44"/>
      <c r="F20" s="44"/>
      <c r="G20" s="44"/>
      <c r="H20" s="47"/>
      <c r="I20" s="46" t="str">
        <f>IF(G20="","",IFERROR(INDEX(Fertilisants!$E$8:$E$47,MATCH(G20,Fertilisants!$B$8:$B$47,0))&amp;"",""))</f>
        <v/>
      </c>
      <c r="J20" s="50" t="str">
        <f>IF(OR(G20="",H20=""),"",H20*N(IFERROR(INDEX(Fertilisants!$G$8:$G$47,MATCH(G20,Fertilisants!$B$8:$B$47,0)),0)))</f>
        <v/>
      </c>
      <c r="K20" s="44"/>
      <c r="L20" s="54"/>
      <c r="M20" s="44"/>
    </row>
    <row r="21" spans="2:13" ht="18.95" customHeight="1" x14ac:dyDescent="0.25">
      <c r="B21" s="44"/>
      <c r="C21" s="43"/>
      <c r="D21" s="44"/>
      <c r="E21" s="44"/>
      <c r="F21" s="44"/>
      <c r="G21" s="44"/>
      <c r="H21" s="47"/>
      <c r="I21" s="46" t="str">
        <f>IF(G21="","",IFERROR(INDEX(Fertilisants!$E$8:$E$47,MATCH(G21,Fertilisants!$B$8:$B$47,0))&amp;"",""))</f>
        <v/>
      </c>
      <c r="J21" s="50" t="str">
        <f>IF(OR(G21="",H21=""),"",H21*N(IFERROR(INDEX(Fertilisants!$G$8:$G$47,MATCH(G21,Fertilisants!$B$8:$B$47,0)),0)))</f>
        <v/>
      </c>
      <c r="K21" s="44"/>
      <c r="L21" s="54"/>
      <c r="M21" s="44"/>
    </row>
    <row r="22" spans="2:13" ht="18.95" customHeight="1" x14ac:dyDescent="0.25">
      <c r="B22" s="44"/>
      <c r="C22" s="43"/>
      <c r="D22" s="44"/>
      <c r="E22" s="44"/>
      <c r="F22" s="44"/>
      <c r="G22" s="44"/>
      <c r="H22" s="47"/>
      <c r="I22" s="46" t="str">
        <f>IF(G22="","",IFERROR(INDEX(Fertilisants!$E$8:$E$47,MATCH(G22,Fertilisants!$B$8:$B$47,0))&amp;"",""))</f>
        <v/>
      </c>
      <c r="J22" s="50" t="str">
        <f>IF(OR(G22="",H22=""),"",H22*N(IFERROR(INDEX(Fertilisants!$G$8:$G$47,MATCH(G22,Fertilisants!$B$8:$B$47,0)),0)))</f>
        <v/>
      </c>
      <c r="K22" s="44"/>
      <c r="L22" s="54"/>
      <c r="M22" s="44"/>
    </row>
    <row r="23" spans="2:13" ht="18.95" customHeight="1" x14ac:dyDescent="0.25">
      <c r="B23" s="44"/>
      <c r="C23" s="43"/>
      <c r="D23" s="44"/>
      <c r="E23" s="44"/>
      <c r="F23" s="44"/>
      <c r="G23" s="44"/>
      <c r="H23" s="47"/>
      <c r="I23" s="46" t="str">
        <f>IF(G23="","",IFERROR(INDEX(Fertilisants!$E$8:$E$47,MATCH(G23,Fertilisants!$B$8:$B$47,0))&amp;"",""))</f>
        <v/>
      </c>
      <c r="J23" s="50" t="str">
        <f>IF(OR(G23="",H23=""),"",H23*N(IFERROR(INDEX(Fertilisants!$G$8:$G$47,MATCH(G23,Fertilisants!$B$8:$B$47,0)),0)))</f>
        <v/>
      </c>
      <c r="K23" s="44"/>
      <c r="L23" s="54"/>
      <c r="M23" s="44"/>
    </row>
    <row r="24" spans="2:13" ht="18.95" customHeight="1" x14ac:dyDescent="0.25">
      <c r="B24" s="44"/>
      <c r="C24" s="43"/>
      <c r="D24" s="44"/>
      <c r="E24" s="44"/>
      <c r="F24" s="44"/>
      <c r="G24" s="44"/>
      <c r="H24" s="47"/>
      <c r="I24" s="46" t="str">
        <f>IF(G24="","",IFERROR(INDEX(Fertilisants!$E$8:$E$47,MATCH(G24,Fertilisants!$B$8:$B$47,0))&amp;"",""))</f>
        <v/>
      </c>
      <c r="J24" s="50" t="str">
        <f>IF(OR(G24="",H24=""),"",H24*N(IFERROR(INDEX(Fertilisants!$G$8:$G$47,MATCH(G24,Fertilisants!$B$8:$B$47,0)),0)))</f>
        <v/>
      </c>
      <c r="K24" s="44"/>
      <c r="L24" s="54"/>
      <c r="M24" s="44"/>
    </row>
    <row r="25" spans="2:13" ht="18.95" customHeight="1" x14ac:dyDescent="0.25">
      <c r="B25" s="44"/>
      <c r="C25" s="43"/>
      <c r="D25" s="44"/>
      <c r="E25" s="44"/>
      <c r="F25" s="44"/>
      <c r="G25" s="44"/>
      <c r="H25" s="47"/>
      <c r="I25" s="46" t="str">
        <f>IF(G25="","",IFERROR(INDEX(Fertilisants!$E$8:$E$47,MATCH(G25,Fertilisants!$B$8:$B$47,0))&amp;"",""))</f>
        <v/>
      </c>
      <c r="J25" s="50" t="str">
        <f>IF(OR(G25="",H25=""),"",H25*N(IFERROR(INDEX(Fertilisants!$G$8:$G$47,MATCH(G25,Fertilisants!$B$8:$B$47,0)),0)))</f>
        <v/>
      </c>
      <c r="K25" s="44"/>
      <c r="L25" s="54"/>
      <c r="M25" s="44"/>
    </row>
    <row r="26" spans="2:13" ht="18.95" customHeight="1" x14ac:dyDescent="0.25">
      <c r="B26" s="44"/>
      <c r="C26" s="43"/>
      <c r="D26" s="44"/>
      <c r="E26" s="44"/>
      <c r="F26" s="44"/>
      <c r="G26" s="44"/>
      <c r="H26" s="47"/>
      <c r="I26" s="46" t="str">
        <f>IF(G26="","",IFERROR(INDEX(Fertilisants!$E$8:$E$47,MATCH(G26,Fertilisants!$B$8:$B$47,0))&amp;"",""))</f>
        <v/>
      </c>
      <c r="J26" s="50" t="str">
        <f>IF(OR(G26="",H26=""),"",H26*N(IFERROR(INDEX(Fertilisants!$G$8:$G$47,MATCH(G26,Fertilisants!$B$8:$B$47,0)),0)))</f>
        <v/>
      </c>
      <c r="K26" s="44"/>
      <c r="L26" s="54"/>
      <c r="M26" s="44"/>
    </row>
    <row r="27" spans="2:13" ht="18.95" customHeight="1" x14ac:dyDescent="0.25">
      <c r="B27" s="44"/>
      <c r="C27" s="43"/>
      <c r="D27" s="44"/>
      <c r="E27" s="44"/>
      <c r="F27" s="44"/>
      <c r="G27" s="44"/>
      <c r="H27" s="47"/>
      <c r="I27" s="46" t="str">
        <f>IF(G27="","",IFERROR(INDEX(Fertilisants!$E$8:$E$47,MATCH(G27,Fertilisants!$B$8:$B$47,0))&amp;"",""))</f>
        <v/>
      </c>
      <c r="J27" s="50" t="str">
        <f>IF(OR(G27="",H27=""),"",H27*N(IFERROR(INDEX(Fertilisants!$G$8:$G$47,MATCH(G27,Fertilisants!$B$8:$B$47,0)),0)))</f>
        <v/>
      </c>
      <c r="K27" s="44"/>
      <c r="L27" s="54"/>
      <c r="M27" s="44"/>
    </row>
    <row r="28" spans="2:13" ht="18.95" customHeight="1" x14ac:dyDescent="0.25">
      <c r="B28" s="44"/>
      <c r="C28" s="43"/>
      <c r="D28" s="44"/>
      <c r="E28" s="44"/>
      <c r="F28" s="44"/>
      <c r="G28" s="44"/>
      <c r="H28" s="47"/>
      <c r="I28" s="46" t="str">
        <f>IF(G28="","",IFERROR(INDEX(Fertilisants!$E$8:$E$47,MATCH(G28,Fertilisants!$B$8:$B$47,0))&amp;"",""))</f>
        <v/>
      </c>
      <c r="J28" s="50" t="str">
        <f>IF(OR(G28="",H28=""),"",H28*N(IFERROR(INDEX(Fertilisants!$G$8:$G$47,MATCH(G28,Fertilisants!$B$8:$B$47,0)),0)))</f>
        <v/>
      </c>
      <c r="K28" s="44"/>
      <c r="L28" s="54"/>
      <c r="M28" s="44"/>
    </row>
    <row r="29" spans="2:13" ht="18.95" customHeight="1" x14ac:dyDescent="0.25">
      <c r="B29" s="44"/>
      <c r="C29" s="43"/>
      <c r="D29" s="44"/>
      <c r="E29" s="44"/>
      <c r="F29" s="44"/>
      <c r="G29" s="44"/>
      <c r="H29" s="47"/>
      <c r="I29" s="46" t="str">
        <f>IF(G29="","",IFERROR(INDEX(Fertilisants!$E$8:$E$47,MATCH(G29,Fertilisants!$B$8:$B$47,0))&amp;"",""))</f>
        <v/>
      </c>
      <c r="J29" s="50" t="str">
        <f>IF(OR(G29="",H29=""),"",H29*N(IFERROR(INDEX(Fertilisants!$G$8:$G$47,MATCH(G29,Fertilisants!$B$8:$B$47,0)),0)))</f>
        <v/>
      </c>
      <c r="K29" s="44"/>
      <c r="L29" s="54"/>
      <c r="M29" s="44"/>
    </row>
    <row r="30" spans="2:13" ht="18.95" customHeight="1" x14ac:dyDescent="0.25">
      <c r="B30" s="44"/>
      <c r="C30" s="43"/>
      <c r="D30" s="44"/>
      <c r="E30" s="44"/>
      <c r="F30" s="44"/>
      <c r="G30" s="44"/>
      <c r="H30" s="47"/>
      <c r="I30" s="46" t="str">
        <f>IF(G30="","",IFERROR(INDEX(Fertilisants!$E$8:$E$47,MATCH(G30,Fertilisants!$B$8:$B$47,0))&amp;"",""))</f>
        <v/>
      </c>
      <c r="J30" s="50" t="str">
        <f>IF(OR(G30="",H30=""),"",H30*N(IFERROR(INDEX(Fertilisants!$G$8:$G$47,MATCH(G30,Fertilisants!$B$8:$B$47,0)),0)))</f>
        <v/>
      </c>
      <c r="K30" s="44"/>
      <c r="L30" s="54"/>
      <c r="M30" s="44"/>
    </row>
    <row r="31" spans="2:13" ht="18.95" customHeight="1" x14ac:dyDescent="0.25">
      <c r="B31" s="44"/>
      <c r="C31" s="43"/>
      <c r="D31" s="44"/>
      <c r="E31" s="44"/>
      <c r="F31" s="44"/>
      <c r="G31" s="44"/>
      <c r="H31" s="47"/>
      <c r="I31" s="46" t="str">
        <f>IF(G31="","",IFERROR(INDEX(Fertilisants!$E$8:$E$47,MATCH(G31,Fertilisants!$B$8:$B$47,0))&amp;"",""))</f>
        <v/>
      </c>
      <c r="J31" s="50" t="str">
        <f>IF(OR(G31="",H31=""),"",H31*N(IFERROR(INDEX(Fertilisants!$G$8:$G$47,MATCH(G31,Fertilisants!$B$8:$B$47,0)),0)))</f>
        <v/>
      </c>
      <c r="K31" s="44"/>
      <c r="L31" s="54"/>
      <c r="M31" s="44"/>
    </row>
    <row r="32" spans="2:13" ht="18.95" customHeight="1" x14ac:dyDescent="0.25">
      <c r="B32" s="44"/>
      <c r="C32" s="43"/>
      <c r="D32" s="44"/>
      <c r="E32" s="44"/>
      <c r="F32" s="44"/>
      <c r="G32" s="44"/>
      <c r="H32" s="47"/>
      <c r="I32" s="46" t="str">
        <f>IF(G32="","",IFERROR(INDEX(Fertilisants!$E$8:$E$47,MATCH(G32,Fertilisants!$B$8:$B$47,0))&amp;"",""))</f>
        <v/>
      </c>
      <c r="J32" s="50" t="str">
        <f>IF(OR(G32="",H32=""),"",H32*N(IFERROR(INDEX(Fertilisants!$G$8:$G$47,MATCH(G32,Fertilisants!$B$8:$B$47,0)),0)))</f>
        <v/>
      </c>
      <c r="K32" s="44"/>
      <c r="L32" s="54"/>
      <c r="M32" s="44"/>
    </row>
    <row r="33" spans="2:13" ht="18.95" customHeight="1" x14ac:dyDescent="0.25">
      <c r="B33" s="44"/>
      <c r="C33" s="43"/>
      <c r="D33" s="44"/>
      <c r="E33" s="44"/>
      <c r="F33" s="44"/>
      <c r="G33" s="44"/>
      <c r="H33" s="47"/>
      <c r="I33" s="46" t="str">
        <f>IF(G33="","",IFERROR(INDEX(Fertilisants!$E$8:$E$47,MATCH(G33,Fertilisants!$B$8:$B$47,0))&amp;"",""))</f>
        <v/>
      </c>
      <c r="J33" s="50" t="str">
        <f>IF(OR(G33="",H33=""),"",H33*N(IFERROR(INDEX(Fertilisants!$G$8:$G$47,MATCH(G33,Fertilisants!$B$8:$B$47,0)),0)))</f>
        <v/>
      </c>
      <c r="K33" s="44"/>
      <c r="L33" s="54"/>
      <c r="M33" s="44"/>
    </row>
    <row r="34" spans="2:13" ht="18.95" customHeight="1" x14ac:dyDescent="0.25">
      <c r="B34" s="44"/>
      <c r="C34" s="43"/>
      <c r="D34" s="44"/>
      <c r="E34" s="44"/>
      <c r="F34" s="44"/>
      <c r="G34" s="44"/>
      <c r="H34" s="47"/>
      <c r="I34" s="46" t="str">
        <f>IF(G34="","",IFERROR(INDEX(Fertilisants!$E$8:$E$47,MATCH(G34,Fertilisants!$B$8:$B$47,0))&amp;"",""))</f>
        <v/>
      </c>
      <c r="J34" s="50" t="str">
        <f>IF(OR(G34="",H34=""),"",H34*N(IFERROR(INDEX(Fertilisants!$G$8:$G$47,MATCH(G34,Fertilisants!$B$8:$B$47,0)),0)))</f>
        <v/>
      </c>
      <c r="K34" s="44"/>
      <c r="L34" s="54"/>
      <c r="M34" s="44"/>
    </row>
    <row r="35" spans="2:13" ht="18.95" customHeight="1" x14ac:dyDescent="0.25">
      <c r="B35" s="44"/>
      <c r="C35" s="43"/>
      <c r="D35" s="44"/>
      <c r="E35" s="44"/>
      <c r="F35" s="44"/>
      <c r="G35" s="44"/>
      <c r="H35" s="47"/>
      <c r="I35" s="46" t="str">
        <f>IF(G35="","",IFERROR(INDEX(Fertilisants!$E$8:$E$47,MATCH(G35,Fertilisants!$B$8:$B$47,0))&amp;"",""))</f>
        <v/>
      </c>
      <c r="J35" s="50" t="str">
        <f>IF(OR(G35="",H35=""),"",H35*N(IFERROR(INDEX(Fertilisants!$G$8:$G$47,MATCH(G35,Fertilisants!$B$8:$B$47,0)),0)))</f>
        <v/>
      </c>
      <c r="K35" s="44"/>
      <c r="L35" s="54"/>
      <c r="M35" s="44"/>
    </row>
    <row r="36" spans="2:13" ht="18.95" customHeight="1" x14ac:dyDescent="0.25">
      <c r="B36" s="44"/>
      <c r="C36" s="43"/>
      <c r="D36" s="44"/>
      <c r="E36" s="44"/>
      <c r="F36" s="44"/>
      <c r="G36" s="44"/>
      <c r="H36" s="47"/>
      <c r="I36" s="46" t="str">
        <f>IF(G36="","",IFERROR(INDEX(Fertilisants!$E$8:$E$47,MATCH(G36,Fertilisants!$B$8:$B$47,0))&amp;"",""))</f>
        <v/>
      </c>
      <c r="J36" s="50" t="str">
        <f>IF(OR(G36="",H36=""),"",H36*N(IFERROR(INDEX(Fertilisants!$G$8:$G$47,MATCH(G36,Fertilisants!$B$8:$B$47,0)),0)))</f>
        <v/>
      </c>
      <c r="K36" s="44"/>
      <c r="L36" s="54"/>
      <c r="M36" s="44"/>
    </row>
    <row r="37" spans="2:13" ht="18.95" customHeight="1" x14ac:dyDescent="0.25">
      <c r="B37" s="44"/>
      <c r="C37" s="43"/>
      <c r="D37" s="44"/>
      <c r="E37" s="44"/>
      <c r="F37" s="44"/>
      <c r="G37" s="44"/>
      <c r="H37" s="47"/>
      <c r="I37" s="46" t="str">
        <f>IF(G37="","",IFERROR(INDEX(Fertilisants!$E$8:$E$47,MATCH(G37,Fertilisants!$B$8:$B$47,0))&amp;"",""))</f>
        <v/>
      </c>
      <c r="J37" s="50" t="str">
        <f>IF(OR(G37="",H37=""),"",H37*N(IFERROR(INDEX(Fertilisants!$G$8:$G$47,MATCH(G37,Fertilisants!$B$8:$B$47,0)),0)))</f>
        <v/>
      </c>
      <c r="K37" s="44"/>
      <c r="L37" s="54"/>
      <c r="M37" s="44"/>
    </row>
    <row r="38" spans="2:13" ht="18.95" customHeight="1" x14ac:dyDescent="0.25">
      <c r="B38" s="44"/>
      <c r="C38" s="43"/>
      <c r="D38" s="44"/>
      <c r="E38" s="44"/>
      <c r="F38" s="44"/>
      <c r="G38" s="44"/>
      <c r="H38" s="47"/>
      <c r="I38" s="46" t="str">
        <f>IF(G38="","",IFERROR(INDEX(Fertilisants!$E$8:$E$47,MATCH(G38,Fertilisants!$B$8:$B$47,0))&amp;"",""))</f>
        <v/>
      </c>
      <c r="J38" s="50" t="str">
        <f>IF(OR(G38="",H38=""),"",H38*N(IFERROR(INDEX(Fertilisants!$G$8:$G$47,MATCH(G38,Fertilisants!$B$8:$B$47,0)),0)))</f>
        <v/>
      </c>
      <c r="K38" s="44"/>
      <c r="L38" s="54"/>
      <c r="M38" s="44"/>
    </row>
    <row r="39" spans="2:13" ht="18.95" customHeight="1" x14ac:dyDescent="0.25">
      <c r="B39" s="44"/>
      <c r="C39" s="43"/>
      <c r="D39" s="44"/>
      <c r="E39" s="44"/>
      <c r="F39" s="44"/>
      <c r="G39" s="44"/>
      <c r="H39" s="47"/>
      <c r="I39" s="46" t="str">
        <f>IF(G39="","",IFERROR(INDEX(Fertilisants!$E$8:$E$47,MATCH(G39,Fertilisants!$B$8:$B$47,0))&amp;"",""))</f>
        <v/>
      </c>
      <c r="J39" s="50" t="str">
        <f>IF(OR(G39="",H39=""),"",H39*N(IFERROR(INDEX(Fertilisants!$G$8:$G$47,MATCH(G39,Fertilisants!$B$8:$B$47,0)),0)))</f>
        <v/>
      </c>
      <c r="K39" s="44"/>
      <c r="L39" s="54"/>
      <c r="M39" s="44"/>
    </row>
    <row r="40" spans="2:13" ht="18.95" customHeight="1" x14ac:dyDescent="0.25">
      <c r="B40" s="44"/>
      <c r="C40" s="43"/>
      <c r="D40" s="44"/>
      <c r="E40" s="44"/>
      <c r="F40" s="44"/>
      <c r="G40" s="44"/>
      <c r="H40" s="47"/>
      <c r="I40" s="46" t="str">
        <f>IF(G40="","",IFERROR(INDEX(Fertilisants!$E$8:$E$47,MATCH(G40,Fertilisants!$B$8:$B$47,0))&amp;"",""))</f>
        <v/>
      </c>
      <c r="J40" s="50" t="str">
        <f>IF(OR(G40="",H40=""),"",H40*N(IFERROR(INDEX(Fertilisants!$G$8:$G$47,MATCH(G40,Fertilisants!$B$8:$B$47,0)),0)))</f>
        <v/>
      </c>
      <c r="K40" s="44"/>
      <c r="L40" s="54"/>
      <c r="M40" s="44"/>
    </row>
    <row r="41" spans="2:13" ht="18.95" customHeight="1" x14ac:dyDescent="0.25">
      <c r="B41" s="44"/>
      <c r="C41" s="43"/>
      <c r="D41" s="44"/>
      <c r="E41" s="44"/>
      <c r="F41" s="44"/>
      <c r="G41" s="44"/>
      <c r="H41" s="47"/>
      <c r="I41" s="46" t="str">
        <f>IF(G41="","",IFERROR(INDEX(Fertilisants!$E$8:$E$47,MATCH(G41,Fertilisants!$B$8:$B$47,0))&amp;"",""))</f>
        <v/>
      </c>
      <c r="J41" s="50" t="str">
        <f>IF(OR(G41="",H41=""),"",H41*N(IFERROR(INDEX(Fertilisants!$G$8:$G$47,MATCH(G41,Fertilisants!$B$8:$B$47,0)),0)))</f>
        <v/>
      </c>
      <c r="K41" s="44"/>
      <c r="L41" s="54"/>
      <c r="M41" s="44"/>
    </row>
    <row r="42" spans="2:13" ht="18.95" customHeight="1" x14ac:dyDescent="0.25">
      <c r="B42" s="44"/>
      <c r="C42" s="43"/>
      <c r="D42" s="44"/>
      <c r="E42" s="44"/>
      <c r="F42" s="44"/>
      <c r="G42" s="44"/>
      <c r="H42" s="47"/>
      <c r="I42" s="46" t="str">
        <f>IF(G42="","",IFERROR(INDEX(Fertilisants!$E$8:$E$47,MATCH(G42,Fertilisants!$B$8:$B$47,0))&amp;"",""))</f>
        <v/>
      </c>
      <c r="J42" s="50" t="str">
        <f>IF(OR(G42="",H42=""),"",H42*N(IFERROR(INDEX(Fertilisants!$G$8:$G$47,MATCH(G42,Fertilisants!$B$8:$B$47,0)),0)))</f>
        <v/>
      </c>
      <c r="K42" s="44"/>
      <c r="L42" s="54"/>
      <c r="M42" s="44"/>
    </row>
    <row r="43" spans="2:13" ht="18.95" customHeight="1" x14ac:dyDescent="0.25">
      <c r="B43" s="44"/>
      <c r="C43" s="43"/>
      <c r="D43" s="44"/>
      <c r="E43" s="44"/>
      <c r="F43" s="44"/>
      <c r="G43" s="44"/>
      <c r="H43" s="47"/>
      <c r="I43" s="46" t="str">
        <f>IF(G43="","",IFERROR(INDEX(Fertilisants!$E$8:$E$47,MATCH(G43,Fertilisants!$B$8:$B$47,0))&amp;"",""))</f>
        <v/>
      </c>
      <c r="J43" s="50" t="str">
        <f>IF(OR(G43="",H43=""),"",H43*N(IFERROR(INDEX(Fertilisants!$G$8:$G$47,MATCH(G43,Fertilisants!$B$8:$B$47,0)),0)))</f>
        <v/>
      </c>
      <c r="K43" s="44"/>
      <c r="L43" s="54"/>
      <c r="M43" s="44"/>
    </row>
    <row r="44" spans="2:13" ht="18.95" customHeight="1" x14ac:dyDescent="0.25">
      <c r="B44" s="44"/>
      <c r="C44" s="43"/>
      <c r="D44" s="44"/>
      <c r="E44" s="44"/>
      <c r="F44" s="44"/>
      <c r="G44" s="44"/>
      <c r="H44" s="47"/>
      <c r="I44" s="46" t="str">
        <f>IF(G44="","",IFERROR(INDEX(Fertilisants!$E$8:$E$47,MATCH(G44,Fertilisants!$B$8:$B$47,0))&amp;"",""))</f>
        <v/>
      </c>
      <c r="J44" s="50" t="str">
        <f>IF(OR(G44="",H44=""),"",H44*N(IFERROR(INDEX(Fertilisants!$G$8:$G$47,MATCH(G44,Fertilisants!$B$8:$B$47,0)),0)))</f>
        <v/>
      </c>
      <c r="K44" s="44"/>
      <c r="L44" s="54"/>
      <c r="M44" s="44"/>
    </row>
    <row r="45" spans="2:13" ht="18.95" customHeight="1" x14ac:dyDescent="0.25">
      <c r="B45" s="44"/>
      <c r="C45" s="43"/>
      <c r="D45" s="44"/>
      <c r="E45" s="44"/>
      <c r="F45" s="44"/>
      <c r="G45" s="44"/>
      <c r="H45" s="47"/>
      <c r="I45" s="46" t="str">
        <f>IF(G45="","",IFERROR(INDEX(Fertilisants!$E$8:$E$47,MATCH(G45,Fertilisants!$B$8:$B$47,0))&amp;"",""))</f>
        <v/>
      </c>
      <c r="J45" s="50" t="str">
        <f>IF(OR(G45="",H45=""),"",H45*N(IFERROR(INDEX(Fertilisants!$G$8:$G$47,MATCH(G45,Fertilisants!$B$8:$B$47,0)),0)))</f>
        <v/>
      </c>
      <c r="K45" s="44"/>
      <c r="L45" s="54"/>
      <c r="M45" s="44"/>
    </row>
    <row r="46" spans="2:13" ht="18.95" customHeight="1" x14ac:dyDescent="0.25">
      <c r="B46" s="44"/>
      <c r="C46" s="43"/>
      <c r="D46" s="44"/>
      <c r="E46" s="44"/>
      <c r="F46" s="44"/>
      <c r="G46" s="44"/>
      <c r="H46" s="47"/>
      <c r="I46" s="46" t="str">
        <f>IF(G46="","",IFERROR(INDEX(Fertilisants!$E$8:$E$47,MATCH(G46,Fertilisants!$B$8:$B$47,0))&amp;"",""))</f>
        <v/>
      </c>
      <c r="J46" s="50" t="str">
        <f>IF(OR(G46="",H46=""),"",H46*N(IFERROR(INDEX(Fertilisants!$G$8:$G$47,MATCH(G46,Fertilisants!$B$8:$B$47,0)),0)))</f>
        <v/>
      </c>
      <c r="K46" s="44"/>
      <c r="L46" s="54"/>
      <c r="M46" s="44"/>
    </row>
    <row r="47" spans="2:13" ht="18.95" customHeight="1" x14ac:dyDescent="0.25">
      <c r="B47" s="44"/>
      <c r="C47" s="43"/>
      <c r="D47" s="44"/>
      <c r="E47" s="44"/>
      <c r="F47" s="44"/>
      <c r="G47" s="44"/>
      <c r="H47" s="47"/>
      <c r="I47" s="46" t="str">
        <f>IF(G47="","",IFERROR(INDEX(Fertilisants!$E$8:$E$47,MATCH(G47,Fertilisants!$B$8:$B$47,0))&amp;"",""))</f>
        <v/>
      </c>
      <c r="J47" s="50" t="str">
        <f>IF(OR(G47="",H47=""),"",H47*N(IFERROR(INDEX(Fertilisants!$G$8:$G$47,MATCH(G47,Fertilisants!$B$8:$B$47,0)),0)))</f>
        <v/>
      </c>
      <c r="K47" s="44"/>
      <c r="L47" s="54"/>
      <c r="M47" s="44"/>
    </row>
    <row r="48" spans="2:13" ht="18.95" customHeight="1" x14ac:dyDescent="0.25">
      <c r="B48" s="44"/>
      <c r="C48" s="43"/>
      <c r="D48" s="44"/>
      <c r="E48" s="44"/>
      <c r="F48" s="44"/>
      <c r="G48" s="44"/>
      <c r="H48" s="47"/>
      <c r="I48" s="46" t="str">
        <f>IF(G48="","",IFERROR(INDEX(Fertilisants!$E$8:$E$47,MATCH(G48,Fertilisants!$B$8:$B$47,0))&amp;"",""))</f>
        <v/>
      </c>
      <c r="J48" s="50" t="str">
        <f>IF(OR(G48="",H48=""),"",H48*N(IFERROR(INDEX(Fertilisants!$G$8:$G$47,MATCH(G48,Fertilisants!$B$8:$B$47,0)),0)))</f>
        <v/>
      </c>
      <c r="K48" s="44"/>
      <c r="L48" s="54"/>
      <c r="M48" s="44"/>
    </row>
    <row r="49" spans="2:13" ht="18.95" customHeight="1" x14ac:dyDescent="0.25">
      <c r="B49" s="44"/>
      <c r="C49" s="43"/>
      <c r="D49" s="44"/>
      <c r="E49" s="44"/>
      <c r="F49" s="44"/>
      <c r="G49" s="44"/>
      <c r="H49" s="47"/>
      <c r="I49" s="46" t="str">
        <f>IF(G49="","",IFERROR(INDEX(Fertilisants!$E$8:$E$47,MATCH(G49,Fertilisants!$B$8:$B$47,0))&amp;"",""))</f>
        <v/>
      </c>
      <c r="J49" s="50" t="str">
        <f>IF(OR(G49="",H49=""),"",H49*N(IFERROR(INDEX(Fertilisants!$G$8:$G$47,MATCH(G49,Fertilisants!$B$8:$B$47,0)),0)))</f>
        <v/>
      </c>
      <c r="K49" s="44"/>
      <c r="L49" s="54"/>
      <c r="M49" s="44"/>
    </row>
    <row r="50" spans="2:13" ht="18.95" customHeight="1" x14ac:dyDescent="0.25">
      <c r="B50" s="44"/>
      <c r="C50" s="43"/>
      <c r="D50" s="44"/>
      <c r="E50" s="44"/>
      <c r="F50" s="44"/>
      <c r="G50" s="44"/>
      <c r="H50" s="47"/>
      <c r="I50" s="46" t="str">
        <f>IF(G50="","",IFERROR(INDEX(Fertilisants!$E$8:$E$47,MATCH(G50,Fertilisants!$B$8:$B$47,0))&amp;"",""))</f>
        <v/>
      </c>
      <c r="J50" s="50" t="str">
        <f>IF(OR(G50="",H50=""),"",H50*N(IFERROR(INDEX(Fertilisants!$G$8:$G$47,MATCH(G50,Fertilisants!$B$8:$B$47,0)),0)))</f>
        <v/>
      </c>
      <c r="K50" s="44"/>
      <c r="L50" s="54"/>
      <c r="M50" s="44"/>
    </row>
    <row r="51" spans="2:13" ht="18.95" customHeight="1" x14ac:dyDescent="0.25">
      <c r="B51" s="44"/>
      <c r="C51" s="43"/>
      <c r="D51" s="44"/>
      <c r="E51" s="44"/>
      <c r="F51" s="44"/>
      <c r="G51" s="44"/>
      <c r="H51" s="47"/>
      <c r="I51" s="46" t="str">
        <f>IF(G51="","",IFERROR(INDEX(Fertilisants!$E$8:$E$47,MATCH(G51,Fertilisants!$B$8:$B$47,0))&amp;"",""))</f>
        <v/>
      </c>
      <c r="J51" s="50" t="str">
        <f>IF(OR(G51="",H51=""),"",H51*N(IFERROR(INDEX(Fertilisants!$G$8:$G$47,MATCH(G51,Fertilisants!$B$8:$B$47,0)),0)))</f>
        <v/>
      </c>
      <c r="K51" s="44"/>
      <c r="L51" s="54"/>
      <c r="M51" s="44"/>
    </row>
    <row r="53" spans="2:13" ht="26.1" customHeight="1" x14ac:dyDescent="0.25">
      <c r="B53" s="84" t="s">
        <v>328</v>
      </c>
      <c r="C53" s="85"/>
      <c r="D53" s="85"/>
      <c r="E53" s="85"/>
      <c r="F53" s="85"/>
      <c r="G53" s="85"/>
      <c r="H53" s="85"/>
      <c r="I53" s="85"/>
      <c r="J53" s="85"/>
      <c r="K53" s="85"/>
      <c r="L53" s="85"/>
      <c r="M53" s="85"/>
    </row>
    <row r="54" spans="2:13" ht="33.950000000000003" customHeight="1" x14ac:dyDescent="0.25">
      <c r="B54" s="40" t="s">
        <v>36</v>
      </c>
      <c r="C54" s="40" t="s">
        <v>329</v>
      </c>
      <c r="D54" s="40" t="s">
        <v>330</v>
      </c>
      <c r="E54" s="40" t="s">
        <v>331</v>
      </c>
      <c r="F54" s="40" t="s">
        <v>332</v>
      </c>
      <c r="G54" s="40" t="s">
        <v>333</v>
      </c>
      <c r="H54" s="39" t="s">
        <v>181</v>
      </c>
      <c r="I54" s="167" t="s">
        <v>85</v>
      </c>
      <c r="J54" s="168"/>
      <c r="K54" s="168"/>
      <c r="L54" s="169"/>
      <c r="M54" s="40" t="s">
        <v>272</v>
      </c>
    </row>
    <row r="55" spans="2:13" ht="18.95" customHeight="1" x14ac:dyDescent="0.25">
      <c r="B55" s="44" t="s">
        <v>120</v>
      </c>
      <c r="C55" s="43">
        <v>46258</v>
      </c>
      <c r="D55" s="44" t="s">
        <v>108</v>
      </c>
      <c r="E55" s="86">
        <v>285</v>
      </c>
      <c r="F55" s="44" t="s">
        <v>334</v>
      </c>
      <c r="G55" s="43">
        <v>46287</v>
      </c>
      <c r="H55" s="57">
        <f t="shared" ref="H55:H74" si="0">IF(AND(ISNUMBER(C55),ISNUMBER(G55)),G55-C55,"")</f>
        <v>29</v>
      </c>
      <c r="I55" s="160" t="str">
        <f t="shared" ref="I55:I74" si="1">IF(NOT(ISNUMBER(C55)),"",IF(IF(ISNUMBER(G55),G55,FinCampagne)&gt;EDATE(C55,9),"Durée &gt; 9 mois",IF(AND(C55&lt;=DATE(AnneeRecolte,1,15),IF(ISNUMBER(G55),G55,FinCampagne)&gt;=DATE(AnneeRecolte-1,11,15)),"Hiver : vérifier les conditions",IF(ISNUMBER(G55),"Conforme","En cours"))))</f>
        <v>Conforme</v>
      </c>
      <c r="J55" s="160"/>
      <c r="K55" s="160"/>
      <c r="L55" s="160"/>
      <c r="M55" s="44"/>
    </row>
    <row r="56" spans="2:13" ht="18.95" customHeight="1" x14ac:dyDescent="0.25">
      <c r="B56" s="44" t="s">
        <v>106</v>
      </c>
      <c r="C56" s="43">
        <v>46260</v>
      </c>
      <c r="D56" s="44" t="s">
        <v>108</v>
      </c>
      <c r="E56" s="86">
        <v>265</v>
      </c>
      <c r="F56" s="44" t="s">
        <v>335</v>
      </c>
      <c r="G56" s="43">
        <v>46268</v>
      </c>
      <c r="H56" s="57">
        <f t="shared" si="0"/>
        <v>8</v>
      </c>
      <c r="I56" s="160" t="str">
        <f t="shared" si="1"/>
        <v>Conforme</v>
      </c>
      <c r="J56" s="160"/>
      <c r="K56" s="160"/>
      <c r="L56" s="160"/>
      <c r="M56" s="44"/>
    </row>
    <row r="57" spans="2:13" ht="18.95" customHeight="1" x14ac:dyDescent="0.25">
      <c r="B57" s="44" t="s">
        <v>124</v>
      </c>
      <c r="C57" s="43">
        <v>46252</v>
      </c>
      <c r="D57" s="44" t="s">
        <v>125</v>
      </c>
      <c r="E57" s="86">
        <v>115</v>
      </c>
      <c r="F57" s="44" t="s">
        <v>336</v>
      </c>
      <c r="G57" s="43">
        <v>46300</v>
      </c>
      <c r="H57" s="57">
        <f t="shared" si="0"/>
        <v>48</v>
      </c>
      <c r="I57" s="160" t="str">
        <f t="shared" si="1"/>
        <v>Conforme</v>
      </c>
      <c r="J57" s="160"/>
      <c r="K57" s="160"/>
      <c r="L57" s="160"/>
      <c r="M57" s="44"/>
    </row>
    <row r="58" spans="2:13" ht="18.95" customHeight="1" x14ac:dyDescent="0.25">
      <c r="B58" s="44" t="s">
        <v>119</v>
      </c>
      <c r="C58" s="43">
        <v>46360</v>
      </c>
      <c r="D58" s="44" t="s">
        <v>108</v>
      </c>
      <c r="E58" s="86">
        <v>190</v>
      </c>
      <c r="F58" s="44" t="s">
        <v>337</v>
      </c>
      <c r="G58" s="43"/>
      <c r="H58" s="57" t="str">
        <f t="shared" si="0"/>
        <v/>
      </c>
      <c r="I58" s="160" t="str">
        <f t="shared" si="1"/>
        <v>Hiver : vérifier les conditions</v>
      </c>
      <c r="J58" s="160"/>
      <c r="K58" s="160"/>
      <c r="L58" s="160"/>
      <c r="M58" s="44" t="s">
        <v>338</v>
      </c>
    </row>
    <row r="59" spans="2:13" ht="18.95" customHeight="1" x14ac:dyDescent="0.25">
      <c r="B59" s="44"/>
      <c r="C59" s="43"/>
      <c r="D59" s="44"/>
      <c r="E59" s="86"/>
      <c r="F59" s="44"/>
      <c r="G59" s="43"/>
      <c r="H59" s="57" t="str">
        <f t="shared" si="0"/>
        <v/>
      </c>
      <c r="I59" s="160" t="str">
        <f t="shared" si="1"/>
        <v/>
      </c>
      <c r="J59" s="160"/>
      <c r="K59" s="160"/>
      <c r="L59" s="160"/>
      <c r="M59" s="44"/>
    </row>
    <row r="60" spans="2:13" ht="18.95" customHeight="1" x14ac:dyDescent="0.25">
      <c r="B60" s="44"/>
      <c r="C60" s="43"/>
      <c r="D60" s="44"/>
      <c r="E60" s="86"/>
      <c r="F60" s="44"/>
      <c r="G60" s="43"/>
      <c r="H60" s="57" t="str">
        <f t="shared" si="0"/>
        <v/>
      </c>
      <c r="I60" s="160" t="str">
        <f t="shared" si="1"/>
        <v/>
      </c>
      <c r="J60" s="160"/>
      <c r="K60" s="160"/>
      <c r="L60" s="160"/>
      <c r="M60" s="44"/>
    </row>
    <row r="61" spans="2:13" ht="18.95" customHeight="1" x14ac:dyDescent="0.25">
      <c r="B61" s="44"/>
      <c r="C61" s="43"/>
      <c r="D61" s="44"/>
      <c r="E61" s="86"/>
      <c r="F61" s="44"/>
      <c r="G61" s="43"/>
      <c r="H61" s="57" t="str">
        <f t="shared" si="0"/>
        <v/>
      </c>
      <c r="I61" s="160" t="str">
        <f t="shared" si="1"/>
        <v/>
      </c>
      <c r="J61" s="160"/>
      <c r="K61" s="160"/>
      <c r="L61" s="160"/>
      <c r="M61" s="44"/>
    </row>
    <row r="62" spans="2:13" ht="18.95" customHeight="1" x14ac:dyDescent="0.25">
      <c r="B62" s="44"/>
      <c r="C62" s="43"/>
      <c r="D62" s="44"/>
      <c r="E62" s="86"/>
      <c r="F62" s="44"/>
      <c r="G62" s="43"/>
      <c r="H62" s="57" t="str">
        <f t="shared" si="0"/>
        <v/>
      </c>
      <c r="I62" s="160" t="str">
        <f t="shared" si="1"/>
        <v/>
      </c>
      <c r="J62" s="160"/>
      <c r="K62" s="160"/>
      <c r="L62" s="160"/>
      <c r="M62" s="44"/>
    </row>
    <row r="63" spans="2:13" ht="18.95" customHeight="1" x14ac:dyDescent="0.25">
      <c r="B63" s="44"/>
      <c r="C63" s="43"/>
      <c r="D63" s="44"/>
      <c r="E63" s="86"/>
      <c r="F63" s="44"/>
      <c r="G63" s="43"/>
      <c r="H63" s="57" t="str">
        <f t="shared" si="0"/>
        <v/>
      </c>
      <c r="I63" s="160" t="str">
        <f t="shared" si="1"/>
        <v/>
      </c>
      <c r="J63" s="160"/>
      <c r="K63" s="160"/>
      <c r="L63" s="160"/>
      <c r="M63" s="44"/>
    </row>
    <row r="64" spans="2:13" ht="18.95" customHeight="1" x14ac:dyDescent="0.25">
      <c r="B64" s="44"/>
      <c r="C64" s="43"/>
      <c r="D64" s="44"/>
      <c r="E64" s="86"/>
      <c r="F64" s="44"/>
      <c r="G64" s="43"/>
      <c r="H64" s="57" t="str">
        <f t="shared" si="0"/>
        <v/>
      </c>
      <c r="I64" s="160" t="str">
        <f t="shared" si="1"/>
        <v/>
      </c>
      <c r="J64" s="160"/>
      <c r="K64" s="160"/>
      <c r="L64" s="160"/>
      <c r="M64" s="44"/>
    </row>
    <row r="65" spans="2:13" ht="18.95" customHeight="1" x14ac:dyDescent="0.25">
      <c r="B65" s="44"/>
      <c r="C65" s="43"/>
      <c r="D65" s="44"/>
      <c r="E65" s="86"/>
      <c r="F65" s="44"/>
      <c r="G65" s="43"/>
      <c r="H65" s="57" t="str">
        <f t="shared" si="0"/>
        <v/>
      </c>
      <c r="I65" s="160" t="str">
        <f t="shared" si="1"/>
        <v/>
      </c>
      <c r="J65" s="160"/>
      <c r="K65" s="160"/>
      <c r="L65" s="160"/>
      <c r="M65" s="44"/>
    </row>
    <row r="66" spans="2:13" ht="18.95" customHeight="1" x14ac:dyDescent="0.25">
      <c r="B66" s="44"/>
      <c r="C66" s="43"/>
      <c r="D66" s="44"/>
      <c r="E66" s="86"/>
      <c r="F66" s="44"/>
      <c r="G66" s="43"/>
      <c r="H66" s="57" t="str">
        <f t="shared" si="0"/>
        <v/>
      </c>
      <c r="I66" s="160" t="str">
        <f t="shared" si="1"/>
        <v/>
      </c>
      <c r="J66" s="160"/>
      <c r="K66" s="160"/>
      <c r="L66" s="160"/>
      <c r="M66" s="44"/>
    </row>
    <row r="67" spans="2:13" ht="18.95" customHeight="1" x14ac:dyDescent="0.25">
      <c r="B67" s="44"/>
      <c r="C67" s="43"/>
      <c r="D67" s="44"/>
      <c r="E67" s="86"/>
      <c r="F67" s="44"/>
      <c r="G67" s="43"/>
      <c r="H67" s="57" t="str">
        <f t="shared" si="0"/>
        <v/>
      </c>
      <c r="I67" s="160" t="str">
        <f t="shared" si="1"/>
        <v/>
      </c>
      <c r="J67" s="160"/>
      <c r="K67" s="160"/>
      <c r="L67" s="160"/>
      <c r="M67" s="44"/>
    </row>
    <row r="68" spans="2:13" ht="18.95" customHeight="1" x14ac:dyDescent="0.25">
      <c r="B68" s="44"/>
      <c r="C68" s="43"/>
      <c r="D68" s="44"/>
      <c r="E68" s="86"/>
      <c r="F68" s="44"/>
      <c r="G68" s="43"/>
      <c r="H68" s="57" t="str">
        <f t="shared" si="0"/>
        <v/>
      </c>
      <c r="I68" s="160" t="str">
        <f t="shared" si="1"/>
        <v/>
      </c>
      <c r="J68" s="160"/>
      <c r="K68" s="160"/>
      <c r="L68" s="160"/>
      <c r="M68" s="44"/>
    </row>
    <row r="69" spans="2:13" ht="18.95" customHeight="1" x14ac:dyDescent="0.25">
      <c r="B69" s="44"/>
      <c r="C69" s="43"/>
      <c r="D69" s="44"/>
      <c r="E69" s="86"/>
      <c r="F69" s="44"/>
      <c r="G69" s="43"/>
      <c r="H69" s="57" t="str">
        <f t="shared" si="0"/>
        <v/>
      </c>
      <c r="I69" s="160" t="str">
        <f t="shared" si="1"/>
        <v/>
      </c>
      <c r="J69" s="160"/>
      <c r="K69" s="160"/>
      <c r="L69" s="160"/>
      <c r="M69" s="44"/>
    </row>
    <row r="70" spans="2:13" ht="18.95" customHeight="1" x14ac:dyDescent="0.25">
      <c r="B70" s="44"/>
      <c r="C70" s="43"/>
      <c r="D70" s="44"/>
      <c r="E70" s="86"/>
      <c r="F70" s="44"/>
      <c r="G70" s="43"/>
      <c r="H70" s="57" t="str">
        <f t="shared" si="0"/>
        <v/>
      </c>
      <c r="I70" s="160" t="str">
        <f t="shared" si="1"/>
        <v/>
      </c>
      <c r="J70" s="160"/>
      <c r="K70" s="160"/>
      <c r="L70" s="160"/>
      <c r="M70" s="44"/>
    </row>
    <row r="71" spans="2:13" ht="18.95" customHeight="1" x14ac:dyDescent="0.25">
      <c r="B71" s="44"/>
      <c r="C71" s="43"/>
      <c r="D71" s="44"/>
      <c r="E71" s="86"/>
      <c r="F71" s="44"/>
      <c r="G71" s="43"/>
      <c r="H71" s="57" t="str">
        <f t="shared" si="0"/>
        <v/>
      </c>
      <c r="I71" s="160" t="str">
        <f t="shared" si="1"/>
        <v/>
      </c>
      <c r="J71" s="160"/>
      <c r="K71" s="160"/>
      <c r="L71" s="160"/>
      <c r="M71" s="44"/>
    </row>
    <row r="72" spans="2:13" ht="18.95" customHeight="1" x14ac:dyDescent="0.25">
      <c r="B72" s="44"/>
      <c r="C72" s="43"/>
      <c r="D72" s="44"/>
      <c r="E72" s="86"/>
      <c r="F72" s="44"/>
      <c r="G72" s="43"/>
      <c r="H72" s="57" t="str">
        <f t="shared" si="0"/>
        <v/>
      </c>
      <c r="I72" s="160" t="str">
        <f t="shared" si="1"/>
        <v/>
      </c>
      <c r="J72" s="160"/>
      <c r="K72" s="160"/>
      <c r="L72" s="160"/>
      <c r="M72" s="44"/>
    </row>
    <row r="73" spans="2:13" ht="18.95" customHeight="1" x14ac:dyDescent="0.25">
      <c r="B73" s="44"/>
      <c r="C73" s="43"/>
      <c r="D73" s="44"/>
      <c r="E73" s="86"/>
      <c r="F73" s="44"/>
      <c r="G73" s="43"/>
      <c r="H73" s="57" t="str">
        <f t="shared" si="0"/>
        <v/>
      </c>
      <c r="I73" s="160" t="str">
        <f t="shared" si="1"/>
        <v/>
      </c>
      <c r="J73" s="160"/>
      <c r="K73" s="160"/>
      <c r="L73" s="160"/>
      <c r="M73" s="44"/>
    </row>
    <row r="74" spans="2:13" ht="18.95" customHeight="1" x14ac:dyDescent="0.25">
      <c r="B74" s="44"/>
      <c r="C74" s="43"/>
      <c r="D74" s="44"/>
      <c r="E74" s="86"/>
      <c r="F74" s="44"/>
      <c r="G74" s="43"/>
      <c r="H74" s="57" t="str">
        <f t="shared" si="0"/>
        <v/>
      </c>
      <c r="I74" s="160" t="str">
        <f t="shared" si="1"/>
        <v/>
      </c>
      <c r="J74" s="160"/>
      <c r="K74" s="160"/>
      <c r="L74" s="160"/>
      <c r="M74" s="44"/>
    </row>
    <row r="76" spans="2:13" x14ac:dyDescent="0.25">
      <c r="B76" s="161" t="s">
        <v>339</v>
      </c>
      <c r="C76" s="130"/>
      <c r="D76" s="130"/>
      <c r="E76" s="130"/>
      <c r="F76" s="130"/>
      <c r="G76" s="130"/>
      <c r="H76" s="130"/>
      <c r="I76" s="130"/>
      <c r="J76" s="130"/>
      <c r="K76" s="130"/>
      <c r="L76" s="130"/>
      <c r="M76" s="130"/>
    </row>
    <row r="77" spans="2:13" x14ac:dyDescent="0.25">
      <c r="B77" s="130"/>
      <c r="C77" s="130"/>
      <c r="D77" s="130"/>
      <c r="E77" s="130"/>
      <c r="F77" s="130"/>
      <c r="G77" s="130"/>
      <c r="H77" s="130"/>
      <c r="I77" s="130"/>
      <c r="J77" s="130"/>
      <c r="K77" s="130"/>
      <c r="L77" s="130"/>
      <c r="M77" s="130"/>
    </row>
  </sheetData>
  <mergeCells count="31">
    <mergeCell ref="B6:C6"/>
    <mergeCell ref="I66:L66"/>
    <mergeCell ref="I56:L56"/>
    <mergeCell ref="I58:L58"/>
    <mergeCell ref="E7:F7"/>
    <mergeCell ref="I55:L55"/>
    <mergeCell ref="I62:L62"/>
    <mergeCell ref="I4:K4"/>
    <mergeCell ref="K7:M7"/>
    <mergeCell ref="I61:L61"/>
    <mergeCell ref="E6:F6"/>
    <mergeCell ref="I70:L70"/>
    <mergeCell ref="K6:M6"/>
    <mergeCell ref="I57:L57"/>
    <mergeCell ref="G7:J7"/>
    <mergeCell ref="I54:L54"/>
    <mergeCell ref="G6:J6"/>
    <mergeCell ref="I68:L68"/>
    <mergeCell ref="I67:L67"/>
    <mergeCell ref="B7:C7"/>
    <mergeCell ref="I64:L64"/>
    <mergeCell ref="I73:L73"/>
    <mergeCell ref="B76:M77"/>
    <mergeCell ref="I63:L63"/>
    <mergeCell ref="I59:L59"/>
    <mergeCell ref="I60:L60"/>
    <mergeCell ref="I74:L74"/>
    <mergeCell ref="I69:L69"/>
    <mergeCell ref="I65:L65"/>
    <mergeCell ref="I72:L72"/>
    <mergeCell ref="I71:L71"/>
  </mergeCells>
  <conditionalFormatting sqref="G7:J7">
    <cfRule type="expression" dxfId="18" priority="1">
      <formula>$G$7&gt;0</formula>
    </cfRule>
  </conditionalFormatting>
  <conditionalFormatting sqref="I55:L74">
    <cfRule type="expression" dxfId="17" priority="4" stopIfTrue="1">
      <formula>$I55="Durée &gt; 9 mois"</formula>
    </cfRule>
    <cfRule type="expression" dxfId="16" priority="5" stopIfTrue="1">
      <formula>$I55="Hiver : vérifier les conditions"</formula>
    </cfRule>
    <cfRule type="expression" dxfId="15" priority="6" stopIfTrue="1">
      <formula>$I55="Conforme"</formula>
    </cfRule>
    <cfRule type="expression" dxfId="14" priority="7" stopIfTrue="1">
      <formula>$I55="En cours"</formula>
    </cfRule>
  </conditionalFormatting>
  <conditionalFormatting sqref="L12:L51">
    <cfRule type="expression" dxfId="13" priority="2" stopIfTrue="1">
      <formula>$L12="Oui"</formula>
    </cfRule>
    <cfRule type="expression" dxfId="12" priority="3">
      <formula>AND($B12&lt;&gt;"",$L12&lt;&gt;"Oui")</formula>
    </cfRule>
  </conditionalFormatting>
  <dataValidations count="7">
    <dataValidation type="date" allowBlank="1" showErrorMessage="1" errorTitle="Date non valide" error="Saisissez une date au format jj/mm/aaaa." sqref="C12:C51 G55:G74 C55:C74" xr:uid="{00000000-0002-0000-0400-000000000000}">
      <formula1>36526</formula1>
      <formula2>73051</formula2>
    </dataValidation>
    <dataValidation type="list" allowBlank="1" showErrorMessage="1" errorTitle="Valeur non prévue" error="Choisissez une valeur dans la liste déroulante." sqref="D12:D51" xr:uid="{00000000-0002-0000-0400-000001000000}">
      <formula1>ListeNature</formula1>
    </dataValidation>
    <dataValidation type="list" allowBlank="1" showErrorMessage="1" errorTitle="Valeur non prévue" error="Choisissez une valeur dans la liste déroulante." sqref="G12:G51 D55:D74" xr:uid="{00000000-0002-0000-0400-000002000000}">
      <formula1>ListeFertilisants</formula1>
    </dataValidation>
    <dataValidation type="decimal" allowBlank="1" showErrorMessage="1" errorTitle="Valeur non valide" error="Saisissez un nombre positif." sqref="H12:H51" xr:uid="{00000000-0002-0000-0400-000003000000}">
      <formula1>0</formula1>
      <formula2>1000000</formula2>
    </dataValidation>
    <dataValidation type="list" allowBlank="1" showInputMessage="1" showErrorMessage="1" errorTitle="Valeur non prévue" error="Choisissez une valeur dans la liste déroulante." promptTitle="Cosignature" prompt="Le bordereau est signé par les deux parties." sqref="L12:L51" xr:uid="{00000000-0002-0000-0400-000004000000}">
      <formula1>"Oui,Non"</formula1>
    </dataValidation>
    <dataValidation type="list" allowBlank="1" showErrorMessage="1" errorTitle="Valeur non prévue" error="Choisissez une valeur dans la liste déroulante." sqref="B55:B74" xr:uid="{00000000-0002-0000-0400-000005000000}">
      <formula1>ListeIlots</formula1>
    </dataValidation>
    <dataValidation type="decimal" allowBlank="1" showErrorMessage="1" errorTitle="Valeur non valide" error="Saisissez un nombre positif." sqref="E55:E74" xr:uid="{00000000-0002-0000-0400-000009000000}">
      <formula1>0</formula1>
      <formula2>100000</formula2>
    </dataValidation>
  </dataValidations>
  <printOptions horizontalCentered="1"/>
  <pageMargins left="0.35" right="0.35" top="0.45" bottom="0.55000000000000004" header="0.5" footer="0.5"/>
  <pageSetup paperSize="9" fitToHeight="0" orientation="landscape"/>
  <headerFooter>
    <oddFooter>&amp;L&amp;8 &amp;K7B8794Cahier d'épandage – &amp;A&amp;R&amp;8 &amp;K7B8794Page &amp;P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5C8A"/>
    <pageSetUpPr fitToPage="1"/>
  </sheetPr>
  <dimension ref="A1:P60"/>
  <sheetViews>
    <sheetView showGridLines="0" workbookViewId="0"/>
  </sheetViews>
  <sheetFormatPr baseColWidth="10" defaultColWidth="9.140625" defaultRowHeight="15" x14ac:dyDescent="0.25"/>
  <cols>
    <col min="1" max="1" width="2" customWidth="1"/>
    <col min="2" max="2" width="12" customWidth="1"/>
    <col min="3" max="3" width="27" customWidth="1"/>
    <col min="4" max="4" width="9" customWidth="1"/>
    <col min="5" max="5" width="22" customWidth="1"/>
    <col min="6" max="6" width="11" customWidth="1"/>
    <col min="7" max="7" width="9" customWidth="1"/>
    <col min="8" max="8" width="8" customWidth="1"/>
    <col min="9" max="9" width="10" customWidth="1"/>
    <col min="10" max="10" width="11" customWidth="1"/>
    <col min="11" max="12" width="9" customWidth="1"/>
    <col min="13" max="13" width="12" customWidth="1"/>
    <col min="14" max="14" width="19" customWidth="1"/>
    <col min="15" max="15" width="2" customWidth="1"/>
    <col min="16" max="16" width="8" hidden="1" customWidth="1"/>
  </cols>
  <sheetData>
    <row r="1" spans="1:16" ht="30" customHeight="1" x14ac:dyDescent="0.35">
      <c r="A1" s="1"/>
      <c r="B1" s="33" t="s">
        <v>340</v>
      </c>
      <c r="C1" s="1"/>
      <c r="D1" s="1"/>
      <c r="E1" s="1"/>
      <c r="F1" s="1"/>
      <c r="G1" s="1"/>
      <c r="H1" s="1"/>
      <c r="I1" s="1"/>
      <c r="J1" s="1"/>
      <c r="K1" s="1"/>
      <c r="L1" s="1"/>
      <c r="M1" s="1"/>
      <c r="N1" s="34" t="str">
        <f>RaisonSociale</f>
        <v>SCEA du Val de Mérienne</v>
      </c>
      <c r="O1" s="1"/>
    </row>
    <row r="2" spans="1:16" ht="20.100000000000001" customHeight="1" x14ac:dyDescent="0.25">
      <c r="A2" s="1"/>
      <c r="B2" s="4" t="s">
        <v>341</v>
      </c>
      <c r="C2" s="1"/>
      <c r="D2" s="1"/>
      <c r="E2" s="1"/>
      <c r="F2" s="1"/>
      <c r="G2" s="1"/>
      <c r="H2" s="1"/>
      <c r="I2" s="1"/>
      <c r="J2" s="1"/>
      <c r="K2" s="1"/>
      <c r="L2" s="1"/>
      <c r="M2" s="1"/>
      <c r="N2" s="35" t="str">
        <f>"Campagne "&amp;(AnneeRecolte-1)&amp;"-"&amp;AnneeRecolte&amp;"  ·  récolte "&amp;AnneeRecolte</f>
        <v>Campagne 2026-2027  ·  récolte 2027</v>
      </c>
      <c r="O2" s="1"/>
    </row>
    <row r="3" spans="1:16" ht="3" customHeight="1" x14ac:dyDescent="0.25">
      <c r="A3" s="6"/>
      <c r="B3" s="6"/>
      <c r="C3" s="6"/>
      <c r="D3" s="6"/>
      <c r="E3" s="6"/>
      <c r="F3" s="6"/>
      <c r="G3" s="6"/>
      <c r="H3" s="6"/>
      <c r="I3" s="6"/>
      <c r="J3" s="6"/>
      <c r="K3" s="6"/>
      <c r="L3" s="6"/>
      <c r="M3" s="6"/>
      <c r="N3" s="6"/>
      <c r="O3" s="6"/>
    </row>
    <row r="4" spans="1:16" ht="21.95" customHeight="1" x14ac:dyDescent="0.25">
      <c r="B4" s="36" t="s">
        <v>342</v>
      </c>
    </row>
    <row r="5" spans="1:16" ht="8.1" customHeight="1" x14ac:dyDescent="0.25"/>
    <row r="6" spans="1:16" ht="9.9499999999999993" customHeight="1" x14ac:dyDescent="0.25"/>
    <row r="7" spans="1:16" ht="30" customHeight="1" x14ac:dyDescent="0.25">
      <c r="B7" s="175" t="s">
        <v>343</v>
      </c>
      <c r="C7" s="130"/>
      <c r="D7" s="182" t="s">
        <v>128</v>
      </c>
      <c r="E7" s="183"/>
      <c r="F7" s="183"/>
      <c r="G7" s="184"/>
      <c r="H7" s="87" t="s">
        <v>344</v>
      </c>
      <c r="P7" s="88">
        <f>IFERROR(MATCH(FicheIlot,Îlots!$D$8:$D$57,0),"")</f>
        <v>4</v>
      </c>
    </row>
    <row r="9" spans="1:16" ht="26.1" customHeight="1" x14ac:dyDescent="0.25">
      <c r="B9" s="84" t="s">
        <v>345</v>
      </c>
      <c r="C9" s="85"/>
      <c r="D9" s="85"/>
      <c r="E9" s="85"/>
      <c r="F9" s="85"/>
      <c r="G9" s="85"/>
      <c r="H9" s="85"/>
      <c r="I9" s="85"/>
      <c r="J9" s="85"/>
      <c r="K9" s="85"/>
      <c r="L9" s="85"/>
      <c r="M9" s="85"/>
      <c r="N9" s="85"/>
    </row>
    <row r="10" spans="1:16" ht="21" customHeight="1" x14ac:dyDescent="0.25">
      <c r="B10" s="178" t="s">
        <v>38</v>
      </c>
      <c r="C10" s="174"/>
      <c r="D10" s="180">
        <f>IF($P$7="","",IF(INDEX(Îlots!$E$8:$E$57,$P$7)="","",INDEX(Îlots!$E$8:$E$57,$P$7)))</f>
        <v>16.2</v>
      </c>
      <c r="E10" s="174"/>
      <c r="F10" s="174"/>
      <c r="G10" s="174"/>
      <c r="H10" s="178" t="s">
        <v>182</v>
      </c>
      <c r="I10" s="174"/>
      <c r="J10" s="174"/>
      <c r="K10" s="176" t="str">
        <f>IF($P$7="","",INDEX(Îlots!$N$8:$N$57,$P$7)&amp;"")</f>
        <v>Maïs ensilage</v>
      </c>
      <c r="L10" s="174"/>
      <c r="M10" s="174"/>
      <c r="N10" s="174"/>
    </row>
    <row r="11" spans="1:16" ht="21" customHeight="1" x14ac:dyDescent="0.25">
      <c r="B11" s="178" t="s">
        <v>174</v>
      </c>
      <c r="C11" s="174"/>
      <c r="D11" s="176" t="str">
        <f>IF($P$7="","",INDEX(Îlots!$F$8:$F$57,$P$7)&amp;"")</f>
        <v>Limon argileux</v>
      </c>
      <c r="E11" s="174"/>
      <c r="F11" s="174"/>
      <c r="G11" s="174"/>
      <c r="H11" s="178" t="s">
        <v>183</v>
      </c>
      <c r="I11" s="174"/>
      <c r="J11" s="174"/>
      <c r="K11" s="176" t="str">
        <f>IF($P$7="","",INDEX(Îlots!$O$8:$O$57,$P$7)&amp;"")</f>
        <v>Culture de printemps</v>
      </c>
      <c r="L11" s="174"/>
      <c r="M11" s="174"/>
      <c r="N11" s="174"/>
    </row>
    <row r="12" spans="1:16" ht="21" customHeight="1" x14ac:dyDescent="0.25">
      <c r="B12" s="178" t="s">
        <v>346</v>
      </c>
      <c r="C12" s="174"/>
      <c r="D12" s="176" t="str">
        <f>IF($P$7="","",INDEX(Îlots!$G$8:$G$57,$P$7)&amp;"")</f>
        <v>Oui</v>
      </c>
      <c r="E12" s="174"/>
      <c r="F12" s="174"/>
      <c r="G12" s="174"/>
      <c r="H12" s="178" t="s">
        <v>347</v>
      </c>
      <c r="I12" s="174"/>
      <c r="J12" s="174"/>
      <c r="K12" s="173">
        <f>IF($P$7="","",IF(N(INDEX(Îlots!$P$8:$P$57,$P$7))=0,"",INDEX(Îlots!$P$8:$P$57,$P$7)))</f>
        <v>46512</v>
      </c>
      <c r="L12" s="174"/>
      <c r="M12" s="174"/>
      <c r="N12" s="174"/>
    </row>
    <row r="13" spans="1:16" ht="21" customHeight="1" x14ac:dyDescent="0.25">
      <c r="B13" s="178" t="s">
        <v>176</v>
      </c>
      <c r="C13" s="174"/>
      <c r="D13" s="176" t="str">
        <f>IF($P$7="","",INDEX(Îlots!$H$8:$H$57,$P$7)&amp;"")</f>
        <v>Propriété</v>
      </c>
      <c r="E13" s="174"/>
      <c r="F13" s="174"/>
      <c r="G13" s="174"/>
      <c r="H13" s="178" t="s">
        <v>348</v>
      </c>
      <c r="I13" s="174"/>
      <c r="J13" s="174"/>
      <c r="K13" s="176" t="str">
        <f>IF($P$7="","",IF(INDEX(Îlots!$Q$8:$Q$57,$P$7)="","",INDEX(Îlots!$Q$8:$Q$57,$P$7)&amp;" "&amp;INDEX(Îlots!$R$8:$R$57,$P$7)))</f>
        <v>15 t MS/ha</v>
      </c>
      <c r="L13" s="174"/>
      <c r="M13" s="174"/>
      <c r="N13" s="174"/>
    </row>
    <row r="14" spans="1:16" ht="21" customHeight="1" x14ac:dyDescent="0.25">
      <c r="B14" s="178" t="s">
        <v>107</v>
      </c>
      <c r="C14" s="174"/>
      <c r="D14" s="176" t="str">
        <f>IF($P$7="","",INDEX(Îlots!$I$8:$I$57,$P$7)&amp;"")</f>
        <v>CIE (dérobée exportée)</v>
      </c>
      <c r="E14" s="174"/>
      <c r="F14" s="174"/>
      <c r="G14" s="174"/>
      <c r="H14" s="178" t="s">
        <v>349</v>
      </c>
      <c r="I14" s="174"/>
      <c r="J14" s="174"/>
      <c r="K14" s="173" t="str">
        <f>IF($P$7="","",IF(N(INDEX(Îlots!$Z$8:$Z$57,$P$7))=0,"",INDEX(Îlots!$Z$8:$Z$57,$P$7)))</f>
        <v/>
      </c>
      <c r="L14" s="174"/>
      <c r="M14" s="174"/>
      <c r="N14" s="174"/>
    </row>
    <row r="15" spans="1:16" ht="21" customHeight="1" x14ac:dyDescent="0.25">
      <c r="B15" s="178" t="s">
        <v>350</v>
      </c>
      <c r="C15" s="174"/>
      <c r="D15" s="176" t="str">
        <f>IF($P$7="","",INDEX(Îlots!$J$8:$J$57,$P$7)&amp;"")</f>
        <v>Ray-grass italien + trèfle</v>
      </c>
      <c r="E15" s="174"/>
      <c r="F15" s="174"/>
      <c r="G15" s="174"/>
      <c r="H15" s="178" t="s">
        <v>351</v>
      </c>
      <c r="I15" s="174"/>
      <c r="J15" s="174"/>
      <c r="K15" s="176" t="str">
        <f>IF($P$7="","",IF(INDEX(Îlots!$AA$8:$AA$57,$P$7)="","",INDEX(Îlots!$AA$8:$AA$57,$P$7)&amp;" "&amp;INDEX(Îlots!$R$8:$R$57,$P$7)))</f>
        <v/>
      </c>
      <c r="L15" s="174"/>
      <c r="M15" s="174"/>
      <c r="N15" s="174"/>
    </row>
    <row r="17" spans="2:16" ht="26.1" customHeight="1" x14ac:dyDescent="0.25">
      <c r="B17" s="84" t="s">
        <v>352</v>
      </c>
      <c r="C17" s="85"/>
      <c r="D17" s="85"/>
      <c r="E17" s="85"/>
      <c r="F17" s="85"/>
      <c r="G17" s="85"/>
      <c r="H17" s="85"/>
      <c r="I17" s="85"/>
      <c r="J17" s="85"/>
      <c r="K17" s="85"/>
      <c r="L17" s="85"/>
      <c r="M17" s="85"/>
      <c r="N17" s="85"/>
    </row>
    <row r="18" spans="2:16" ht="8.1" customHeight="1" x14ac:dyDescent="0.25"/>
    <row r="19" spans="2:16" ht="20.100000000000001" customHeight="1" x14ac:dyDescent="0.25">
      <c r="B19" s="164" t="s">
        <v>353</v>
      </c>
      <c r="C19" s="165"/>
      <c r="D19" s="164" t="s">
        <v>354</v>
      </c>
      <c r="E19" s="165"/>
      <c r="F19" s="164" t="s">
        <v>355</v>
      </c>
      <c r="G19" s="166"/>
      <c r="H19" s="165"/>
      <c r="I19" s="164" t="s">
        <v>356</v>
      </c>
      <c r="J19" s="166"/>
      <c r="K19" s="165"/>
      <c r="L19" s="164" t="s">
        <v>357</v>
      </c>
      <c r="M19" s="166"/>
      <c r="N19" s="165"/>
    </row>
    <row r="20" spans="2:16" ht="30" customHeight="1" x14ac:dyDescent="0.25">
      <c r="B20" s="170">
        <f>IF($P$7="","",IF(INDEX(Îlots!$S$8:$S$57,$P$7)="","",INDEX(Îlots!$S$8:$S$57,$P$7)))</f>
        <v>140</v>
      </c>
      <c r="C20" s="172"/>
      <c r="D20" s="170">
        <f>IF($P$7="","",IF(INDEX(Îlots!$T$8:$T$57,$P$7)="","",INDEX(Îlots!$T$8:$T$57,$P$7)))</f>
        <v>136.20000000000002</v>
      </c>
      <c r="E20" s="172"/>
      <c r="F20" s="170">
        <f>IF($P$7="","",IF(INDEX(Îlots!$W$8:$W$57,$P$7)="","",INDEX(Îlots!$W$8:$W$57,$P$7)))</f>
        <v>240</v>
      </c>
      <c r="G20" s="171"/>
      <c r="H20" s="172"/>
      <c r="I20" s="181">
        <f>IF($P$7="","",IF(INDEX(Îlots!$U$8:$U$57,$P$7)="","",INDEX(Îlots!$U$8:$U$57,$P$7)))</f>
        <v>-4</v>
      </c>
      <c r="J20" s="171"/>
      <c r="K20" s="172"/>
      <c r="L20" s="179" t="str">
        <f>IF($P$7="","",INDEX(Îlots!$Y$8:$Y$57,$P$7)&amp;"")</f>
        <v>Conforme</v>
      </c>
      <c r="M20" s="171"/>
      <c r="N20" s="172"/>
    </row>
    <row r="21" spans="2:16" ht="18" customHeight="1" x14ac:dyDescent="0.25">
      <c r="B21" s="177" t="str">
        <f>"prévue au plan prévisionnel"</f>
        <v>prévue au plan prévisionnel</v>
      </c>
      <c r="C21" s="159"/>
      <c r="D21" s="177" t="str">
        <f>IF($P$7="","",IF(N(INDEX(Îlots!$V$8:$V$57,$P$7))=0,"","soit "&amp;ROUND(INDEX(Îlots!$V$8:$V$57,$P$7)*100,0)&amp;" % du PPF"))</f>
        <v>soit 97 % du PPF</v>
      </c>
      <c r="E21" s="159"/>
      <c r="F21" s="177" t="str">
        <f>"effluents et produits organiques"</f>
        <v>effluents et produits organiques</v>
      </c>
      <c r="G21" s="163"/>
      <c r="H21" s="159"/>
      <c r="I21" s="177" t="str">
        <f>"tolérance : "&amp;TolerancePPF&amp;" kg N/ha"</f>
        <v>tolérance : 5 kg N/ha</v>
      </c>
      <c r="J21" s="163"/>
      <c r="K21" s="159"/>
      <c r="L21" s="177" t="str">
        <f>IF($P$7="","",INDEX(Îlots!$X$8:$X$57,$P$7)&amp;" apport(s) enregistré(s)")</f>
        <v>3 apport(s) enregistré(s)</v>
      </c>
      <c r="M21" s="163"/>
      <c r="N21" s="159"/>
    </row>
    <row r="23" spans="2:16" ht="26.1" customHeight="1" x14ac:dyDescent="0.25">
      <c r="B23" s="84" t="s">
        <v>358</v>
      </c>
      <c r="C23" s="85"/>
      <c r="D23" s="85"/>
      <c r="E23" s="85"/>
      <c r="F23" s="85"/>
      <c r="G23" s="85"/>
      <c r="H23" s="85"/>
      <c r="I23" s="85"/>
      <c r="J23" s="85"/>
      <c r="K23" s="85"/>
      <c r="L23" s="85"/>
      <c r="M23" s="85"/>
      <c r="N23" s="85"/>
    </row>
    <row r="24" spans="2:16" ht="32.1" customHeight="1" x14ac:dyDescent="0.25">
      <c r="B24" s="39" t="s">
        <v>300</v>
      </c>
      <c r="C24" s="39" t="s">
        <v>69</v>
      </c>
      <c r="D24" s="39" t="s">
        <v>70</v>
      </c>
      <c r="E24" s="39" t="s">
        <v>68</v>
      </c>
      <c r="F24" s="39" t="s">
        <v>173</v>
      </c>
      <c r="G24" s="39" t="s">
        <v>359</v>
      </c>
      <c r="H24" s="39" t="s">
        <v>73</v>
      </c>
      <c r="I24" s="39" t="s">
        <v>75</v>
      </c>
      <c r="J24" s="39" t="s">
        <v>76</v>
      </c>
      <c r="K24" s="39" t="s">
        <v>77</v>
      </c>
      <c r="L24" s="39" t="s">
        <v>78</v>
      </c>
      <c r="M24" s="39" t="s">
        <v>360</v>
      </c>
      <c r="N24" s="39" t="s">
        <v>85</v>
      </c>
    </row>
    <row r="25" spans="2:16" ht="18.95" customHeight="1" x14ac:dyDescent="0.25">
      <c r="B25" s="89">
        <f>IF($P25="","",INDEX(Registre!$C$8:$C$507,$P25))</f>
        <v>46350</v>
      </c>
      <c r="C25" s="90" t="str">
        <f>IF($P25="","",INDEX(Registre!$G$8:$G$507,$P25)&amp;"")</f>
        <v>Lisier de bovins</v>
      </c>
      <c r="D25" s="91" t="str">
        <f>IF($P25="","",INDEX(Registre!$H$8:$H$507,$P25)&amp;"")</f>
        <v>Type II</v>
      </c>
      <c r="E25" s="90" t="str">
        <f>IF($P25="","",INDEX(Registre!$F$8:$F$507,$P25)&amp;"")</f>
        <v>Couvert d'interculture</v>
      </c>
      <c r="F25" s="92">
        <f>IF($P25="","",INDEX(Registre!$I$8:$I$507,$P25))</f>
        <v>16.2</v>
      </c>
      <c r="G25" s="93">
        <f>IF($P25="","",INDEX(Registre!$J$8:$J$507,$P25))</f>
        <v>30</v>
      </c>
      <c r="H25" s="91" t="str">
        <f>IF($P25="","",INDEX(Registre!$K$8:$K$507,$P25)&amp;"")</f>
        <v>m³</v>
      </c>
      <c r="I25" s="94">
        <f>IF($P25="","",INDEX(Registre!$M$8:$M$507,$P25))</f>
        <v>120</v>
      </c>
      <c r="J25" s="94">
        <f>IF($P25="","",INDEX(Registre!$N$8:$N$507,$P25))</f>
        <v>60</v>
      </c>
      <c r="K25" s="94">
        <f>IF($P25="","",INDEX(Registre!$O$8:$O$507,$P25))</f>
        <v>51</v>
      </c>
      <c r="L25" s="94">
        <f>IF($P25="","",INDEX(Registre!$P$8:$P$507,$P25))</f>
        <v>138</v>
      </c>
      <c r="M25" s="90" t="str">
        <f>IF($P25="","",INDEX(Registre!$R$8:$R$507,$P25)&amp;"")</f>
        <v>Humide</v>
      </c>
      <c r="N25" s="95" t="str">
        <f>IF($P25="","",INDEX(Registre!$W$8:$W$507,$P25)&amp;"")</f>
        <v>Période interdite</v>
      </c>
      <c r="P25" s="88">
        <f>IFERROR(MATCH(1,Registre!$AR$8:$AR$507,0),"")</f>
        <v>7</v>
      </c>
    </row>
    <row r="26" spans="2:16" ht="18.95" customHeight="1" x14ac:dyDescent="0.25">
      <c r="B26" s="89">
        <f>IF($P26="","",INDEX(Registre!$C$8:$C$507,$P26))</f>
        <v>46505</v>
      </c>
      <c r="C26" s="90" t="str">
        <f>IF($P26="","",INDEX(Registre!$G$8:$G$507,$P26)&amp;"")</f>
        <v>Lisier de bovins</v>
      </c>
      <c r="D26" s="91" t="str">
        <f>IF($P26="","",INDEX(Registre!$H$8:$H$507,$P26)&amp;"")</f>
        <v>Type II</v>
      </c>
      <c r="E26" s="90" t="str">
        <f>IF($P26="","",INDEX(Registre!$F$8:$F$507,$P26)&amp;"")</f>
        <v>Sol nu avant semis</v>
      </c>
      <c r="F26" s="92">
        <f>IF($P26="","",INDEX(Registre!$I$8:$I$507,$P26))</f>
        <v>16.2</v>
      </c>
      <c r="G26" s="93">
        <f>IF($P26="","",INDEX(Registre!$J$8:$J$507,$P26))</f>
        <v>30</v>
      </c>
      <c r="H26" s="91" t="str">
        <f>IF($P26="","",INDEX(Registre!$K$8:$K$507,$P26)&amp;"")</f>
        <v>m³</v>
      </c>
      <c r="I26" s="94">
        <f>IF($P26="","",INDEX(Registre!$M$8:$M$507,$P26))</f>
        <v>120</v>
      </c>
      <c r="J26" s="94">
        <f>IF($P26="","",INDEX(Registre!$N$8:$N$507,$P26))</f>
        <v>60</v>
      </c>
      <c r="K26" s="94">
        <f>IF($P26="","",INDEX(Registre!$O$8:$O$507,$P26))</f>
        <v>51</v>
      </c>
      <c r="L26" s="94">
        <f>IF($P26="","",INDEX(Registre!$P$8:$P$507,$P26))</f>
        <v>138</v>
      </c>
      <c r="M26" s="90" t="str">
        <f>IF($P26="","",INDEX(Registre!$R$8:$R$507,$P26)&amp;"")</f>
        <v>Ressuyé</v>
      </c>
      <c r="N26" s="95" t="str">
        <f>IF($P26="","",INDEX(Registre!$W$8:$W$507,$P26)&amp;"")</f>
        <v>Conforme</v>
      </c>
      <c r="P26" s="88">
        <f>IFERROR(MATCH(2,Registre!$AR$8:$AR$507,0),"")</f>
        <v>25</v>
      </c>
    </row>
    <row r="27" spans="2:16" ht="18.95" customHeight="1" x14ac:dyDescent="0.25">
      <c r="B27" s="89">
        <f>IF($P27="","",INDEX(Registre!$C$8:$C$507,$P27))</f>
        <v>46512</v>
      </c>
      <c r="C27" s="90" t="str">
        <f>IF($P27="","",INDEX(Registre!$G$8:$G$507,$P27)&amp;"")</f>
        <v>Engrais 18-46-0</v>
      </c>
      <c r="D27" s="91" t="str">
        <f>IF($P27="","",INDEX(Registre!$H$8:$H$507,$P27)&amp;"")</f>
        <v>Type III</v>
      </c>
      <c r="E27" s="90" t="str">
        <f>IF($P27="","",INDEX(Registre!$F$8:$F$507,$P27)&amp;"")</f>
        <v>Sol nu avant semis</v>
      </c>
      <c r="F27" s="92">
        <f>IF($P27="","",INDEX(Registre!$I$8:$I$507,$P27))</f>
        <v>16.2</v>
      </c>
      <c r="G27" s="93">
        <f>IF($P27="","",INDEX(Registre!$J$8:$J$507,$P27))</f>
        <v>90</v>
      </c>
      <c r="H27" s="91" t="str">
        <f>IF($P27="","",INDEX(Registre!$K$8:$K$507,$P27)&amp;"")</f>
        <v>kg</v>
      </c>
      <c r="I27" s="94">
        <f>IF($P27="","",INDEX(Registre!$M$8:$M$507,$P27))</f>
        <v>16.2</v>
      </c>
      <c r="J27" s="94">
        <f>IF($P27="","",INDEX(Registre!$N$8:$N$507,$P27))</f>
        <v>16.2</v>
      </c>
      <c r="K27" s="94">
        <f>IF($P27="","",INDEX(Registre!$O$8:$O$507,$P27))</f>
        <v>41.4</v>
      </c>
      <c r="L27" s="94">
        <f>IF($P27="","",INDEX(Registre!$P$8:$P$507,$P27))</f>
        <v>0</v>
      </c>
      <c r="M27" s="90" t="str">
        <f>IF($P27="","",INDEX(Registre!$R$8:$R$507,$P27)&amp;"")</f>
        <v>Ressuyé</v>
      </c>
      <c r="N27" s="95" t="str">
        <f>IF($P27="","",INDEX(Registre!$W$8:$W$507,$P27)&amp;"")</f>
        <v>Conforme</v>
      </c>
      <c r="P27" s="88">
        <f>IFERROR(MATCH(3,Registre!$AR$8:$AR$507,0),"")</f>
        <v>26</v>
      </c>
    </row>
    <row r="28" spans="2:16" ht="18.95" customHeight="1" x14ac:dyDescent="0.25">
      <c r="B28" s="89" t="str">
        <f>IF($P28="","",INDEX(Registre!$C$8:$C$507,$P28))</f>
        <v/>
      </c>
      <c r="C28" s="90" t="str">
        <f>IF($P28="","",INDEX(Registre!$G$8:$G$507,$P28)&amp;"")</f>
        <v/>
      </c>
      <c r="D28" s="91" t="str">
        <f>IF($P28="","",INDEX(Registre!$H$8:$H$507,$P28)&amp;"")</f>
        <v/>
      </c>
      <c r="E28" s="90" t="str">
        <f>IF($P28="","",INDEX(Registre!$F$8:$F$507,$P28)&amp;"")</f>
        <v/>
      </c>
      <c r="F28" s="92" t="str">
        <f>IF($P28="","",INDEX(Registre!$I$8:$I$507,$P28))</f>
        <v/>
      </c>
      <c r="G28" s="93" t="str">
        <f>IF($P28="","",INDEX(Registre!$J$8:$J$507,$P28))</f>
        <v/>
      </c>
      <c r="H28" s="91" t="str">
        <f>IF($P28="","",INDEX(Registre!$K$8:$K$507,$P28)&amp;"")</f>
        <v/>
      </c>
      <c r="I28" s="94" t="str">
        <f>IF($P28="","",INDEX(Registre!$M$8:$M$507,$P28))</f>
        <v/>
      </c>
      <c r="J28" s="94" t="str">
        <f>IF($P28="","",INDEX(Registre!$N$8:$N$507,$P28))</f>
        <v/>
      </c>
      <c r="K28" s="94" t="str">
        <f>IF($P28="","",INDEX(Registre!$O$8:$O$507,$P28))</f>
        <v/>
      </c>
      <c r="L28" s="94" t="str">
        <f>IF($P28="","",INDEX(Registre!$P$8:$P$507,$P28))</f>
        <v/>
      </c>
      <c r="M28" s="90" t="str">
        <f>IF($P28="","",INDEX(Registre!$R$8:$R$507,$P28)&amp;"")</f>
        <v/>
      </c>
      <c r="N28" s="95" t="str">
        <f>IF($P28="","",INDEX(Registre!$W$8:$W$507,$P28)&amp;"")</f>
        <v/>
      </c>
      <c r="P28" s="88" t="str">
        <f>IFERROR(MATCH(4,Registre!$AR$8:$AR$507,0),"")</f>
        <v/>
      </c>
    </row>
    <row r="29" spans="2:16" ht="18.95" customHeight="1" x14ac:dyDescent="0.25">
      <c r="B29" s="89" t="str">
        <f>IF($P29="","",INDEX(Registre!$C$8:$C$507,$P29))</f>
        <v/>
      </c>
      <c r="C29" s="90" t="str">
        <f>IF($P29="","",INDEX(Registre!$G$8:$G$507,$P29)&amp;"")</f>
        <v/>
      </c>
      <c r="D29" s="91" t="str">
        <f>IF($P29="","",INDEX(Registre!$H$8:$H$507,$P29)&amp;"")</f>
        <v/>
      </c>
      <c r="E29" s="90" t="str">
        <f>IF($P29="","",INDEX(Registre!$F$8:$F$507,$P29)&amp;"")</f>
        <v/>
      </c>
      <c r="F29" s="92" t="str">
        <f>IF($P29="","",INDEX(Registre!$I$8:$I$507,$P29))</f>
        <v/>
      </c>
      <c r="G29" s="93" t="str">
        <f>IF($P29="","",INDEX(Registre!$J$8:$J$507,$P29))</f>
        <v/>
      </c>
      <c r="H29" s="91" t="str">
        <f>IF($P29="","",INDEX(Registre!$K$8:$K$507,$P29)&amp;"")</f>
        <v/>
      </c>
      <c r="I29" s="94" t="str">
        <f>IF($P29="","",INDEX(Registre!$M$8:$M$507,$P29))</f>
        <v/>
      </c>
      <c r="J29" s="94" t="str">
        <f>IF($P29="","",INDEX(Registre!$N$8:$N$507,$P29))</f>
        <v/>
      </c>
      <c r="K29" s="94" t="str">
        <f>IF($P29="","",INDEX(Registre!$O$8:$O$507,$P29))</f>
        <v/>
      </c>
      <c r="L29" s="94" t="str">
        <f>IF($P29="","",INDEX(Registre!$P$8:$P$507,$P29))</f>
        <v/>
      </c>
      <c r="M29" s="90" t="str">
        <f>IF($P29="","",INDEX(Registre!$R$8:$R$507,$P29)&amp;"")</f>
        <v/>
      </c>
      <c r="N29" s="95" t="str">
        <f>IF($P29="","",INDEX(Registre!$W$8:$W$507,$P29)&amp;"")</f>
        <v/>
      </c>
      <c r="P29" s="88" t="str">
        <f>IFERROR(MATCH(5,Registre!$AR$8:$AR$507,0),"")</f>
        <v/>
      </c>
    </row>
    <row r="30" spans="2:16" ht="18.95" customHeight="1" x14ac:dyDescent="0.25">
      <c r="B30" s="89" t="str">
        <f>IF($P30="","",INDEX(Registre!$C$8:$C$507,$P30))</f>
        <v/>
      </c>
      <c r="C30" s="90" t="str">
        <f>IF($P30="","",INDEX(Registre!$G$8:$G$507,$P30)&amp;"")</f>
        <v/>
      </c>
      <c r="D30" s="91" t="str">
        <f>IF($P30="","",INDEX(Registre!$H$8:$H$507,$P30)&amp;"")</f>
        <v/>
      </c>
      <c r="E30" s="90" t="str">
        <f>IF($P30="","",INDEX(Registre!$F$8:$F$507,$P30)&amp;"")</f>
        <v/>
      </c>
      <c r="F30" s="92" t="str">
        <f>IF($P30="","",INDEX(Registre!$I$8:$I$507,$P30))</f>
        <v/>
      </c>
      <c r="G30" s="93" t="str">
        <f>IF($P30="","",INDEX(Registre!$J$8:$J$507,$P30))</f>
        <v/>
      </c>
      <c r="H30" s="91" t="str">
        <f>IF($P30="","",INDEX(Registre!$K$8:$K$507,$P30)&amp;"")</f>
        <v/>
      </c>
      <c r="I30" s="94" t="str">
        <f>IF($P30="","",INDEX(Registre!$M$8:$M$507,$P30))</f>
        <v/>
      </c>
      <c r="J30" s="94" t="str">
        <f>IF($P30="","",INDEX(Registre!$N$8:$N$507,$P30))</f>
        <v/>
      </c>
      <c r="K30" s="94" t="str">
        <f>IF($P30="","",INDEX(Registre!$O$8:$O$507,$P30))</f>
        <v/>
      </c>
      <c r="L30" s="94" t="str">
        <f>IF($P30="","",INDEX(Registre!$P$8:$P$507,$P30))</f>
        <v/>
      </c>
      <c r="M30" s="90" t="str">
        <f>IF($P30="","",INDEX(Registre!$R$8:$R$507,$P30)&amp;"")</f>
        <v/>
      </c>
      <c r="N30" s="95" t="str">
        <f>IF($P30="","",INDEX(Registre!$W$8:$W$507,$P30)&amp;"")</f>
        <v/>
      </c>
      <c r="P30" s="88" t="str">
        <f>IFERROR(MATCH(6,Registre!$AR$8:$AR$507,0),"")</f>
        <v/>
      </c>
    </row>
    <row r="31" spans="2:16" ht="18.95" customHeight="1" x14ac:dyDescent="0.25">
      <c r="B31" s="89" t="str">
        <f>IF($P31="","",INDEX(Registre!$C$8:$C$507,$P31))</f>
        <v/>
      </c>
      <c r="C31" s="90" t="str">
        <f>IF($P31="","",INDEX(Registre!$G$8:$G$507,$P31)&amp;"")</f>
        <v/>
      </c>
      <c r="D31" s="91" t="str">
        <f>IF($P31="","",INDEX(Registre!$H$8:$H$507,$P31)&amp;"")</f>
        <v/>
      </c>
      <c r="E31" s="90" t="str">
        <f>IF($P31="","",INDEX(Registre!$F$8:$F$507,$P31)&amp;"")</f>
        <v/>
      </c>
      <c r="F31" s="92" t="str">
        <f>IF($P31="","",INDEX(Registre!$I$8:$I$507,$P31))</f>
        <v/>
      </c>
      <c r="G31" s="93" t="str">
        <f>IF($P31="","",INDEX(Registre!$J$8:$J$507,$P31))</f>
        <v/>
      </c>
      <c r="H31" s="91" t="str">
        <f>IF($P31="","",INDEX(Registre!$K$8:$K$507,$P31)&amp;"")</f>
        <v/>
      </c>
      <c r="I31" s="94" t="str">
        <f>IF($P31="","",INDEX(Registre!$M$8:$M$507,$P31))</f>
        <v/>
      </c>
      <c r="J31" s="94" t="str">
        <f>IF($P31="","",INDEX(Registre!$N$8:$N$507,$P31))</f>
        <v/>
      </c>
      <c r="K31" s="94" t="str">
        <f>IF($P31="","",INDEX(Registre!$O$8:$O$507,$P31))</f>
        <v/>
      </c>
      <c r="L31" s="94" t="str">
        <f>IF($P31="","",INDEX(Registre!$P$8:$P$507,$P31))</f>
        <v/>
      </c>
      <c r="M31" s="90" t="str">
        <f>IF($P31="","",INDEX(Registre!$R$8:$R$507,$P31)&amp;"")</f>
        <v/>
      </c>
      <c r="N31" s="95" t="str">
        <f>IF($P31="","",INDEX(Registre!$W$8:$W$507,$P31)&amp;"")</f>
        <v/>
      </c>
      <c r="P31" s="88" t="str">
        <f>IFERROR(MATCH(7,Registre!$AR$8:$AR$507,0),"")</f>
        <v/>
      </c>
    </row>
    <row r="32" spans="2:16" ht="18.95" customHeight="1" x14ac:dyDescent="0.25">
      <c r="B32" s="89" t="str">
        <f>IF($P32="","",INDEX(Registre!$C$8:$C$507,$P32))</f>
        <v/>
      </c>
      <c r="C32" s="90" t="str">
        <f>IF($P32="","",INDEX(Registre!$G$8:$G$507,$P32)&amp;"")</f>
        <v/>
      </c>
      <c r="D32" s="91" t="str">
        <f>IF($P32="","",INDEX(Registre!$H$8:$H$507,$P32)&amp;"")</f>
        <v/>
      </c>
      <c r="E32" s="90" t="str">
        <f>IF($P32="","",INDEX(Registre!$F$8:$F$507,$P32)&amp;"")</f>
        <v/>
      </c>
      <c r="F32" s="92" t="str">
        <f>IF($P32="","",INDEX(Registre!$I$8:$I$507,$P32))</f>
        <v/>
      </c>
      <c r="G32" s="93" t="str">
        <f>IF($P32="","",INDEX(Registre!$J$8:$J$507,$P32))</f>
        <v/>
      </c>
      <c r="H32" s="91" t="str">
        <f>IF($P32="","",INDEX(Registre!$K$8:$K$507,$P32)&amp;"")</f>
        <v/>
      </c>
      <c r="I32" s="94" t="str">
        <f>IF($P32="","",INDEX(Registre!$M$8:$M$507,$P32))</f>
        <v/>
      </c>
      <c r="J32" s="94" t="str">
        <f>IF($P32="","",INDEX(Registre!$N$8:$N$507,$P32))</f>
        <v/>
      </c>
      <c r="K32" s="94" t="str">
        <f>IF($P32="","",INDEX(Registre!$O$8:$O$507,$P32))</f>
        <v/>
      </c>
      <c r="L32" s="94" t="str">
        <f>IF($P32="","",INDEX(Registre!$P$8:$P$507,$P32))</f>
        <v/>
      </c>
      <c r="M32" s="90" t="str">
        <f>IF($P32="","",INDEX(Registre!$R$8:$R$507,$P32)&amp;"")</f>
        <v/>
      </c>
      <c r="N32" s="95" t="str">
        <f>IF($P32="","",INDEX(Registre!$W$8:$W$507,$P32)&amp;"")</f>
        <v/>
      </c>
      <c r="P32" s="88" t="str">
        <f>IFERROR(MATCH(8,Registre!$AR$8:$AR$507,0),"")</f>
        <v/>
      </c>
    </row>
    <row r="33" spans="2:16" ht="18.95" customHeight="1" x14ac:dyDescent="0.25">
      <c r="B33" s="89" t="str">
        <f>IF($P33="","",INDEX(Registre!$C$8:$C$507,$P33))</f>
        <v/>
      </c>
      <c r="C33" s="90" t="str">
        <f>IF($P33="","",INDEX(Registre!$G$8:$G$507,$P33)&amp;"")</f>
        <v/>
      </c>
      <c r="D33" s="91" t="str">
        <f>IF($P33="","",INDEX(Registre!$H$8:$H$507,$P33)&amp;"")</f>
        <v/>
      </c>
      <c r="E33" s="90" t="str">
        <f>IF($P33="","",INDEX(Registre!$F$8:$F$507,$P33)&amp;"")</f>
        <v/>
      </c>
      <c r="F33" s="92" t="str">
        <f>IF($P33="","",INDEX(Registre!$I$8:$I$507,$P33))</f>
        <v/>
      </c>
      <c r="G33" s="93" t="str">
        <f>IF($P33="","",INDEX(Registre!$J$8:$J$507,$P33))</f>
        <v/>
      </c>
      <c r="H33" s="91" t="str">
        <f>IF($P33="","",INDEX(Registre!$K$8:$K$507,$P33)&amp;"")</f>
        <v/>
      </c>
      <c r="I33" s="94" t="str">
        <f>IF($P33="","",INDEX(Registre!$M$8:$M$507,$P33))</f>
        <v/>
      </c>
      <c r="J33" s="94" t="str">
        <f>IF($P33="","",INDEX(Registre!$N$8:$N$507,$P33))</f>
        <v/>
      </c>
      <c r="K33" s="94" t="str">
        <f>IF($P33="","",INDEX(Registre!$O$8:$O$507,$P33))</f>
        <v/>
      </c>
      <c r="L33" s="94" t="str">
        <f>IF($P33="","",INDEX(Registre!$P$8:$P$507,$P33))</f>
        <v/>
      </c>
      <c r="M33" s="90" t="str">
        <f>IF($P33="","",INDEX(Registre!$R$8:$R$507,$P33)&amp;"")</f>
        <v/>
      </c>
      <c r="N33" s="95" t="str">
        <f>IF($P33="","",INDEX(Registre!$W$8:$W$507,$P33)&amp;"")</f>
        <v/>
      </c>
      <c r="P33" s="88" t="str">
        <f>IFERROR(MATCH(9,Registre!$AR$8:$AR$507,0),"")</f>
        <v/>
      </c>
    </row>
    <row r="34" spans="2:16" ht="18.95" customHeight="1" x14ac:dyDescent="0.25">
      <c r="B34" s="89" t="str">
        <f>IF($P34="","",INDEX(Registre!$C$8:$C$507,$P34))</f>
        <v/>
      </c>
      <c r="C34" s="90" t="str">
        <f>IF($P34="","",INDEX(Registre!$G$8:$G$507,$P34)&amp;"")</f>
        <v/>
      </c>
      <c r="D34" s="91" t="str">
        <f>IF($P34="","",INDEX(Registre!$H$8:$H$507,$P34)&amp;"")</f>
        <v/>
      </c>
      <c r="E34" s="90" t="str">
        <f>IF($P34="","",INDEX(Registre!$F$8:$F$507,$P34)&amp;"")</f>
        <v/>
      </c>
      <c r="F34" s="92" t="str">
        <f>IF($P34="","",INDEX(Registre!$I$8:$I$507,$P34))</f>
        <v/>
      </c>
      <c r="G34" s="93" t="str">
        <f>IF($P34="","",INDEX(Registre!$J$8:$J$507,$P34))</f>
        <v/>
      </c>
      <c r="H34" s="91" t="str">
        <f>IF($P34="","",INDEX(Registre!$K$8:$K$507,$P34)&amp;"")</f>
        <v/>
      </c>
      <c r="I34" s="94" t="str">
        <f>IF($P34="","",INDEX(Registre!$M$8:$M$507,$P34))</f>
        <v/>
      </c>
      <c r="J34" s="94" t="str">
        <f>IF($P34="","",INDEX(Registre!$N$8:$N$507,$P34))</f>
        <v/>
      </c>
      <c r="K34" s="94" t="str">
        <f>IF($P34="","",INDEX(Registre!$O$8:$O$507,$P34))</f>
        <v/>
      </c>
      <c r="L34" s="94" t="str">
        <f>IF($P34="","",INDEX(Registre!$P$8:$P$507,$P34))</f>
        <v/>
      </c>
      <c r="M34" s="90" t="str">
        <f>IF($P34="","",INDEX(Registre!$R$8:$R$507,$P34)&amp;"")</f>
        <v/>
      </c>
      <c r="N34" s="95" t="str">
        <f>IF($P34="","",INDEX(Registre!$W$8:$W$507,$P34)&amp;"")</f>
        <v/>
      </c>
      <c r="P34" s="88" t="str">
        <f>IFERROR(MATCH(10,Registre!$AR$8:$AR$507,0),"")</f>
        <v/>
      </c>
    </row>
    <row r="35" spans="2:16" ht="18.95" customHeight="1" x14ac:dyDescent="0.25">
      <c r="B35" s="89" t="str">
        <f>IF($P35="","",INDEX(Registre!$C$8:$C$507,$P35))</f>
        <v/>
      </c>
      <c r="C35" s="90" t="str">
        <f>IF($P35="","",INDEX(Registre!$G$8:$G$507,$P35)&amp;"")</f>
        <v/>
      </c>
      <c r="D35" s="91" t="str">
        <f>IF($P35="","",INDEX(Registre!$H$8:$H$507,$P35)&amp;"")</f>
        <v/>
      </c>
      <c r="E35" s="90" t="str">
        <f>IF($P35="","",INDEX(Registre!$F$8:$F$507,$P35)&amp;"")</f>
        <v/>
      </c>
      <c r="F35" s="92" t="str">
        <f>IF($P35="","",INDEX(Registre!$I$8:$I$507,$P35))</f>
        <v/>
      </c>
      <c r="G35" s="93" t="str">
        <f>IF($P35="","",INDEX(Registre!$J$8:$J$507,$P35))</f>
        <v/>
      </c>
      <c r="H35" s="91" t="str">
        <f>IF($P35="","",INDEX(Registre!$K$8:$K$507,$P35)&amp;"")</f>
        <v/>
      </c>
      <c r="I35" s="94" t="str">
        <f>IF($P35="","",INDEX(Registre!$M$8:$M$507,$P35))</f>
        <v/>
      </c>
      <c r="J35" s="94" t="str">
        <f>IF($P35="","",INDEX(Registre!$N$8:$N$507,$P35))</f>
        <v/>
      </c>
      <c r="K35" s="94" t="str">
        <f>IF($P35="","",INDEX(Registre!$O$8:$O$507,$P35))</f>
        <v/>
      </c>
      <c r="L35" s="94" t="str">
        <f>IF($P35="","",INDEX(Registre!$P$8:$P$507,$P35))</f>
        <v/>
      </c>
      <c r="M35" s="90" t="str">
        <f>IF($P35="","",INDEX(Registre!$R$8:$R$507,$P35)&amp;"")</f>
        <v/>
      </c>
      <c r="N35" s="95" t="str">
        <f>IF($P35="","",INDEX(Registre!$W$8:$W$507,$P35)&amp;"")</f>
        <v/>
      </c>
      <c r="P35" s="88" t="str">
        <f>IFERROR(MATCH(11,Registre!$AR$8:$AR$507,0),"")</f>
        <v/>
      </c>
    </row>
    <row r="36" spans="2:16" ht="18.95" customHeight="1" x14ac:dyDescent="0.25">
      <c r="B36" s="89" t="str">
        <f>IF($P36="","",INDEX(Registre!$C$8:$C$507,$P36))</f>
        <v/>
      </c>
      <c r="C36" s="90" t="str">
        <f>IF($P36="","",INDEX(Registre!$G$8:$G$507,$P36)&amp;"")</f>
        <v/>
      </c>
      <c r="D36" s="91" t="str">
        <f>IF($P36="","",INDEX(Registre!$H$8:$H$507,$P36)&amp;"")</f>
        <v/>
      </c>
      <c r="E36" s="90" t="str">
        <f>IF($P36="","",INDEX(Registre!$F$8:$F$507,$P36)&amp;"")</f>
        <v/>
      </c>
      <c r="F36" s="92" t="str">
        <f>IF($P36="","",INDEX(Registre!$I$8:$I$507,$P36))</f>
        <v/>
      </c>
      <c r="G36" s="93" t="str">
        <f>IF($P36="","",INDEX(Registre!$J$8:$J$507,$P36))</f>
        <v/>
      </c>
      <c r="H36" s="91" t="str">
        <f>IF($P36="","",INDEX(Registre!$K$8:$K$507,$P36)&amp;"")</f>
        <v/>
      </c>
      <c r="I36" s="94" t="str">
        <f>IF($P36="","",INDEX(Registre!$M$8:$M$507,$P36))</f>
        <v/>
      </c>
      <c r="J36" s="94" t="str">
        <f>IF($P36="","",INDEX(Registre!$N$8:$N$507,$P36))</f>
        <v/>
      </c>
      <c r="K36" s="94" t="str">
        <f>IF($P36="","",INDEX(Registre!$O$8:$O$507,$P36))</f>
        <v/>
      </c>
      <c r="L36" s="94" t="str">
        <f>IF($P36="","",INDEX(Registre!$P$8:$P$507,$P36))</f>
        <v/>
      </c>
      <c r="M36" s="90" t="str">
        <f>IF($P36="","",INDEX(Registre!$R$8:$R$507,$P36)&amp;"")</f>
        <v/>
      </c>
      <c r="N36" s="95" t="str">
        <f>IF($P36="","",INDEX(Registre!$W$8:$W$507,$P36)&amp;"")</f>
        <v/>
      </c>
      <c r="P36" s="88" t="str">
        <f>IFERROR(MATCH(12,Registre!$AR$8:$AR$507,0),"")</f>
        <v/>
      </c>
    </row>
    <row r="37" spans="2:16" ht="18.95" customHeight="1" x14ac:dyDescent="0.25">
      <c r="B37" s="89" t="str">
        <f>IF($P37="","",INDEX(Registre!$C$8:$C$507,$P37))</f>
        <v/>
      </c>
      <c r="C37" s="90" t="str">
        <f>IF($P37="","",INDEX(Registre!$G$8:$G$507,$P37)&amp;"")</f>
        <v/>
      </c>
      <c r="D37" s="91" t="str">
        <f>IF($P37="","",INDEX(Registre!$H$8:$H$507,$P37)&amp;"")</f>
        <v/>
      </c>
      <c r="E37" s="90" t="str">
        <f>IF($P37="","",INDEX(Registre!$F$8:$F$507,$P37)&amp;"")</f>
        <v/>
      </c>
      <c r="F37" s="92" t="str">
        <f>IF($P37="","",INDEX(Registre!$I$8:$I$507,$P37))</f>
        <v/>
      </c>
      <c r="G37" s="93" t="str">
        <f>IF($P37="","",INDEX(Registre!$J$8:$J$507,$P37))</f>
        <v/>
      </c>
      <c r="H37" s="91" t="str">
        <f>IF($P37="","",INDEX(Registre!$K$8:$K$507,$P37)&amp;"")</f>
        <v/>
      </c>
      <c r="I37" s="94" t="str">
        <f>IF($P37="","",INDEX(Registre!$M$8:$M$507,$P37))</f>
        <v/>
      </c>
      <c r="J37" s="94" t="str">
        <f>IF($P37="","",INDEX(Registre!$N$8:$N$507,$P37))</f>
        <v/>
      </c>
      <c r="K37" s="94" t="str">
        <f>IF($P37="","",INDEX(Registre!$O$8:$O$507,$P37))</f>
        <v/>
      </c>
      <c r="L37" s="94" t="str">
        <f>IF($P37="","",INDEX(Registre!$P$8:$P$507,$P37))</f>
        <v/>
      </c>
      <c r="M37" s="90" t="str">
        <f>IF($P37="","",INDEX(Registre!$R$8:$R$507,$P37)&amp;"")</f>
        <v/>
      </c>
      <c r="N37" s="95" t="str">
        <f>IF($P37="","",INDEX(Registre!$W$8:$W$507,$P37)&amp;"")</f>
        <v/>
      </c>
      <c r="P37" s="88" t="str">
        <f>IFERROR(MATCH(13,Registre!$AR$8:$AR$507,0),"")</f>
        <v/>
      </c>
    </row>
    <row r="38" spans="2:16" ht="18.95" customHeight="1" x14ac:dyDescent="0.25">
      <c r="B38" s="89" t="str">
        <f>IF($P38="","",INDEX(Registre!$C$8:$C$507,$P38))</f>
        <v/>
      </c>
      <c r="C38" s="90" t="str">
        <f>IF($P38="","",INDEX(Registre!$G$8:$G$507,$P38)&amp;"")</f>
        <v/>
      </c>
      <c r="D38" s="91" t="str">
        <f>IF($P38="","",INDEX(Registre!$H$8:$H$507,$P38)&amp;"")</f>
        <v/>
      </c>
      <c r="E38" s="90" t="str">
        <f>IF($P38="","",INDEX(Registre!$F$8:$F$507,$P38)&amp;"")</f>
        <v/>
      </c>
      <c r="F38" s="92" t="str">
        <f>IF($P38="","",INDEX(Registre!$I$8:$I$507,$P38))</f>
        <v/>
      </c>
      <c r="G38" s="93" t="str">
        <f>IF($P38="","",INDEX(Registre!$J$8:$J$507,$P38))</f>
        <v/>
      </c>
      <c r="H38" s="91" t="str">
        <f>IF($P38="","",INDEX(Registre!$K$8:$K$507,$P38)&amp;"")</f>
        <v/>
      </c>
      <c r="I38" s="94" t="str">
        <f>IF($P38="","",INDEX(Registre!$M$8:$M$507,$P38))</f>
        <v/>
      </c>
      <c r="J38" s="94" t="str">
        <f>IF($P38="","",INDEX(Registre!$N$8:$N$507,$P38))</f>
        <v/>
      </c>
      <c r="K38" s="94" t="str">
        <f>IF($P38="","",INDEX(Registre!$O$8:$O$507,$P38))</f>
        <v/>
      </c>
      <c r="L38" s="94" t="str">
        <f>IF($P38="","",INDEX(Registre!$P$8:$P$507,$P38))</f>
        <v/>
      </c>
      <c r="M38" s="90" t="str">
        <f>IF($P38="","",INDEX(Registre!$R$8:$R$507,$P38)&amp;"")</f>
        <v/>
      </c>
      <c r="N38" s="95" t="str">
        <f>IF($P38="","",INDEX(Registre!$W$8:$W$507,$P38)&amp;"")</f>
        <v/>
      </c>
      <c r="P38" s="88" t="str">
        <f>IFERROR(MATCH(14,Registre!$AR$8:$AR$507,0),"")</f>
        <v/>
      </c>
    </row>
    <row r="39" spans="2:16" ht="18.95" customHeight="1" x14ac:dyDescent="0.25">
      <c r="B39" s="89" t="str">
        <f>IF($P39="","",INDEX(Registre!$C$8:$C$507,$P39))</f>
        <v/>
      </c>
      <c r="C39" s="90" t="str">
        <f>IF($P39="","",INDEX(Registre!$G$8:$G$507,$P39)&amp;"")</f>
        <v/>
      </c>
      <c r="D39" s="91" t="str">
        <f>IF($P39="","",INDEX(Registre!$H$8:$H$507,$P39)&amp;"")</f>
        <v/>
      </c>
      <c r="E39" s="90" t="str">
        <f>IF($P39="","",INDEX(Registre!$F$8:$F$507,$P39)&amp;"")</f>
        <v/>
      </c>
      <c r="F39" s="92" t="str">
        <f>IF($P39="","",INDEX(Registre!$I$8:$I$507,$P39))</f>
        <v/>
      </c>
      <c r="G39" s="93" t="str">
        <f>IF($P39="","",INDEX(Registre!$J$8:$J$507,$P39))</f>
        <v/>
      </c>
      <c r="H39" s="91" t="str">
        <f>IF($P39="","",INDEX(Registre!$K$8:$K$507,$P39)&amp;"")</f>
        <v/>
      </c>
      <c r="I39" s="94" t="str">
        <f>IF($P39="","",INDEX(Registre!$M$8:$M$507,$P39))</f>
        <v/>
      </c>
      <c r="J39" s="94" t="str">
        <f>IF($P39="","",INDEX(Registre!$N$8:$N$507,$P39))</f>
        <v/>
      </c>
      <c r="K39" s="94" t="str">
        <f>IF($P39="","",INDEX(Registre!$O$8:$O$507,$P39))</f>
        <v/>
      </c>
      <c r="L39" s="94" t="str">
        <f>IF($P39="","",INDEX(Registre!$P$8:$P$507,$P39))</f>
        <v/>
      </c>
      <c r="M39" s="90" t="str">
        <f>IF($P39="","",INDEX(Registre!$R$8:$R$507,$P39)&amp;"")</f>
        <v/>
      </c>
      <c r="N39" s="95" t="str">
        <f>IF($P39="","",INDEX(Registre!$W$8:$W$507,$P39)&amp;"")</f>
        <v/>
      </c>
      <c r="P39" s="88" t="str">
        <f>IFERROR(MATCH(15,Registre!$AR$8:$AR$507,0),"")</f>
        <v/>
      </c>
    </row>
    <row r="40" spans="2:16" ht="18.95" customHeight="1" x14ac:dyDescent="0.25">
      <c r="B40" s="89" t="str">
        <f>IF($P40="","",INDEX(Registre!$C$8:$C$507,$P40))</f>
        <v/>
      </c>
      <c r="C40" s="90" t="str">
        <f>IF($P40="","",INDEX(Registre!$G$8:$G$507,$P40)&amp;"")</f>
        <v/>
      </c>
      <c r="D40" s="91" t="str">
        <f>IF($P40="","",INDEX(Registre!$H$8:$H$507,$P40)&amp;"")</f>
        <v/>
      </c>
      <c r="E40" s="90" t="str">
        <f>IF($P40="","",INDEX(Registre!$F$8:$F$507,$P40)&amp;"")</f>
        <v/>
      </c>
      <c r="F40" s="92" t="str">
        <f>IF($P40="","",INDEX(Registre!$I$8:$I$507,$P40))</f>
        <v/>
      </c>
      <c r="G40" s="93" t="str">
        <f>IF($P40="","",INDEX(Registre!$J$8:$J$507,$P40))</f>
        <v/>
      </c>
      <c r="H40" s="91" t="str">
        <f>IF($P40="","",INDEX(Registre!$K$8:$K$507,$P40)&amp;"")</f>
        <v/>
      </c>
      <c r="I40" s="94" t="str">
        <f>IF($P40="","",INDEX(Registre!$M$8:$M$507,$P40))</f>
        <v/>
      </c>
      <c r="J40" s="94" t="str">
        <f>IF($P40="","",INDEX(Registre!$N$8:$N$507,$P40))</f>
        <v/>
      </c>
      <c r="K40" s="94" t="str">
        <f>IF($P40="","",INDEX(Registre!$O$8:$O$507,$P40))</f>
        <v/>
      </c>
      <c r="L40" s="94" t="str">
        <f>IF($P40="","",INDEX(Registre!$P$8:$P$507,$P40))</f>
        <v/>
      </c>
      <c r="M40" s="90" t="str">
        <f>IF($P40="","",INDEX(Registre!$R$8:$R$507,$P40)&amp;"")</f>
        <v/>
      </c>
      <c r="N40" s="95" t="str">
        <f>IF($P40="","",INDEX(Registre!$W$8:$W$507,$P40)&amp;"")</f>
        <v/>
      </c>
      <c r="P40" s="88" t="str">
        <f>IFERROR(MATCH(16,Registre!$AR$8:$AR$507,0),"")</f>
        <v/>
      </c>
    </row>
    <row r="41" spans="2:16" ht="18.95" customHeight="1" x14ac:dyDescent="0.25">
      <c r="B41" s="89" t="str">
        <f>IF($P41="","",INDEX(Registre!$C$8:$C$507,$P41))</f>
        <v/>
      </c>
      <c r="C41" s="90" t="str">
        <f>IF($P41="","",INDEX(Registre!$G$8:$G$507,$P41)&amp;"")</f>
        <v/>
      </c>
      <c r="D41" s="91" t="str">
        <f>IF($P41="","",INDEX(Registre!$H$8:$H$507,$P41)&amp;"")</f>
        <v/>
      </c>
      <c r="E41" s="90" t="str">
        <f>IF($P41="","",INDEX(Registre!$F$8:$F$507,$P41)&amp;"")</f>
        <v/>
      </c>
      <c r="F41" s="92" t="str">
        <f>IF($P41="","",INDEX(Registre!$I$8:$I$507,$P41))</f>
        <v/>
      </c>
      <c r="G41" s="93" t="str">
        <f>IF($P41="","",INDEX(Registre!$J$8:$J$507,$P41))</f>
        <v/>
      </c>
      <c r="H41" s="91" t="str">
        <f>IF($P41="","",INDEX(Registre!$K$8:$K$507,$P41)&amp;"")</f>
        <v/>
      </c>
      <c r="I41" s="94" t="str">
        <f>IF($P41="","",INDEX(Registre!$M$8:$M$507,$P41))</f>
        <v/>
      </c>
      <c r="J41" s="94" t="str">
        <f>IF($P41="","",INDEX(Registre!$N$8:$N$507,$P41))</f>
        <v/>
      </c>
      <c r="K41" s="94" t="str">
        <f>IF($P41="","",INDEX(Registre!$O$8:$O$507,$P41))</f>
        <v/>
      </c>
      <c r="L41" s="94" t="str">
        <f>IF($P41="","",INDEX(Registre!$P$8:$P$507,$P41))</f>
        <v/>
      </c>
      <c r="M41" s="90" t="str">
        <f>IF($P41="","",INDEX(Registre!$R$8:$R$507,$P41)&amp;"")</f>
        <v/>
      </c>
      <c r="N41" s="95" t="str">
        <f>IF($P41="","",INDEX(Registre!$W$8:$W$507,$P41)&amp;"")</f>
        <v/>
      </c>
      <c r="P41" s="88" t="str">
        <f>IFERROR(MATCH(17,Registre!$AR$8:$AR$507,0),"")</f>
        <v/>
      </c>
    </row>
    <row r="42" spans="2:16" ht="18.95" customHeight="1" x14ac:dyDescent="0.25">
      <c r="B42" s="89" t="str">
        <f>IF($P42="","",INDEX(Registre!$C$8:$C$507,$P42))</f>
        <v/>
      </c>
      <c r="C42" s="90" t="str">
        <f>IF($P42="","",INDEX(Registre!$G$8:$G$507,$P42)&amp;"")</f>
        <v/>
      </c>
      <c r="D42" s="91" t="str">
        <f>IF($P42="","",INDEX(Registre!$H$8:$H$507,$P42)&amp;"")</f>
        <v/>
      </c>
      <c r="E42" s="90" t="str">
        <f>IF($P42="","",INDEX(Registre!$F$8:$F$507,$P42)&amp;"")</f>
        <v/>
      </c>
      <c r="F42" s="92" t="str">
        <f>IF($P42="","",INDEX(Registre!$I$8:$I$507,$P42))</f>
        <v/>
      </c>
      <c r="G42" s="93" t="str">
        <f>IF($P42="","",INDEX(Registre!$J$8:$J$507,$P42))</f>
        <v/>
      </c>
      <c r="H42" s="91" t="str">
        <f>IF($P42="","",INDEX(Registre!$K$8:$K$507,$P42)&amp;"")</f>
        <v/>
      </c>
      <c r="I42" s="94" t="str">
        <f>IF($P42="","",INDEX(Registre!$M$8:$M$507,$P42))</f>
        <v/>
      </c>
      <c r="J42" s="94" t="str">
        <f>IF($P42="","",INDEX(Registre!$N$8:$N$507,$P42))</f>
        <v/>
      </c>
      <c r="K42" s="94" t="str">
        <f>IF($P42="","",INDEX(Registre!$O$8:$O$507,$P42))</f>
        <v/>
      </c>
      <c r="L42" s="94" t="str">
        <f>IF($P42="","",INDEX(Registre!$P$8:$P$507,$P42))</f>
        <v/>
      </c>
      <c r="M42" s="90" t="str">
        <f>IF($P42="","",INDEX(Registre!$R$8:$R$507,$P42)&amp;"")</f>
        <v/>
      </c>
      <c r="N42" s="95" t="str">
        <f>IF($P42="","",INDEX(Registre!$W$8:$W$507,$P42)&amp;"")</f>
        <v/>
      </c>
      <c r="P42" s="88" t="str">
        <f>IFERROR(MATCH(18,Registre!$AR$8:$AR$507,0),"")</f>
        <v/>
      </c>
    </row>
    <row r="43" spans="2:16" ht="18.95" customHeight="1" x14ac:dyDescent="0.25">
      <c r="B43" s="89" t="str">
        <f>IF($P43="","",INDEX(Registre!$C$8:$C$507,$P43))</f>
        <v/>
      </c>
      <c r="C43" s="90" t="str">
        <f>IF($P43="","",INDEX(Registre!$G$8:$G$507,$P43)&amp;"")</f>
        <v/>
      </c>
      <c r="D43" s="91" t="str">
        <f>IF($P43="","",INDEX(Registre!$H$8:$H$507,$P43)&amp;"")</f>
        <v/>
      </c>
      <c r="E43" s="90" t="str">
        <f>IF($P43="","",INDEX(Registre!$F$8:$F$507,$P43)&amp;"")</f>
        <v/>
      </c>
      <c r="F43" s="92" t="str">
        <f>IF($P43="","",INDEX(Registre!$I$8:$I$507,$P43))</f>
        <v/>
      </c>
      <c r="G43" s="93" t="str">
        <f>IF($P43="","",INDEX(Registre!$J$8:$J$507,$P43))</f>
        <v/>
      </c>
      <c r="H43" s="91" t="str">
        <f>IF($P43="","",INDEX(Registre!$K$8:$K$507,$P43)&amp;"")</f>
        <v/>
      </c>
      <c r="I43" s="94" t="str">
        <f>IF($P43="","",INDEX(Registre!$M$8:$M$507,$P43))</f>
        <v/>
      </c>
      <c r="J43" s="94" t="str">
        <f>IF($P43="","",INDEX(Registre!$N$8:$N$507,$P43))</f>
        <v/>
      </c>
      <c r="K43" s="94" t="str">
        <f>IF($P43="","",INDEX(Registre!$O$8:$O$507,$P43))</f>
        <v/>
      </c>
      <c r="L43" s="94" t="str">
        <f>IF($P43="","",INDEX(Registre!$P$8:$P$507,$P43))</f>
        <v/>
      </c>
      <c r="M43" s="90" t="str">
        <f>IF($P43="","",INDEX(Registre!$R$8:$R$507,$P43)&amp;"")</f>
        <v/>
      </c>
      <c r="N43" s="95" t="str">
        <f>IF($P43="","",INDEX(Registre!$W$8:$W$507,$P43)&amp;"")</f>
        <v/>
      </c>
      <c r="P43" s="88" t="str">
        <f>IFERROR(MATCH(19,Registre!$AR$8:$AR$507,0),"")</f>
        <v/>
      </c>
    </row>
    <row r="44" spans="2:16" ht="18.95" customHeight="1" x14ac:dyDescent="0.25">
      <c r="B44" s="89" t="str">
        <f>IF($P44="","",INDEX(Registre!$C$8:$C$507,$P44))</f>
        <v/>
      </c>
      <c r="C44" s="90" t="str">
        <f>IF($P44="","",INDEX(Registre!$G$8:$G$507,$P44)&amp;"")</f>
        <v/>
      </c>
      <c r="D44" s="91" t="str">
        <f>IF($P44="","",INDEX(Registre!$H$8:$H$507,$P44)&amp;"")</f>
        <v/>
      </c>
      <c r="E44" s="90" t="str">
        <f>IF($P44="","",INDEX(Registre!$F$8:$F$507,$P44)&amp;"")</f>
        <v/>
      </c>
      <c r="F44" s="92" t="str">
        <f>IF($P44="","",INDEX(Registre!$I$8:$I$507,$P44))</f>
        <v/>
      </c>
      <c r="G44" s="93" t="str">
        <f>IF($P44="","",INDEX(Registre!$J$8:$J$507,$P44))</f>
        <v/>
      </c>
      <c r="H44" s="91" t="str">
        <f>IF($P44="","",INDEX(Registre!$K$8:$K$507,$P44)&amp;"")</f>
        <v/>
      </c>
      <c r="I44" s="94" t="str">
        <f>IF($P44="","",INDEX(Registre!$M$8:$M$507,$P44))</f>
        <v/>
      </c>
      <c r="J44" s="94" t="str">
        <f>IF($P44="","",INDEX(Registre!$N$8:$N$507,$P44))</f>
        <v/>
      </c>
      <c r="K44" s="94" t="str">
        <f>IF($P44="","",INDEX(Registre!$O$8:$O$507,$P44))</f>
        <v/>
      </c>
      <c r="L44" s="94" t="str">
        <f>IF($P44="","",INDEX(Registre!$P$8:$P$507,$P44))</f>
        <v/>
      </c>
      <c r="M44" s="90" t="str">
        <f>IF($P44="","",INDEX(Registre!$R$8:$R$507,$P44)&amp;"")</f>
        <v/>
      </c>
      <c r="N44" s="95" t="str">
        <f>IF($P44="","",INDEX(Registre!$W$8:$W$507,$P44)&amp;"")</f>
        <v/>
      </c>
      <c r="P44" s="88" t="str">
        <f>IFERROR(MATCH(20,Registre!$AR$8:$AR$507,0),"")</f>
        <v/>
      </c>
    </row>
    <row r="45" spans="2:16" ht="18.95" customHeight="1" x14ac:dyDescent="0.25">
      <c r="B45" s="89" t="str">
        <f>IF($P45="","",INDEX(Registre!$C$8:$C$507,$P45))</f>
        <v/>
      </c>
      <c r="C45" s="90" t="str">
        <f>IF($P45="","",INDEX(Registre!$G$8:$G$507,$P45)&amp;"")</f>
        <v/>
      </c>
      <c r="D45" s="91" t="str">
        <f>IF($P45="","",INDEX(Registre!$H$8:$H$507,$P45)&amp;"")</f>
        <v/>
      </c>
      <c r="E45" s="90" t="str">
        <f>IF($P45="","",INDEX(Registre!$F$8:$F$507,$P45)&amp;"")</f>
        <v/>
      </c>
      <c r="F45" s="92" t="str">
        <f>IF($P45="","",INDEX(Registre!$I$8:$I$507,$P45))</f>
        <v/>
      </c>
      <c r="G45" s="93" t="str">
        <f>IF($P45="","",INDEX(Registre!$J$8:$J$507,$P45))</f>
        <v/>
      </c>
      <c r="H45" s="91" t="str">
        <f>IF($P45="","",INDEX(Registre!$K$8:$K$507,$P45)&amp;"")</f>
        <v/>
      </c>
      <c r="I45" s="94" t="str">
        <f>IF($P45="","",INDEX(Registre!$M$8:$M$507,$P45))</f>
        <v/>
      </c>
      <c r="J45" s="94" t="str">
        <f>IF($P45="","",INDEX(Registre!$N$8:$N$507,$P45))</f>
        <v/>
      </c>
      <c r="K45" s="94" t="str">
        <f>IF($P45="","",INDEX(Registre!$O$8:$O$507,$P45))</f>
        <v/>
      </c>
      <c r="L45" s="94" t="str">
        <f>IF($P45="","",INDEX(Registre!$P$8:$P$507,$P45))</f>
        <v/>
      </c>
      <c r="M45" s="90" t="str">
        <f>IF($P45="","",INDEX(Registre!$R$8:$R$507,$P45)&amp;"")</f>
        <v/>
      </c>
      <c r="N45" s="95" t="str">
        <f>IF($P45="","",INDEX(Registre!$W$8:$W$507,$P45)&amp;"")</f>
        <v/>
      </c>
      <c r="P45" s="88" t="str">
        <f>IFERROR(MATCH(21,Registre!$AR$8:$AR$507,0),"")</f>
        <v/>
      </c>
    </row>
    <row r="46" spans="2:16" ht="18.95" customHeight="1" x14ac:dyDescent="0.25">
      <c r="B46" s="89" t="str">
        <f>IF($P46="","",INDEX(Registre!$C$8:$C$507,$P46))</f>
        <v/>
      </c>
      <c r="C46" s="90" t="str">
        <f>IF($P46="","",INDEX(Registre!$G$8:$G$507,$P46)&amp;"")</f>
        <v/>
      </c>
      <c r="D46" s="91" t="str">
        <f>IF($P46="","",INDEX(Registre!$H$8:$H$507,$P46)&amp;"")</f>
        <v/>
      </c>
      <c r="E46" s="90" t="str">
        <f>IF($P46="","",INDEX(Registre!$F$8:$F$507,$P46)&amp;"")</f>
        <v/>
      </c>
      <c r="F46" s="92" t="str">
        <f>IF($P46="","",INDEX(Registre!$I$8:$I$507,$P46))</f>
        <v/>
      </c>
      <c r="G46" s="93" t="str">
        <f>IF($P46="","",INDEX(Registre!$J$8:$J$507,$P46))</f>
        <v/>
      </c>
      <c r="H46" s="91" t="str">
        <f>IF($P46="","",INDEX(Registre!$K$8:$K$507,$P46)&amp;"")</f>
        <v/>
      </c>
      <c r="I46" s="94" t="str">
        <f>IF($P46="","",INDEX(Registre!$M$8:$M$507,$P46))</f>
        <v/>
      </c>
      <c r="J46" s="94" t="str">
        <f>IF($P46="","",INDEX(Registre!$N$8:$N$507,$P46))</f>
        <v/>
      </c>
      <c r="K46" s="94" t="str">
        <f>IF($P46="","",INDEX(Registre!$O$8:$O$507,$P46))</f>
        <v/>
      </c>
      <c r="L46" s="94" t="str">
        <f>IF($P46="","",INDEX(Registre!$P$8:$P$507,$P46))</f>
        <v/>
      </c>
      <c r="M46" s="90" t="str">
        <f>IF($P46="","",INDEX(Registre!$R$8:$R$507,$P46)&amp;"")</f>
        <v/>
      </c>
      <c r="N46" s="95" t="str">
        <f>IF($P46="","",INDEX(Registre!$W$8:$W$507,$P46)&amp;"")</f>
        <v/>
      </c>
      <c r="P46" s="88" t="str">
        <f>IFERROR(MATCH(22,Registre!$AR$8:$AR$507,0),"")</f>
        <v/>
      </c>
    </row>
    <row r="47" spans="2:16" ht="18.95" customHeight="1" x14ac:dyDescent="0.25">
      <c r="B47" s="89" t="str">
        <f>IF($P47="","",INDEX(Registre!$C$8:$C$507,$P47))</f>
        <v/>
      </c>
      <c r="C47" s="90" t="str">
        <f>IF($P47="","",INDEX(Registre!$G$8:$G$507,$P47)&amp;"")</f>
        <v/>
      </c>
      <c r="D47" s="91" t="str">
        <f>IF($P47="","",INDEX(Registre!$H$8:$H$507,$P47)&amp;"")</f>
        <v/>
      </c>
      <c r="E47" s="90" t="str">
        <f>IF($P47="","",INDEX(Registre!$F$8:$F$507,$P47)&amp;"")</f>
        <v/>
      </c>
      <c r="F47" s="92" t="str">
        <f>IF($P47="","",INDEX(Registre!$I$8:$I$507,$P47))</f>
        <v/>
      </c>
      <c r="G47" s="93" t="str">
        <f>IF($P47="","",INDEX(Registre!$J$8:$J$507,$P47))</f>
        <v/>
      </c>
      <c r="H47" s="91" t="str">
        <f>IF($P47="","",INDEX(Registre!$K$8:$K$507,$P47)&amp;"")</f>
        <v/>
      </c>
      <c r="I47" s="94" t="str">
        <f>IF($P47="","",INDEX(Registre!$M$8:$M$507,$P47))</f>
        <v/>
      </c>
      <c r="J47" s="94" t="str">
        <f>IF($P47="","",INDEX(Registre!$N$8:$N$507,$P47))</f>
        <v/>
      </c>
      <c r="K47" s="94" t="str">
        <f>IF($P47="","",INDEX(Registre!$O$8:$O$507,$P47))</f>
        <v/>
      </c>
      <c r="L47" s="94" t="str">
        <f>IF($P47="","",INDEX(Registre!$P$8:$P$507,$P47))</f>
        <v/>
      </c>
      <c r="M47" s="90" t="str">
        <f>IF($P47="","",INDEX(Registre!$R$8:$R$507,$P47)&amp;"")</f>
        <v/>
      </c>
      <c r="N47" s="95" t="str">
        <f>IF($P47="","",INDEX(Registre!$W$8:$W$507,$P47)&amp;"")</f>
        <v/>
      </c>
      <c r="P47" s="88" t="str">
        <f>IFERROR(MATCH(23,Registre!$AR$8:$AR$507,0),"")</f>
        <v/>
      </c>
    </row>
    <row r="48" spans="2:16" ht="18.95" customHeight="1" x14ac:dyDescent="0.25">
      <c r="B48" s="89" t="str">
        <f>IF($P48="","",INDEX(Registre!$C$8:$C$507,$P48))</f>
        <v/>
      </c>
      <c r="C48" s="90" t="str">
        <f>IF($P48="","",INDEX(Registre!$G$8:$G$507,$P48)&amp;"")</f>
        <v/>
      </c>
      <c r="D48" s="91" t="str">
        <f>IF($P48="","",INDEX(Registre!$H$8:$H$507,$P48)&amp;"")</f>
        <v/>
      </c>
      <c r="E48" s="90" t="str">
        <f>IF($P48="","",INDEX(Registre!$F$8:$F$507,$P48)&amp;"")</f>
        <v/>
      </c>
      <c r="F48" s="92" t="str">
        <f>IF($P48="","",INDEX(Registre!$I$8:$I$507,$P48))</f>
        <v/>
      </c>
      <c r="G48" s="93" t="str">
        <f>IF($P48="","",INDEX(Registre!$J$8:$J$507,$P48))</f>
        <v/>
      </c>
      <c r="H48" s="91" t="str">
        <f>IF($P48="","",INDEX(Registre!$K$8:$K$507,$P48)&amp;"")</f>
        <v/>
      </c>
      <c r="I48" s="94" t="str">
        <f>IF($P48="","",INDEX(Registre!$M$8:$M$507,$P48))</f>
        <v/>
      </c>
      <c r="J48" s="94" t="str">
        <f>IF($P48="","",INDEX(Registre!$N$8:$N$507,$P48))</f>
        <v/>
      </c>
      <c r="K48" s="94" t="str">
        <f>IF($P48="","",INDEX(Registre!$O$8:$O$507,$P48))</f>
        <v/>
      </c>
      <c r="L48" s="94" t="str">
        <f>IF($P48="","",INDEX(Registre!$P$8:$P$507,$P48))</f>
        <v/>
      </c>
      <c r="M48" s="90" t="str">
        <f>IF($P48="","",INDEX(Registre!$R$8:$R$507,$P48)&amp;"")</f>
        <v/>
      </c>
      <c r="N48" s="95" t="str">
        <f>IF($P48="","",INDEX(Registre!$W$8:$W$507,$P48)&amp;"")</f>
        <v/>
      </c>
      <c r="P48" s="88" t="str">
        <f>IFERROR(MATCH(24,Registre!$AR$8:$AR$507,0),"")</f>
        <v/>
      </c>
    </row>
    <row r="49" spans="2:16" ht="18.95" customHeight="1" x14ac:dyDescent="0.25">
      <c r="B49" s="89" t="str">
        <f>IF($P49="","",INDEX(Registre!$C$8:$C$507,$P49))</f>
        <v/>
      </c>
      <c r="C49" s="90" t="str">
        <f>IF($P49="","",INDEX(Registre!$G$8:$G$507,$P49)&amp;"")</f>
        <v/>
      </c>
      <c r="D49" s="91" t="str">
        <f>IF($P49="","",INDEX(Registre!$H$8:$H$507,$P49)&amp;"")</f>
        <v/>
      </c>
      <c r="E49" s="90" t="str">
        <f>IF($P49="","",INDEX(Registre!$F$8:$F$507,$P49)&amp;"")</f>
        <v/>
      </c>
      <c r="F49" s="92" t="str">
        <f>IF($P49="","",INDEX(Registre!$I$8:$I$507,$P49))</f>
        <v/>
      </c>
      <c r="G49" s="93" t="str">
        <f>IF($P49="","",INDEX(Registre!$J$8:$J$507,$P49))</f>
        <v/>
      </c>
      <c r="H49" s="91" t="str">
        <f>IF($P49="","",INDEX(Registre!$K$8:$K$507,$P49)&amp;"")</f>
        <v/>
      </c>
      <c r="I49" s="94" t="str">
        <f>IF($P49="","",INDEX(Registre!$M$8:$M$507,$P49))</f>
        <v/>
      </c>
      <c r="J49" s="94" t="str">
        <f>IF($P49="","",INDEX(Registre!$N$8:$N$507,$P49))</f>
        <v/>
      </c>
      <c r="K49" s="94" t="str">
        <f>IF($P49="","",INDEX(Registre!$O$8:$O$507,$P49))</f>
        <v/>
      </c>
      <c r="L49" s="94" t="str">
        <f>IF($P49="","",INDEX(Registre!$P$8:$P$507,$P49))</f>
        <v/>
      </c>
      <c r="M49" s="90" t="str">
        <f>IF($P49="","",INDEX(Registre!$R$8:$R$507,$P49)&amp;"")</f>
        <v/>
      </c>
      <c r="N49" s="95" t="str">
        <f>IF($P49="","",INDEX(Registre!$W$8:$W$507,$P49)&amp;"")</f>
        <v/>
      </c>
      <c r="P49" s="88" t="str">
        <f>IFERROR(MATCH(25,Registre!$AR$8:$AR$507,0),"")</f>
        <v/>
      </c>
    </row>
    <row r="50" spans="2:16" ht="18.95" customHeight="1" x14ac:dyDescent="0.25">
      <c r="B50" s="89" t="str">
        <f>IF($P50="","",INDEX(Registre!$C$8:$C$507,$P50))</f>
        <v/>
      </c>
      <c r="C50" s="90" t="str">
        <f>IF($P50="","",INDEX(Registre!$G$8:$G$507,$P50)&amp;"")</f>
        <v/>
      </c>
      <c r="D50" s="91" t="str">
        <f>IF($P50="","",INDEX(Registre!$H$8:$H$507,$P50)&amp;"")</f>
        <v/>
      </c>
      <c r="E50" s="90" t="str">
        <f>IF($P50="","",INDEX(Registre!$F$8:$F$507,$P50)&amp;"")</f>
        <v/>
      </c>
      <c r="F50" s="92" t="str">
        <f>IF($P50="","",INDEX(Registre!$I$8:$I$507,$P50))</f>
        <v/>
      </c>
      <c r="G50" s="93" t="str">
        <f>IF($P50="","",INDEX(Registre!$J$8:$J$507,$P50))</f>
        <v/>
      </c>
      <c r="H50" s="91" t="str">
        <f>IF($P50="","",INDEX(Registre!$K$8:$K$507,$P50)&amp;"")</f>
        <v/>
      </c>
      <c r="I50" s="94" t="str">
        <f>IF($P50="","",INDEX(Registre!$M$8:$M$507,$P50))</f>
        <v/>
      </c>
      <c r="J50" s="94" t="str">
        <f>IF($P50="","",INDEX(Registre!$N$8:$N$507,$P50))</f>
        <v/>
      </c>
      <c r="K50" s="94" t="str">
        <f>IF($P50="","",INDEX(Registre!$O$8:$O$507,$P50))</f>
        <v/>
      </c>
      <c r="L50" s="94" t="str">
        <f>IF($P50="","",INDEX(Registre!$P$8:$P$507,$P50))</f>
        <v/>
      </c>
      <c r="M50" s="90" t="str">
        <f>IF($P50="","",INDEX(Registre!$R$8:$R$507,$P50)&amp;"")</f>
        <v/>
      </c>
      <c r="N50" s="95" t="str">
        <f>IF($P50="","",INDEX(Registre!$W$8:$W$507,$P50)&amp;"")</f>
        <v/>
      </c>
      <c r="P50" s="88" t="str">
        <f>IFERROR(MATCH(26,Registre!$AR$8:$AR$507,0),"")</f>
        <v/>
      </c>
    </row>
    <row r="51" spans="2:16" ht="18.95" customHeight="1" x14ac:dyDescent="0.25">
      <c r="B51" s="89" t="str">
        <f>IF($P51="","",INDEX(Registre!$C$8:$C$507,$P51))</f>
        <v/>
      </c>
      <c r="C51" s="90" t="str">
        <f>IF($P51="","",INDEX(Registre!$G$8:$G$507,$P51)&amp;"")</f>
        <v/>
      </c>
      <c r="D51" s="91" t="str">
        <f>IF($P51="","",INDEX(Registre!$H$8:$H$507,$P51)&amp;"")</f>
        <v/>
      </c>
      <c r="E51" s="90" t="str">
        <f>IF($P51="","",INDEX(Registre!$F$8:$F$507,$P51)&amp;"")</f>
        <v/>
      </c>
      <c r="F51" s="92" t="str">
        <f>IF($P51="","",INDEX(Registre!$I$8:$I$507,$P51))</f>
        <v/>
      </c>
      <c r="G51" s="93" t="str">
        <f>IF($P51="","",INDEX(Registre!$J$8:$J$507,$P51))</f>
        <v/>
      </c>
      <c r="H51" s="91" t="str">
        <f>IF($P51="","",INDEX(Registre!$K$8:$K$507,$P51)&amp;"")</f>
        <v/>
      </c>
      <c r="I51" s="94" t="str">
        <f>IF($P51="","",INDEX(Registre!$M$8:$M$507,$P51))</f>
        <v/>
      </c>
      <c r="J51" s="94" t="str">
        <f>IF($P51="","",INDEX(Registre!$N$8:$N$507,$P51))</f>
        <v/>
      </c>
      <c r="K51" s="94" t="str">
        <f>IF($P51="","",INDEX(Registre!$O$8:$O$507,$P51))</f>
        <v/>
      </c>
      <c r="L51" s="94" t="str">
        <f>IF($P51="","",INDEX(Registre!$P$8:$P$507,$P51))</f>
        <v/>
      </c>
      <c r="M51" s="90" t="str">
        <f>IF($P51="","",INDEX(Registre!$R$8:$R$507,$P51)&amp;"")</f>
        <v/>
      </c>
      <c r="N51" s="95" t="str">
        <f>IF($P51="","",INDEX(Registre!$W$8:$W$507,$P51)&amp;"")</f>
        <v/>
      </c>
      <c r="P51" s="88" t="str">
        <f>IFERROR(MATCH(27,Registre!$AR$8:$AR$507,0),"")</f>
        <v/>
      </c>
    </row>
    <row r="52" spans="2:16" ht="18.95" customHeight="1" x14ac:dyDescent="0.25">
      <c r="B52" s="89" t="str">
        <f>IF($P52="","",INDEX(Registre!$C$8:$C$507,$P52))</f>
        <v/>
      </c>
      <c r="C52" s="90" t="str">
        <f>IF($P52="","",INDEX(Registre!$G$8:$G$507,$P52)&amp;"")</f>
        <v/>
      </c>
      <c r="D52" s="91" t="str">
        <f>IF($P52="","",INDEX(Registre!$H$8:$H$507,$P52)&amp;"")</f>
        <v/>
      </c>
      <c r="E52" s="90" t="str">
        <f>IF($P52="","",INDEX(Registre!$F$8:$F$507,$P52)&amp;"")</f>
        <v/>
      </c>
      <c r="F52" s="92" t="str">
        <f>IF($P52="","",INDEX(Registre!$I$8:$I$507,$P52))</f>
        <v/>
      </c>
      <c r="G52" s="93" t="str">
        <f>IF($P52="","",INDEX(Registre!$J$8:$J$507,$P52))</f>
        <v/>
      </c>
      <c r="H52" s="91" t="str">
        <f>IF($P52="","",INDEX(Registre!$K$8:$K$507,$P52)&amp;"")</f>
        <v/>
      </c>
      <c r="I52" s="94" t="str">
        <f>IF($P52="","",INDEX(Registre!$M$8:$M$507,$P52))</f>
        <v/>
      </c>
      <c r="J52" s="94" t="str">
        <f>IF($P52="","",INDEX(Registre!$N$8:$N$507,$P52))</f>
        <v/>
      </c>
      <c r="K52" s="94" t="str">
        <f>IF($P52="","",INDEX(Registre!$O$8:$O$507,$P52))</f>
        <v/>
      </c>
      <c r="L52" s="94" t="str">
        <f>IF($P52="","",INDEX(Registre!$P$8:$P$507,$P52))</f>
        <v/>
      </c>
      <c r="M52" s="90" t="str">
        <f>IF($P52="","",INDEX(Registre!$R$8:$R$507,$P52)&amp;"")</f>
        <v/>
      </c>
      <c r="N52" s="95" t="str">
        <f>IF($P52="","",INDEX(Registre!$W$8:$W$507,$P52)&amp;"")</f>
        <v/>
      </c>
      <c r="P52" s="88" t="str">
        <f>IFERROR(MATCH(28,Registre!$AR$8:$AR$507,0),"")</f>
        <v/>
      </c>
    </row>
    <row r="53" spans="2:16" ht="18.95" customHeight="1" x14ac:dyDescent="0.25">
      <c r="B53" s="89" t="str">
        <f>IF($P53="","",INDEX(Registre!$C$8:$C$507,$P53))</f>
        <v/>
      </c>
      <c r="C53" s="90" t="str">
        <f>IF($P53="","",INDEX(Registre!$G$8:$G$507,$P53)&amp;"")</f>
        <v/>
      </c>
      <c r="D53" s="91" t="str">
        <f>IF($P53="","",INDEX(Registre!$H$8:$H$507,$P53)&amp;"")</f>
        <v/>
      </c>
      <c r="E53" s="90" t="str">
        <f>IF($P53="","",INDEX(Registre!$F$8:$F$507,$P53)&amp;"")</f>
        <v/>
      </c>
      <c r="F53" s="92" t="str">
        <f>IF($P53="","",INDEX(Registre!$I$8:$I$507,$P53))</f>
        <v/>
      </c>
      <c r="G53" s="93" t="str">
        <f>IF($P53="","",INDEX(Registre!$J$8:$J$507,$P53))</f>
        <v/>
      </c>
      <c r="H53" s="91" t="str">
        <f>IF($P53="","",INDEX(Registre!$K$8:$K$507,$P53)&amp;"")</f>
        <v/>
      </c>
      <c r="I53" s="94" t="str">
        <f>IF($P53="","",INDEX(Registre!$M$8:$M$507,$P53))</f>
        <v/>
      </c>
      <c r="J53" s="94" t="str">
        <f>IF($P53="","",INDEX(Registre!$N$8:$N$507,$P53))</f>
        <v/>
      </c>
      <c r="K53" s="94" t="str">
        <f>IF($P53="","",INDEX(Registre!$O$8:$O$507,$P53))</f>
        <v/>
      </c>
      <c r="L53" s="94" t="str">
        <f>IF($P53="","",INDEX(Registre!$P$8:$P$507,$P53))</f>
        <v/>
      </c>
      <c r="M53" s="90" t="str">
        <f>IF($P53="","",INDEX(Registre!$R$8:$R$507,$P53)&amp;"")</f>
        <v/>
      </c>
      <c r="N53" s="95" t="str">
        <f>IF($P53="","",INDEX(Registre!$W$8:$W$507,$P53)&amp;"")</f>
        <v/>
      </c>
      <c r="P53" s="88" t="str">
        <f>IFERROR(MATCH(29,Registre!$AR$8:$AR$507,0),"")</f>
        <v/>
      </c>
    </row>
    <row r="54" spans="2:16" ht="18.95" customHeight="1" x14ac:dyDescent="0.25">
      <c r="B54" s="89" t="str">
        <f>IF($P54="","",INDEX(Registre!$C$8:$C$507,$P54))</f>
        <v/>
      </c>
      <c r="C54" s="90" t="str">
        <f>IF($P54="","",INDEX(Registre!$G$8:$G$507,$P54)&amp;"")</f>
        <v/>
      </c>
      <c r="D54" s="91" t="str">
        <f>IF($P54="","",INDEX(Registre!$H$8:$H$507,$P54)&amp;"")</f>
        <v/>
      </c>
      <c r="E54" s="90" t="str">
        <f>IF($P54="","",INDEX(Registre!$F$8:$F$507,$P54)&amp;"")</f>
        <v/>
      </c>
      <c r="F54" s="92" t="str">
        <f>IF($P54="","",INDEX(Registre!$I$8:$I$507,$P54))</f>
        <v/>
      </c>
      <c r="G54" s="93" t="str">
        <f>IF($P54="","",INDEX(Registre!$J$8:$J$507,$P54))</f>
        <v/>
      </c>
      <c r="H54" s="91" t="str">
        <f>IF($P54="","",INDEX(Registre!$K$8:$K$507,$P54)&amp;"")</f>
        <v/>
      </c>
      <c r="I54" s="94" t="str">
        <f>IF($P54="","",INDEX(Registre!$M$8:$M$507,$P54))</f>
        <v/>
      </c>
      <c r="J54" s="94" t="str">
        <f>IF($P54="","",INDEX(Registre!$N$8:$N$507,$P54))</f>
        <v/>
      </c>
      <c r="K54" s="94" t="str">
        <f>IF($P54="","",INDEX(Registre!$O$8:$O$507,$P54))</f>
        <v/>
      </c>
      <c r="L54" s="94" t="str">
        <f>IF($P54="","",INDEX(Registre!$P$8:$P$507,$P54))</f>
        <v/>
      </c>
      <c r="M54" s="90" t="str">
        <f>IF($P54="","",INDEX(Registre!$R$8:$R$507,$P54)&amp;"")</f>
        <v/>
      </c>
      <c r="N54" s="95" t="str">
        <f>IF($P54="","",INDEX(Registre!$W$8:$W$507,$P54)&amp;"")</f>
        <v/>
      </c>
      <c r="P54" s="88" t="str">
        <f>IFERROR(MATCH(30,Registre!$AR$8:$AR$507,0),"")</f>
        <v/>
      </c>
    </row>
    <row r="55" spans="2:16" ht="18.95" customHeight="1" x14ac:dyDescent="0.25">
      <c r="B55" s="89" t="str">
        <f>IF($P55="","",INDEX(Registre!$C$8:$C$507,$P55))</f>
        <v/>
      </c>
      <c r="C55" s="90" t="str">
        <f>IF($P55="","",INDEX(Registre!$G$8:$G$507,$P55)&amp;"")</f>
        <v/>
      </c>
      <c r="D55" s="91" t="str">
        <f>IF($P55="","",INDEX(Registre!$H$8:$H$507,$P55)&amp;"")</f>
        <v/>
      </c>
      <c r="E55" s="90" t="str">
        <f>IF($P55="","",INDEX(Registre!$F$8:$F$507,$P55)&amp;"")</f>
        <v/>
      </c>
      <c r="F55" s="92" t="str">
        <f>IF($P55="","",INDEX(Registre!$I$8:$I$507,$P55))</f>
        <v/>
      </c>
      <c r="G55" s="93" t="str">
        <f>IF($P55="","",INDEX(Registre!$J$8:$J$507,$P55))</f>
        <v/>
      </c>
      <c r="H55" s="91" t="str">
        <f>IF($P55="","",INDEX(Registre!$K$8:$K$507,$P55)&amp;"")</f>
        <v/>
      </c>
      <c r="I55" s="94" t="str">
        <f>IF($P55="","",INDEX(Registre!$M$8:$M$507,$P55))</f>
        <v/>
      </c>
      <c r="J55" s="94" t="str">
        <f>IF($P55="","",INDEX(Registre!$N$8:$N$507,$P55))</f>
        <v/>
      </c>
      <c r="K55" s="94" t="str">
        <f>IF($P55="","",INDEX(Registre!$O$8:$O$507,$P55))</f>
        <v/>
      </c>
      <c r="L55" s="94" t="str">
        <f>IF($P55="","",INDEX(Registre!$P$8:$P$507,$P55))</f>
        <v/>
      </c>
      <c r="M55" s="90" t="str">
        <f>IF($P55="","",INDEX(Registre!$R$8:$R$507,$P55)&amp;"")</f>
        <v/>
      </c>
      <c r="N55" s="95" t="str">
        <f>IF($P55="","",INDEX(Registre!$W$8:$W$507,$P55)&amp;"")</f>
        <v/>
      </c>
      <c r="P55" s="88" t="str">
        <f>IFERROR(MATCH(31,Registre!$AR$8:$AR$507,0),"")</f>
        <v/>
      </c>
    </row>
    <row r="56" spans="2:16" ht="18.95" customHeight="1" x14ac:dyDescent="0.25">
      <c r="B56" s="89" t="str">
        <f>IF($P56="","",INDEX(Registre!$C$8:$C$507,$P56))</f>
        <v/>
      </c>
      <c r="C56" s="90" t="str">
        <f>IF($P56="","",INDEX(Registre!$G$8:$G$507,$P56)&amp;"")</f>
        <v/>
      </c>
      <c r="D56" s="91" t="str">
        <f>IF($P56="","",INDEX(Registre!$H$8:$H$507,$P56)&amp;"")</f>
        <v/>
      </c>
      <c r="E56" s="90" t="str">
        <f>IF($P56="","",INDEX(Registre!$F$8:$F$507,$P56)&amp;"")</f>
        <v/>
      </c>
      <c r="F56" s="92" t="str">
        <f>IF($P56="","",INDEX(Registre!$I$8:$I$507,$P56))</f>
        <v/>
      </c>
      <c r="G56" s="93" t="str">
        <f>IF($P56="","",INDEX(Registre!$J$8:$J$507,$P56))</f>
        <v/>
      </c>
      <c r="H56" s="91" t="str">
        <f>IF($P56="","",INDEX(Registre!$K$8:$K$507,$P56)&amp;"")</f>
        <v/>
      </c>
      <c r="I56" s="94" t="str">
        <f>IF($P56="","",INDEX(Registre!$M$8:$M$507,$P56))</f>
        <v/>
      </c>
      <c r="J56" s="94" t="str">
        <f>IF($P56="","",INDEX(Registre!$N$8:$N$507,$P56))</f>
        <v/>
      </c>
      <c r="K56" s="94" t="str">
        <f>IF($P56="","",INDEX(Registre!$O$8:$O$507,$P56))</f>
        <v/>
      </c>
      <c r="L56" s="94" t="str">
        <f>IF($P56="","",INDEX(Registre!$P$8:$P$507,$P56))</f>
        <v/>
      </c>
      <c r="M56" s="90" t="str">
        <f>IF($P56="","",INDEX(Registre!$R$8:$R$507,$P56)&amp;"")</f>
        <v/>
      </c>
      <c r="N56" s="95" t="str">
        <f>IF($P56="","",INDEX(Registre!$W$8:$W$507,$P56)&amp;"")</f>
        <v/>
      </c>
      <c r="P56" s="88" t="str">
        <f>IFERROR(MATCH(32,Registre!$AR$8:$AR$507,0),"")</f>
        <v/>
      </c>
    </row>
    <row r="57" spans="2:16" ht="18.95" customHeight="1" x14ac:dyDescent="0.25">
      <c r="B57" s="89" t="str">
        <f>IF($P57="","",INDEX(Registre!$C$8:$C$507,$P57))</f>
        <v/>
      </c>
      <c r="C57" s="90" t="str">
        <f>IF($P57="","",INDEX(Registre!$G$8:$G$507,$P57)&amp;"")</f>
        <v/>
      </c>
      <c r="D57" s="91" t="str">
        <f>IF($P57="","",INDEX(Registre!$H$8:$H$507,$P57)&amp;"")</f>
        <v/>
      </c>
      <c r="E57" s="90" t="str">
        <f>IF($P57="","",INDEX(Registre!$F$8:$F$507,$P57)&amp;"")</f>
        <v/>
      </c>
      <c r="F57" s="92" t="str">
        <f>IF($P57="","",INDEX(Registre!$I$8:$I$507,$P57))</f>
        <v/>
      </c>
      <c r="G57" s="93" t="str">
        <f>IF($P57="","",INDEX(Registre!$J$8:$J$507,$P57))</f>
        <v/>
      </c>
      <c r="H57" s="91" t="str">
        <f>IF($P57="","",INDEX(Registre!$K$8:$K$507,$P57)&amp;"")</f>
        <v/>
      </c>
      <c r="I57" s="94" t="str">
        <f>IF($P57="","",INDEX(Registre!$M$8:$M$507,$P57))</f>
        <v/>
      </c>
      <c r="J57" s="94" t="str">
        <f>IF($P57="","",INDEX(Registre!$N$8:$N$507,$P57))</f>
        <v/>
      </c>
      <c r="K57" s="94" t="str">
        <f>IF($P57="","",INDEX(Registre!$O$8:$O$507,$P57))</f>
        <v/>
      </c>
      <c r="L57" s="94" t="str">
        <f>IF($P57="","",INDEX(Registre!$P$8:$P$507,$P57))</f>
        <v/>
      </c>
      <c r="M57" s="90" t="str">
        <f>IF($P57="","",INDEX(Registre!$R$8:$R$507,$P57)&amp;"")</f>
        <v/>
      </c>
      <c r="N57" s="95" t="str">
        <f>IF($P57="","",INDEX(Registre!$W$8:$W$507,$P57)&amp;"")</f>
        <v/>
      </c>
      <c r="P57" s="88" t="str">
        <f>IFERROR(MATCH(33,Registre!$AR$8:$AR$507,0),"")</f>
        <v/>
      </c>
    </row>
    <row r="58" spans="2:16" ht="18.95" customHeight="1" x14ac:dyDescent="0.25">
      <c r="B58" s="89" t="str">
        <f>IF($P58="","",INDEX(Registre!$C$8:$C$507,$P58))</f>
        <v/>
      </c>
      <c r="C58" s="90" t="str">
        <f>IF($P58="","",INDEX(Registre!$G$8:$G$507,$P58)&amp;"")</f>
        <v/>
      </c>
      <c r="D58" s="91" t="str">
        <f>IF($P58="","",INDEX(Registre!$H$8:$H$507,$P58)&amp;"")</f>
        <v/>
      </c>
      <c r="E58" s="90" t="str">
        <f>IF($P58="","",INDEX(Registre!$F$8:$F$507,$P58)&amp;"")</f>
        <v/>
      </c>
      <c r="F58" s="92" t="str">
        <f>IF($P58="","",INDEX(Registre!$I$8:$I$507,$P58))</f>
        <v/>
      </c>
      <c r="G58" s="93" t="str">
        <f>IF($P58="","",INDEX(Registre!$J$8:$J$507,$P58))</f>
        <v/>
      </c>
      <c r="H58" s="91" t="str">
        <f>IF($P58="","",INDEX(Registre!$K$8:$K$507,$P58)&amp;"")</f>
        <v/>
      </c>
      <c r="I58" s="94" t="str">
        <f>IF($P58="","",INDEX(Registre!$M$8:$M$507,$P58))</f>
        <v/>
      </c>
      <c r="J58" s="94" t="str">
        <f>IF($P58="","",INDEX(Registre!$N$8:$N$507,$P58))</f>
        <v/>
      </c>
      <c r="K58" s="94" t="str">
        <f>IF($P58="","",INDEX(Registre!$O$8:$O$507,$P58))</f>
        <v/>
      </c>
      <c r="L58" s="94" t="str">
        <f>IF($P58="","",INDEX(Registre!$P$8:$P$507,$P58))</f>
        <v/>
      </c>
      <c r="M58" s="90" t="str">
        <f>IF($P58="","",INDEX(Registre!$R$8:$R$507,$P58)&amp;"")</f>
        <v/>
      </c>
      <c r="N58" s="95" t="str">
        <f>IF($P58="","",INDEX(Registre!$W$8:$W$507,$P58)&amp;"")</f>
        <v/>
      </c>
      <c r="P58" s="88" t="str">
        <f>IFERROR(MATCH(34,Registre!$AR$8:$AR$507,0),"")</f>
        <v/>
      </c>
    </row>
    <row r="59" spans="2:16" ht="18.95" customHeight="1" x14ac:dyDescent="0.25">
      <c r="B59" s="89" t="str">
        <f>IF($P59="","",INDEX(Registre!$C$8:$C$507,$P59))</f>
        <v/>
      </c>
      <c r="C59" s="90" t="str">
        <f>IF($P59="","",INDEX(Registre!$G$8:$G$507,$P59)&amp;"")</f>
        <v/>
      </c>
      <c r="D59" s="91" t="str">
        <f>IF($P59="","",INDEX(Registre!$H$8:$H$507,$P59)&amp;"")</f>
        <v/>
      </c>
      <c r="E59" s="90" t="str">
        <f>IF($P59="","",INDEX(Registre!$F$8:$F$507,$P59)&amp;"")</f>
        <v/>
      </c>
      <c r="F59" s="92" t="str">
        <f>IF($P59="","",INDEX(Registre!$I$8:$I$507,$P59))</f>
        <v/>
      </c>
      <c r="G59" s="93" t="str">
        <f>IF($P59="","",INDEX(Registre!$J$8:$J$507,$P59))</f>
        <v/>
      </c>
      <c r="H59" s="91" t="str">
        <f>IF($P59="","",INDEX(Registre!$K$8:$K$507,$P59)&amp;"")</f>
        <v/>
      </c>
      <c r="I59" s="94" t="str">
        <f>IF($P59="","",INDEX(Registre!$M$8:$M$507,$P59))</f>
        <v/>
      </c>
      <c r="J59" s="94" t="str">
        <f>IF($P59="","",INDEX(Registre!$N$8:$N$507,$P59))</f>
        <v/>
      </c>
      <c r="K59" s="94" t="str">
        <f>IF($P59="","",INDEX(Registre!$O$8:$O$507,$P59))</f>
        <v/>
      </c>
      <c r="L59" s="94" t="str">
        <f>IF($P59="","",INDEX(Registre!$P$8:$P$507,$P59))</f>
        <v/>
      </c>
      <c r="M59" s="90" t="str">
        <f>IF($P59="","",INDEX(Registre!$R$8:$R$507,$P59)&amp;"")</f>
        <v/>
      </c>
      <c r="N59" s="95" t="str">
        <f>IF($P59="","",INDEX(Registre!$W$8:$W$507,$P59)&amp;"")</f>
        <v/>
      </c>
      <c r="P59" s="88" t="str">
        <f>IFERROR(MATCH(35,Registre!$AR$8:$AR$507,0),"")</f>
        <v/>
      </c>
    </row>
    <row r="60" spans="2:16" x14ac:dyDescent="0.25">
      <c r="B60" s="96" t="str">
        <f>IF($P$7="","",IF(INDEX(Îlots!$X$8:$X$57,$P$7)&gt;35,"Seuls les 35 premiers apports sont affichés.",""))</f>
        <v/>
      </c>
    </row>
  </sheetData>
  <mergeCells count="41">
    <mergeCell ref="L19:N19"/>
    <mergeCell ref="D7:G7"/>
    <mergeCell ref="K12:N12"/>
    <mergeCell ref="F21:H21"/>
    <mergeCell ref="D13:G13"/>
    <mergeCell ref="H10:J10"/>
    <mergeCell ref="B15:C15"/>
    <mergeCell ref="F19:H19"/>
    <mergeCell ref="B20:C20"/>
    <mergeCell ref="I21:K21"/>
    <mergeCell ref="H11:J11"/>
    <mergeCell ref="L20:N20"/>
    <mergeCell ref="D14:G14"/>
    <mergeCell ref="B12:C12"/>
    <mergeCell ref="D21:E21"/>
    <mergeCell ref="B21:C21"/>
    <mergeCell ref="K13:N13"/>
    <mergeCell ref="B11:C11"/>
    <mergeCell ref="H13:J13"/>
    <mergeCell ref="B14:C14"/>
    <mergeCell ref="H12:J12"/>
    <mergeCell ref="K15:N15"/>
    <mergeCell ref="I20:K20"/>
    <mergeCell ref="L21:N21"/>
    <mergeCell ref="B13:C13"/>
    <mergeCell ref="F20:H20"/>
    <mergeCell ref="D20:E20"/>
    <mergeCell ref="K14:N14"/>
    <mergeCell ref="B7:C7"/>
    <mergeCell ref="D12:G12"/>
    <mergeCell ref="D19:E19"/>
    <mergeCell ref="D15:G15"/>
    <mergeCell ref="K10:N10"/>
    <mergeCell ref="D10:G10"/>
    <mergeCell ref="H15:J15"/>
    <mergeCell ref="I19:K19"/>
    <mergeCell ref="H14:J14"/>
    <mergeCell ref="B19:C19"/>
    <mergeCell ref="B10:C10"/>
    <mergeCell ref="K11:N11"/>
    <mergeCell ref="D11:G11"/>
  </mergeCells>
  <conditionalFormatting sqref="B25:N59">
    <cfRule type="expression" dxfId="11" priority="9">
      <formula>AND($B25&lt;&gt;"",MOD(ROW(),2)=0)</formula>
    </cfRule>
    <cfRule type="expression" dxfId="10" priority="10">
      <formula>$B25&lt;&gt;""</formula>
    </cfRule>
  </conditionalFormatting>
  <conditionalFormatting sqref="I20:K20">
    <cfRule type="expression" dxfId="9" priority="5">
      <formula>AND(ISNUMBER($I$20),$I$20&gt;TolerancePPF)</formula>
    </cfRule>
  </conditionalFormatting>
  <conditionalFormatting sqref="L20:N20">
    <cfRule type="expression" dxfId="8" priority="1" stopIfTrue="1">
      <formula>$L$20="Dépassement PPF"</formula>
    </cfRule>
    <cfRule type="expression" dxfId="7" priority="2" stopIfTrue="1">
      <formula>$L$20="PPF à renseigner"</formula>
    </cfRule>
    <cfRule type="expression" dxfId="6" priority="3" stopIfTrue="1">
      <formula>$L$20="Conforme"</formula>
    </cfRule>
    <cfRule type="expression" dxfId="5" priority="4" stopIfTrue="1">
      <formula>$L$20="Aucun apport"</formula>
    </cfRule>
  </conditionalFormatting>
  <conditionalFormatting sqref="N25:N59">
    <cfRule type="expression" dxfId="4" priority="6" stopIfTrue="1">
      <formula>OR($N25="Sol interdit",$N25="Période interdite")</formula>
    </cfRule>
    <cfRule type="expression" dxfId="3" priority="7" stopIfTrue="1">
      <formula>OR($N25="Incomplet",$N25="Surface &gt; îlot",$N25="Hors campagne",$N25="Saisie tardive")</formula>
    </cfRule>
    <cfRule type="expression" dxfId="2" priority="8" stopIfTrue="1">
      <formula>$N25="Conforme"</formula>
    </cfRule>
  </conditionalFormatting>
  <dataValidations count="1">
    <dataValidation type="list" allowBlank="1" showInputMessage="1" showErrorMessage="1" errorTitle="Valeur non prévue" error="Choisissez une valeur dans la liste déroulante." promptTitle="Fiche îlot" prompt="Sélectionnez l'îlot à afficher." sqref="D7" xr:uid="{00000000-0002-0000-0500-000000000000}">
      <formula1>ListeIlots</formula1>
    </dataValidation>
  </dataValidations>
  <printOptions horizontalCentered="1"/>
  <pageMargins left="0.35" right="0.35" top="0.45" bottom="0.55000000000000004" header="0.5" footer="0.5"/>
  <pageSetup paperSize="9" orientation="landscape"/>
  <headerFooter>
    <oddFooter>&amp;L&amp;8 &amp;K7B8794Cahier d'épandage – &amp;A&amp;R&amp;8 &amp;K7B8794Page &amp;P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E7188"/>
    <pageSetUpPr fitToPage="1"/>
  </sheetPr>
  <dimension ref="A1:AD50"/>
  <sheetViews>
    <sheetView showGridLines="0" workbookViewId="0">
      <pane ySplit="5" topLeftCell="A6" activePane="bottomLeft" state="frozen"/>
      <selection pane="bottomLeft"/>
    </sheetView>
  </sheetViews>
  <sheetFormatPr baseColWidth="10" defaultColWidth="9.140625" defaultRowHeight="15" x14ac:dyDescent="0.25"/>
  <cols>
    <col min="1" max="1" width="2" customWidth="1"/>
    <col min="2" max="2" width="38" customWidth="1"/>
    <col min="3" max="12" width="10.42578125" customWidth="1"/>
    <col min="13" max="13" width="3" customWidth="1"/>
    <col min="14" max="14" width="26" customWidth="1"/>
    <col min="15" max="15" width="36" customWidth="1"/>
    <col min="16" max="16" width="12" customWidth="1"/>
    <col min="17" max="17" width="3" customWidth="1"/>
    <col min="18" max="18" width="12" customWidth="1"/>
    <col min="19" max="19" width="9" customWidth="1"/>
    <col min="20" max="20" width="31" customWidth="1"/>
    <col min="21" max="21" width="12" customWidth="1"/>
    <col min="22" max="22" width="24" customWidth="1"/>
    <col min="23" max="23" width="32" customWidth="1"/>
    <col min="24" max="24" width="27" customWidth="1"/>
    <col min="25" max="25" width="30" customWidth="1"/>
    <col min="26" max="26" width="13" customWidth="1"/>
    <col min="27" max="27" width="38" customWidth="1"/>
    <col min="28" max="28" width="20" customWidth="1"/>
    <col min="29" max="29" width="32" customWidth="1"/>
    <col min="30" max="30" width="2" customWidth="1"/>
  </cols>
  <sheetData>
    <row r="1" spans="1:30" ht="30" customHeight="1" x14ac:dyDescent="0.35">
      <c r="A1" s="1"/>
      <c r="B1" s="33" t="s">
        <v>361</v>
      </c>
      <c r="C1" s="1"/>
      <c r="D1" s="1"/>
      <c r="E1" s="1"/>
      <c r="F1" s="1"/>
      <c r="G1" s="1"/>
      <c r="H1" s="1"/>
      <c r="I1" s="1"/>
      <c r="J1" s="1"/>
      <c r="K1" s="1"/>
      <c r="L1" s="34" t="str">
        <f>RaisonSociale</f>
        <v>SCEA du Val de Mérienne</v>
      </c>
      <c r="M1" s="1"/>
      <c r="N1" s="1"/>
      <c r="O1" s="1"/>
      <c r="P1" s="1"/>
      <c r="Q1" s="1"/>
      <c r="R1" s="1"/>
      <c r="S1" s="1"/>
      <c r="T1" s="1"/>
      <c r="U1" s="1"/>
      <c r="V1" s="1"/>
      <c r="W1" s="1"/>
      <c r="X1" s="1"/>
      <c r="Y1" s="1"/>
      <c r="Z1" s="1"/>
      <c r="AA1" s="1"/>
      <c r="AB1" s="1"/>
      <c r="AC1" s="1"/>
      <c r="AD1" s="1"/>
    </row>
    <row r="2" spans="1:30" ht="20.100000000000001" customHeight="1" x14ac:dyDescent="0.25">
      <c r="A2" s="1"/>
      <c r="B2" s="4" t="s">
        <v>362</v>
      </c>
      <c r="C2" s="1"/>
      <c r="D2" s="1"/>
      <c r="E2" s="1"/>
      <c r="F2" s="1"/>
      <c r="G2" s="1"/>
      <c r="H2" s="1"/>
      <c r="I2" s="1"/>
      <c r="J2" s="1"/>
      <c r="K2" s="1"/>
      <c r="L2" s="35" t="str">
        <f>"Campagne "&amp;(AnneeRecolte-1)&amp;"-"&amp;AnneeRecolte&amp;"  ·  récolte "&amp;AnneeRecolte</f>
        <v>Campagne 2026-2027  ·  récolte 2027</v>
      </c>
      <c r="M2" s="1"/>
      <c r="N2" s="1"/>
      <c r="O2" s="1"/>
      <c r="P2" s="1"/>
      <c r="Q2" s="1"/>
      <c r="R2" s="1"/>
      <c r="S2" s="1"/>
      <c r="T2" s="1"/>
      <c r="U2" s="1"/>
      <c r="V2" s="1"/>
      <c r="W2" s="1"/>
      <c r="X2" s="1"/>
      <c r="Y2" s="1"/>
      <c r="Z2" s="1"/>
      <c r="AA2" s="1"/>
      <c r="AB2" s="1"/>
      <c r="AC2" s="1"/>
      <c r="AD2" s="1"/>
    </row>
    <row r="3" spans="1:30" ht="3" customHeight="1"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row>
    <row r="4" spans="1:30" ht="21.95" customHeight="1" x14ac:dyDescent="0.25">
      <c r="B4" s="36" t="s">
        <v>363</v>
      </c>
      <c r="H4" s="153" t="s">
        <v>56</v>
      </c>
      <c r="I4" s="154"/>
      <c r="J4" s="155" t="s">
        <v>57</v>
      </c>
      <c r="K4" s="156"/>
      <c r="L4" s="156"/>
    </row>
    <row r="5" spans="1:30" ht="8.1" customHeight="1" x14ac:dyDescent="0.25"/>
    <row r="6" spans="1:30" ht="26.1" customHeight="1" x14ac:dyDescent="0.25">
      <c r="B6" s="84" t="s">
        <v>364</v>
      </c>
      <c r="C6" s="85"/>
      <c r="D6" s="85"/>
      <c r="E6" s="85"/>
      <c r="F6" s="85"/>
      <c r="H6" s="84" t="s">
        <v>365</v>
      </c>
      <c r="I6" s="85"/>
      <c r="J6" s="85"/>
      <c r="K6" s="85"/>
      <c r="L6" s="85"/>
      <c r="N6" s="84" t="s">
        <v>366</v>
      </c>
      <c r="O6" s="85"/>
      <c r="P6" s="85"/>
      <c r="R6" s="84" t="s">
        <v>367</v>
      </c>
      <c r="S6" s="85"/>
      <c r="T6" s="85"/>
      <c r="U6" s="85"/>
      <c r="V6" s="85"/>
      <c r="W6" s="85"/>
      <c r="X6" s="85"/>
      <c r="Y6" s="85"/>
      <c r="Z6" s="85"/>
      <c r="AA6" s="85"/>
      <c r="AB6" s="85"/>
      <c r="AC6" s="85"/>
    </row>
    <row r="7" spans="1:30" ht="30" customHeight="1" x14ac:dyDescent="0.25">
      <c r="B7" s="97" t="s">
        <v>368</v>
      </c>
      <c r="C7" s="187" t="s">
        <v>369</v>
      </c>
      <c r="D7" s="187"/>
      <c r="E7" s="187"/>
      <c r="F7" s="187"/>
      <c r="H7" s="193" t="s">
        <v>370</v>
      </c>
      <c r="I7" s="174"/>
      <c r="J7" s="174"/>
      <c r="K7" s="185">
        <v>2027</v>
      </c>
      <c r="L7" s="186"/>
      <c r="N7" s="40" t="s">
        <v>37</v>
      </c>
      <c r="O7" s="40" t="s">
        <v>183</v>
      </c>
      <c r="P7" s="40" t="s">
        <v>371</v>
      </c>
      <c r="R7" s="40" t="s">
        <v>372</v>
      </c>
      <c r="S7" s="40" t="s">
        <v>373</v>
      </c>
      <c r="T7" s="40" t="s">
        <v>374</v>
      </c>
      <c r="U7" s="40" t="s">
        <v>375</v>
      </c>
      <c r="V7" s="40" t="s">
        <v>376</v>
      </c>
      <c r="W7" s="40" t="s">
        <v>81</v>
      </c>
      <c r="X7" s="40" t="s">
        <v>83</v>
      </c>
      <c r="Y7" s="40" t="s">
        <v>377</v>
      </c>
      <c r="Z7" s="40" t="s">
        <v>176</v>
      </c>
      <c r="AA7" s="40" t="s">
        <v>378</v>
      </c>
      <c r="AB7" s="40" t="s">
        <v>379</v>
      </c>
      <c r="AC7" s="40" t="s">
        <v>380</v>
      </c>
    </row>
    <row r="8" spans="1:30" ht="21" customHeight="1" x14ac:dyDescent="0.25">
      <c r="B8" s="97" t="s">
        <v>381</v>
      </c>
      <c r="C8" s="187" t="s">
        <v>382</v>
      </c>
      <c r="D8" s="187"/>
      <c r="E8" s="187"/>
      <c r="F8" s="187"/>
      <c r="H8" s="193" t="s">
        <v>383</v>
      </c>
      <c r="I8" s="174"/>
      <c r="J8" s="174"/>
      <c r="K8" s="191">
        <f>DATE(K7-1,9,1)</f>
        <v>46266</v>
      </c>
      <c r="L8" s="192"/>
      <c r="N8" s="44" t="s">
        <v>210</v>
      </c>
      <c r="O8" s="44" t="s">
        <v>384</v>
      </c>
      <c r="P8" s="54" t="s">
        <v>385</v>
      </c>
      <c r="R8" s="44" t="s">
        <v>47</v>
      </c>
      <c r="S8" s="44" t="s">
        <v>274</v>
      </c>
      <c r="T8" s="44" t="s">
        <v>273</v>
      </c>
      <c r="U8" s="44" t="s">
        <v>109</v>
      </c>
      <c r="V8" s="44" t="s">
        <v>114</v>
      </c>
      <c r="W8" s="44" t="s">
        <v>110</v>
      </c>
      <c r="X8" s="44" t="s">
        <v>111</v>
      </c>
      <c r="Y8" s="44" t="s">
        <v>201</v>
      </c>
      <c r="Z8" s="44" t="s">
        <v>200</v>
      </c>
      <c r="AA8" s="44" t="s">
        <v>320</v>
      </c>
      <c r="AB8" s="44" t="s">
        <v>278</v>
      </c>
      <c r="AC8" s="44" t="s">
        <v>386</v>
      </c>
    </row>
    <row r="9" spans="1:30" ht="21" customHeight="1" x14ac:dyDescent="0.25">
      <c r="B9" s="97" t="s">
        <v>387</v>
      </c>
      <c r="C9" s="187" t="s">
        <v>388</v>
      </c>
      <c r="D9" s="187"/>
      <c r="E9" s="187"/>
      <c r="F9" s="187"/>
      <c r="H9" s="193" t="s">
        <v>389</v>
      </c>
      <c r="I9" s="174"/>
      <c r="J9" s="174"/>
      <c r="K9" s="191">
        <f>DATE(K7,8,31)</f>
        <v>46630</v>
      </c>
      <c r="L9" s="192"/>
      <c r="N9" s="44" t="s">
        <v>225</v>
      </c>
      <c r="O9" s="44" t="s">
        <v>384</v>
      </c>
      <c r="P9" s="54" t="s">
        <v>385</v>
      </c>
      <c r="R9" s="44" t="s">
        <v>48</v>
      </c>
      <c r="S9" s="44" t="s">
        <v>277</v>
      </c>
      <c r="T9" s="44" t="s">
        <v>281</v>
      </c>
      <c r="U9" s="44" t="s">
        <v>129</v>
      </c>
      <c r="V9" s="44" t="s">
        <v>107</v>
      </c>
      <c r="W9" s="44" t="s">
        <v>122</v>
      </c>
      <c r="X9" s="44" t="s">
        <v>138</v>
      </c>
      <c r="Y9" s="44" t="s">
        <v>219</v>
      </c>
      <c r="Z9" s="44" t="s">
        <v>208</v>
      </c>
      <c r="AA9" s="44" t="s">
        <v>309</v>
      </c>
      <c r="AB9" s="44" t="s">
        <v>275</v>
      </c>
      <c r="AC9" s="44" t="s">
        <v>390</v>
      </c>
    </row>
    <row r="10" spans="1:30" ht="21" customHeight="1" x14ac:dyDescent="0.25">
      <c r="B10" s="97" t="s">
        <v>391</v>
      </c>
      <c r="C10" s="187" t="s">
        <v>392</v>
      </c>
      <c r="D10" s="187"/>
      <c r="E10" s="187"/>
      <c r="F10" s="187"/>
      <c r="H10" s="193" t="s">
        <v>393</v>
      </c>
      <c r="I10" s="174"/>
      <c r="J10" s="174"/>
      <c r="K10" s="203">
        <v>112.45</v>
      </c>
      <c r="L10" s="204"/>
      <c r="N10" s="44" t="s">
        <v>247</v>
      </c>
      <c r="O10" s="44" t="s">
        <v>384</v>
      </c>
      <c r="P10" s="54" t="s">
        <v>385</v>
      </c>
      <c r="R10" s="44" t="s">
        <v>49</v>
      </c>
      <c r="S10" s="44" t="s">
        <v>284</v>
      </c>
      <c r="T10" s="44" t="s">
        <v>283</v>
      </c>
      <c r="U10" s="44" t="s">
        <v>394</v>
      </c>
      <c r="V10" s="44" t="s">
        <v>121</v>
      </c>
      <c r="W10" s="44" t="s">
        <v>130</v>
      </c>
      <c r="X10" s="44" t="s">
        <v>117</v>
      </c>
      <c r="Y10" s="44" t="s">
        <v>209</v>
      </c>
      <c r="Z10" s="44" t="s">
        <v>395</v>
      </c>
      <c r="AA10" s="44" t="s">
        <v>314</v>
      </c>
      <c r="AB10" s="44" t="s">
        <v>285</v>
      </c>
      <c r="AC10" s="44" t="s">
        <v>396</v>
      </c>
    </row>
    <row r="11" spans="1:30" ht="21" customHeight="1" x14ac:dyDescent="0.25">
      <c r="B11" s="97" t="s">
        <v>397</v>
      </c>
      <c r="C11" s="187" t="s">
        <v>398</v>
      </c>
      <c r="D11" s="187"/>
      <c r="E11" s="187"/>
      <c r="F11" s="187"/>
      <c r="H11" s="193" t="s">
        <v>399</v>
      </c>
      <c r="I11" s="174"/>
      <c r="J11" s="174"/>
      <c r="K11" s="194">
        <f>SUM(Îlots!$E$8:$E$57)</f>
        <v>112.45</v>
      </c>
      <c r="L11" s="195"/>
      <c r="N11" s="44" t="s">
        <v>400</v>
      </c>
      <c r="O11" s="44" t="s">
        <v>384</v>
      </c>
      <c r="P11" s="54" t="s">
        <v>385</v>
      </c>
      <c r="R11" s="44" t="s">
        <v>50</v>
      </c>
      <c r="S11" s="44" t="s">
        <v>286</v>
      </c>
      <c r="T11" s="44"/>
      <c r="U11" s="44" t="s">
        <v>401</v>
      </c>
      <c r="V11" s="44"/>
      <c r="W11" s="44" t="s">
        <v>116</v>
      </c>
      <c r="X11" s="44" t="s">
        <v>126</v>
      </c>
      <c r="Y11" s="44" t="s">
        <v>246</v>
      </c>
      <c r="Z11" s="44"/>
      <c r="AA11" s="44"/>
      <c r="AB11" s="44"/>
      <c r="AC11" s="44" t="s">
        <v>402</v>
      </c>
    </row>
    <row r="12" spans="1:30" ht="21" customHeight="1" x14ac:dyDescent="0.25">
      <c r="B12" s="97" t="s">
        <v>403</v>
      </c>
      <c r="C12" s="187" t="s">
        <v>404</v>
      </c>
      <c r="D12" s="187"/>
      <c r="E12" s="187"/>
      <c r="F12" s="187"/>
      <c r="H12" s="193" t="s">
        <v>405</v>
      </c>
      <c r="I12" s="174"/>
      <c r="J12" s="174"/>
      <c r="K12" s="199" t="str">
        <f>IF(K10="","SAU à renseigner",IF(ABS(K10-K11)&lt;0.01,"Cohérent","Écart de "&amp;ROUND(ABS(K10-K11),2)&amp;" ha"))</f>
        <v>Cohérent</v>
      </c>
      <c r="L12" s="160"/>
      <c r="N12" s="44" t="s">
        <v>215</v>
      </c>
      <c r="O12" s="44" t="s">
        <v>406</v>
      </c>
      <c r="P12" s="54" t="s">
        <v>385</v>
      </c>
      <c r="R12" s="44" t="s">
        <v>51</v>
      </c>
      <c r="S12" s="44"/>
      <c r="T12" s="44"/>
      <c r="U12" s="44" t="s">
        <v>140</v>
      </c>
      <c r="V12" s="44"/>
      <c r="W12" s="44" t="s">
        <v>143</v>
      </c>
      <c r="X12" s="44"/>
      <c r="Y12" s="44" t="s">
        <v>407</v>
      </c>
      <c r="Z12" s="44"/>
      <c r="AA12" s="44"/>
      <c r="AB12" s="44"/>
      <c r="AC12" s="44" t="s">
        <v>408</v>
      </c>
    </row>
    <row r="13" spans="1:30" ht="21" customHeight="1" x14ac:dyDescent="0.25">
      <c r="B13" s="97" t="s">
        <v>409</v>
      </c>
      <c r="C13" s="187" t="s">
        <v>410</v>
      </c>
      <c r="D13" s="187"/>
      <c r="E13" s="187"/>
      <c r="F13" s="187"/>
      <c r="H13" s="193" t="s">
        <v>411</v>
      </c>
      <c r="I13" s="174"/>
      <c r="J13" s="174"/>
      <c r="K13" s="201" t="s">
        <v>199</v>
      </c>
      <c r="L13" s="202"/>
      <c r="N13" s="44" t="s">
        <v>242</v>
      </c>
      <c r="O13" s="44" t="s">
        <v>412</v>
      </c>
      <c r="P13" s="54" t="s">
        <v>385</v>
      </c>
      <c r="R13" s="44"/>
      <c r="S13" s="44"/>
      <c r="T13" s="44"/>
      <c r="U13" s="44" t="s">
        <v>413</v>
      </c>
      <c r="V13" s="44"/>
      <c r="W13" s="44" t="s">
        <v>133</v>
      </c>
      <c r="X13" s="44"/>
      <c r="Y13" s="44" t="s">
        <v>214</v>
      </c>
      <c r="Z13" s="44"/>
      <c r="AA13" s="44"/>
      <c r="AB13" s="44"/>
      <c r="AC13" s="44"/>
    </row>
    <row r="14" spans="1:30" ht="21" customHeight="1" x14ac:dyDescent="0.25">
      <c r="B14" s="97" t="s">
        <v>414</v>
      </c>
      <c r="C14" s="187" t="s">
        <v>415</v>
      </c>
      <c r="D14" s="187"/>
      <c r="E14" s="187"/>
      <c r="F14" s="187"/>
      <c r="H14" s="193" t="s">
        <v>416</v>
      </c>
      <c r="I14" s="174"/>
      <c r="J14" s="174"/>
      <c r="K14" s="201" t="s">
        <v>402</v>
      </c>
      <c r="L14" s="202"/>
      <c r="N14" s="44" t="s">
        <v>417</v>
      </c>
      <c r="O14" s="44" t="s">
        <v>412</v>
      </c>
      <c r="P14" s="54" t="s">
        <v>385</v>
      </c>
      <c r="R14" s="44"/>
      <c r="S14" s="44"/>
      <c r="T14" s="44"/>
      <c r="U14" s="44"/>
      <c r="V14" s="44"/>
      <c r="W14" s="44" t="s">
        <v>146</v>
      </c>
      <c r="X14" s="44"/>
      <c r="Y14" s="44" t="s">
        <v>230</v>
      </c>
      <c r="Z14" s="44"/>
      <c r="AA14" s="44"/>
      <c r="AB14" s="44"/>
      <c r="AC14" s="44"/>
    </row>
    <row r="15" spans="1:30" ht="27.95" customHeight="1" x14ac:dyDescent="0.25">
      <c r="B15" s="97" t="s">
        <v>418</v>
      </c>
      <c r="C15" s="187" t="s">
        <v>419</v>
      </c>
      <c r="D15" s="187"/>
      <c r="E15" s="187"/>
      <c r="F15" s="187"/>
      <c r="H15" s="193" t="s">
        <v>420</v>
      </c>
      <c r="I15" s="174"/>
      <c r="J15" s="174"/>
      <c r="K15" s="185">
        <v>170</v>
      </c>
      <c r="L15" s="186"/>
      <c r="N15" s="44" t="s">
        <v>203</v>
      </c>
      <c r="O15" s="44" t="s">
        <v>412</v>
      </c>
      <c r="P15" s="54" t="s">
        <v>421</v>
      </c>
      <c r="R15" s="44"/>
      <c r="S15" s="44"/>
      <c r="T15" s="44"/>
      <c r="U15" s="44"/>
      <c r="V15" s="44"/>
      <c r="W15" s="44" t="s">
        <v>157</v>
      </c>
      <c r="X15" s="44"/>
      <c r="Y15" s="44"/>
      <c r="Z15" s="44"/>
      <c r="AA15" s="44"/>
      <c r="AB15" s="44"/>
      <c r="AC15" s="44"/>
    </row>
    <row r="16" spans="1:30" ht="27.95" customHeight="1" x14ac:dyDescent="0.25">
      <c r="H16" s="193" t="s">
        <v>422</v>
      </c>
      <c r="I16" s="174"/>
      <c r="J16" s="174"/>
      <c r="K16" s="185">
        <v>5</v>
      </c>
      <c r="L16" s="186"/>
      <c r="N16" s="44" t="s">
        <v>423</v>
      </c>
      <c r="O16" s="44" t="s">
        <v>412</v>
      </c>
      <c r="P16" s="54" t="s">
        <v>385</v>
      </c>
      <c r="R16" s="44"/>
      <c r="S16" s="44"/>
      <c r="T16" s="44"/>
      <c r="U16" s="44"/>
      <c r="V16" s="44"/>
      <c r="W16" s="44" t="s">
        <v>395</v>
      </c>
      <c r="X16" s="44"/>
      <c r="Y16" s="44"/>
      <c r="Z16" s="44"/>
      <c r="AA16" s="44"/>
      <c r="AB16" s="44"/>
      <c r="AC16" s="44"/>
    </row>
    <row r="17" spans="2:29" ht="27.95" customHeight="1" x14ac:dyDescent="0.25">
      <c r="H17" s="193" t="s">
        <v>424</v>
      </c>
      <c r="I17" s="174"/>
      <c r="J17" s="174"/>
      <c r="K17" s="185">
        <v>30</v>
      </c>
      <c r="L17" s="186"/>
      <c r="N17" s="44" t="s">
        <v>425</v>
      </c>
      <c r="O17" s="44" t="s">
        <v>412</v>
      </c>
      <c r="P17" s="54" t="s">
        <v>426</v>
      </c>
      <c r="R17" s="44"/>
      <c r="S17" s="44"/>
      <c r="T17" s="44"/>
      <c r="U17" s="44"/>
      <c r="V17" s="44"/>
      <c r="W17" s="44"/>
      <c r="X17" s="44"/>
      <c r="Y17" s="44"/>
      <c r="Z17" s="44"/>
      <c r="AA17" s="44"/>
      <c r="AB17" s="44"/>
      <c r="AC17" s="44"/>
    </row>
    <row r="18" spans="2:29" ht="21" customHeight="1" x14ac:dyDescent="0.25">
      <c r="H18" s="193" t="s">
        <v>427</v>
      </c>
      <c r="I18" s="174"/>
      <c r="J18" s="174"/>
      <c r="K18" s="201" t="s">
        <v>428</v>
      </c>
      <c r="L18" s="202"/>
      <c r="N18" s="44" t="s">
        <v>429</v>
      </c>
      <c r="O18" s="44" t="s">
        <v>412</v>
      </c>
      <c r="P18" s="54" t="s">
        <v>426</v>
      </c>
      <c r="R18" s="44"/>
      <c r="S18" s="44"/>
      <c r="T18" s="44"/>
      <c r="U18" s="44"/>
      <c r="V18" s="44"/>
      <c r="W18" s="44"/>
      <c r="X18" s="44"/>
      <c r="Y18" s="44"/>
      <c r="Z18" s="44"/>
      <c r="AA18" s="44"/>
      <c r="AB18" s="44"/>
      <c r="AC18" s="44"/>
    </row>
    <row r="19" spans="2:29" x14ac:dyDescent="0.25">
      <c r="N19" s="44" t="s">
        <v>430</v>
      </c>
      <c r="O19" s="44" t="s">
        <v>412</v>
      </c>
      <c r="P19" s="54" t="s">
        <v>426</v>
      </c>
      <c r="R19" s="44"/>
      <c r="S19" s="44"/>
      <c r="T19" s="44"/>
      <c r="U19" s="44"/>
      <c r="V19" s="44"/>
      <c r="W19" s="44"/>
      <c r="X19" s="44"/>
      <c r="Y19" s="44"/>
      <c r="Z19" s="44"/>
      <c r="AA19" s="44"/>
      <c r="AB19" s="44"/>
      <c r="AC19" s="44"/>
    </row>
    <row r="20" spans="2:29" ht="26.1" customHeight="1" x14ac:dyDescent="0.25">
      <c r="B20" s="84" t="s">
        <v>431</v>
      </c>
      <c r="C20" s="85"/>
      <c r="D20" s="85"/>
      <c r="E20" s="85"/>
      <c r="F20" s="85"/>
      <c r="G20" s="85"/>
      <c r="H20" s="85"/>
      <c r="I20" s="85"/>
      <c r="J20" s="85"/>
      <c r="K20" s="85"/>
      <c r="L20" s="85"/>
      <c r="N20" s="44" t="s">
        <v>432</v>
      </c>
      <c r="O20" s="44" t="s">
        <v>412</v>
      </c>
      <c r="P20" s="54" t="s">
        <v>385</v>
      </c>
      <c r="R20" s="44"/>
      <c r="S20" s="44"/>
      <c r="T20" s="44"/>
      <c r="U20" s="44"/>
      <c r="V20" s="44"/>
      <c r="W20" s="44"/>
      <c r="X20" s="44"/>
      <c r="Y20" s="44"/>
      <c r="Z20" s="44"/>
      <c r="AA20" s="44"/>
      <c r="AB20" s="44"/>
      <c r="AC20" s="44"/>
    </row>
    <row r="21" spans="2:29" ht="30" customHeight="1" x14ac:dyDescent="0.25">
      <c r="B21" s="196" t="s">
        <v>433</v>
      </c>
      <c r="C21" s="197"/>
      <c r="D21" s="197"/>
      <c r="E21" s="197"/>
      <c r="F21" s="197"/>
      <c r="G21" s="197"/>
      <c r="H21" s="197"/>
      <c r="I21" s="197"/>
      <c r="J21" s="197"/>
      <c r="K21" s="197"/>
      <c r="L21" s="198"/>
      <c r="N21" s="44" t="s">
        <v>231</v>
      </c>
      <c r="O21" s="44" t="s">
        <v>434</v>
      </c>
      <c r="P21" s="54" t="s">
        <v>421</v>
      </c>
      <c r="R21" s="44"/>
      <c r="S21" s="44"/>
      <c r="T21" s="44"/>
      <c r="U21" s="44"/>
      <c r="V21" s="44"/>
      <c r="W21" s="44"/>
      <c r="X21" s="44"/>
      <c r="Y21" s="44"/>
      <c r="Z21" s="44"/>
      <c r="AA21" s="44"/>
      <c r="AB21" s="44"/>
      <c r="AC21" s="44"/>
    </row>
    <row r="22" spans="2:29" ht="20.100000000000001" customHeight="1" x14ac:dyDescent="0.25">
      <c r="B22" s="188" t="s">
        <v>435</v>
      </c>
      <c r="C22" s="188" t="s">
        <v>47</v>
      </c>
      <c r="D22" s="189"/>
      <c r="E22" s="188" t="s">
        <v>48</v>
      </c>
      <c r="F22" s="189"/>
      <c r="G22" s="188" t="s">
        <v>49</v>
      </c>
      <c r="H22" s="189"/>
      <c r="I22" s="188" t="s">
        <v>50</v>
      </c>
      <c r="J22" s="189"/>
      <c r="K22" s="188" t="s">
        <v>51</v>
      </c>
      <c r="L22" s="189"/>
      <c r="N22" s="44" t="s">
        <v>237</v>
      </c>
      <c r="O22" s="44" t="s">
        <v>434</v>
      </c>
      <c r="P22" s="54" t="s">
        <v>421</v>
      </c>
      <c r="R22" s="44"/>
      <c r="S22" s="44"/>
      <c r="T22" s="44"/>
      <c r="U22" s="44"/>
      <c r="V22" s="44"/>
      <c r="W22" s="44"/>
      <c r="X22" s="44"/>
      <c r="Y22" s="44"/>
      <c r="Z22" s="44"/>
      <c r="AA22" s="44"/>
      <c r="AB22" s="44"/>
      <c r="AC22" s="44"/>
    </row>
    <row r="23" spans="2:29" ht="15.95" customHeight="1" x14ac:dyDescent="0.25">
      <c r="B23" s="200"/>
      <c r="C23" s="98" t="s">
        <v>436</v>
      </c>
      <c r="D23" s="98" t="s">
        <v>437</v>
      </c>
      <c r="E23" s="98" t="s">
        <v>436</v>
      </c>
      <c r="F23" s="98" t="s">
        <v>437</v>
      </c>
      <c r="G23" s="98" t="s">
        <v>436</v>
      </c>
      <c r="H23" s="98" t="s">
        <v>437</v>
      </c>
      <c r="I23" s="98" t="s">
        <v>436</v>
      </c>
      <c r="J23" s="98" t="s">
        <v>437</v>
      </c>
      <c r="K23" s="98" t="s">
        <v>436</v>
      </c>
      <c r="L23" s="98" t="s">
        <v>437</v>
      </c>
      <c r="N23" s="44" t="s">
        <v>251</v>
      </c>
      <c r="O23" s="44" t="s">
        <v>434</v>
      </c>
      <c r="P23" s="54" t="s">
        <v>421</v>
      </c>
      <c r="R23" s="44"/>
      <c r="S23" s="44"/>
      <c r="T23" s="44"/>
      <c r="U23" s="44"/>
      <c r="V23" s="44"/>
      <c r="W23" s="44"/>
      <c r="X23" s="44"/>
      <c r="Y23" s="44"/>
      <c r="Z23" s="44"/>
      <c r="AA23" s="44"/>
      <c r="AB23" s="44"/>
      <c r="AC23" s="44"/>
    </row>
    <row r="24" spans="2:29" ht="20.100000000000001" customHeight="1" x14ac:dyDescent="0.25">
      <c r="B24" s="99" t="s">
        <v>384</v>
      </c>
      <c r="C24" s="100">
        <v>46736</v>
      </c>
      <c r="D24" s="101">
        <v>46402</v>
      </c>
      <c r="E24" s="100">
        <v>46706</v>
      </c>
      <c r="F24" s="101">
        <v>46402</v>
      </c>
      <c r="G24" s="100">
        <v>46706</v>
      </c>
      <c r="H24" s="101">
        <v>46402</v>
      </c>
      <c r="I24" s="100">
        <v>46661</v>
      </c>
      <c r="J24" s="101">
        <v>46418</v>
      </c>
      <c r="K24" s="100">
        <v>46631</v>
      </c>
      <c r="L24" s="101">
        <v>46418</v>
      </c>
      <c r="N24" s="44" t="s">
        <v>438</v>
      </c>
      <c r="O24" s="44" t="s">
        <v>439</v>
      </c>
      <c r="P24" s="54" t="s">
        <v>440</v>
      </c>
      <c r="R24" s="44"/>
      <c r="S24" s="44"/>
      <c r="T24" s="44"/>
      <c r="U24" s="44"/>
      <c r="V24" s="44"/>
      <c r="W24" s="44"/>
      <c r="X24" s="44"/>
      <c r="Y24" s="44"/>
      <c r="Z24" s="44"/>
      <c r="AA24" s="44"/>
      <c r="AB24" s="44"/>
      <c r="AC24" s="44"/>
    </row>
    <row r="25" spans="2:29" ht="20.100000000000001" customHeight="1" x14ac:dyDescent="0.25">
      <c r="B25" s="99" t="s">
        <v>406</v>
      </c>
      <c r="C25" s="102">
        <v>46736</v>
      </c>
      <c r="D25" s="103">
        <v>46402</v>
      </c>
      <c r="E25" s="102">
        <v>46706</v>
      </c>
      <c r="F25" s="103">
        <v>46402</v>
      </c>
      <c r="G25" s="102">
        <v>46706</v>
      </c>
      <c r="H25" s="103">
        <v>46402</v>
      </c>
      <c r="I25" s="102">
        <v>46675</v>
      </c>
      <c r="J25" s="103">
        <v>46418</v>
      </c>
      <c r="K25" s="102">
        <v>46631</v>
      </c>
      <c r="L25" s="103">
        <v>46418</v>
      </c>
      <c r="N25" s="44" t="s">
        <v>441</v>
      </c>
      <c r="O25" s="44" t="s">
        <v>439</v>
      </c>
      <c r="P25" s="54" t="s">
        <v>426</v>
      </c>
      <c r="R25" s="44"/>
      <c r="S25" s="44"/>
      <c r="T25" s="44"/>
      <c r="U25" s="44"/>
      <c r="V25" s="44"/>
      <c r="W25" s="44"/>
      <c r="X25" s="44"/>
      <c r="Y25" s="44"/>
      <c r="Z25" s="44"/>
      <c r="AA25" s="44"/>
      <c r="AB25" s="44"/>
      <c r="AC25" s="44"/>
    </row>
    <row r="26" spans="2:29" ht="20.100000000000001" customHeight="1" x14ac:dyDescent="0.25">
      <c r="B26" s="99" t="s">
        <v>412</v>
      </c>
      <c r="C26" s="100">
        <v>46736</v>
      </c>
      <c r="D26" s="101">
        <v>46402</v>
      </c>
      <c r="E26" s="100">
        <v>46706</v>
      </c>
      <c r="F26" s="101">
        <v>46402</v>
      </c>
      <c r="G26" s="100">
        <v>46569</v>
      </c>
      <c r="H26" s="101">
        <v>46630</v>
      </c>
      <c r="I26" s="100">
        <v>46569</v>
      </c>
      <c r="J26" s="101">
        <v>46402</v>
      </c>
      <c r="K26" s="100">
        <v>46569</v>
      </c>
      <c r="L26" s="101">
        <v>46433</v>
      </c>
      <c r="N26" s="44" t="s">
        <v>442</v>
      </c>
      <c r="O26" s="44" t="s">
        <v>439</v>
      </c>
      <c r="P26" s="54" t="s">
        <v>426</v>
      </c>
      <c r="R26" s="44"/>
      <c r="S26" s="44"/>
      <c r="T26" s="44"/>
      <c r="U26" s="44"/>
      <c r="V26" s="44"/>
      <c r="W26" s="44"/>
      <c r="X26" s="44"/>
      <c r="Y26" s="44"/>
      <c r="Z26" s="44"/>
      <c r="AA26" s="44"/>
      <c r="AB26" s="44"/>
      <c r="AC26" s="44"/>
    </row>
    <row r="27" spans="2:29" ht="20.100000000000001" customHeight="1" x14ac:dyDescent="0.25">
      <c r="B27" s="99" t="s">
        <v>434</v>
      </c>
      <c r="C27" s="102"/>
      <c r="D27" s="103"/>
      <c r="E27" s="102">
        <v>46736</v>
      </c>
      <c r="F27" s="103">
        <v>46402</v>
      </c>
      <c r="G27" s="102">
        <v>46736</v>
      </c>
      <c r="H27" s="103">
        <v>46402</v>
      </c>
      <c r="I27" s="102">
        <v>46706</v>
      </c>
      <c r="J27" s="103">
        <v>46402</v>
      </c>
      <c r="K27" s="102">
        <v>46661</v>
      </c>
      <c r="L27" s="103">
        <v>46418</v>
      </c>
      <c r="N27" s="44" t="s">
        <v>443</v>
      </c>
      <c r="O27" s="44" t="s">
        <v>443</v>
      </c>
      <c r="P27" s="54" t="s">
        <v>444</v>
      </c>
      <c r="R27" s="44"/>
      <c r="S27" s="44"/>
      <c r="T27" s="44"/>
      <c r="U27" s="44"/>
      <c r="V27" s="44"/>
      <c r="W27" s="44"/>
      <c r="X27" s="44"/>
      <c r="Y27" s="44"/>
      <c r="Z27" s="44"/>
      <c r="AA27" s="44"/>
      <c r="AB27" s="44"/>
      <c r="AC27" s="44"/>
    </row>
    <row r="28" spans="2:29" ht="18" customHeight="1" x14ac:dyDescent="0.25">
      <c r="B28" s="99" t="s">
        <v>445</v>
      </c>
      <c r="C28" s="100">
        <v>46736</v>
      </c>
      <c r="D28" s="101">
        <v>46402</v>
      </c>
      <c r="E28" s="100">
        <v>46706</v>
      </c>
      <c r="F28" s="101">
        <v>46402</v>
      </c>
      <c r="G28" s="100">
        <v>46706</v>
      </c>
      <c r="H28" s="101">
        <v>46402</v>
      </c>
      <c r="I28" s="100">
        <v>46675</v>
      </c>
      <c r="J28" s="101">
        <v>46418</v>
      </c>
      <c r="K28" s="100">
        <v>46388</v>
      </c>
      <c r="L28" s="101">
        <v>46752</v>
      </c>
      <c r="N28" s="44"/>
      <c r="O28" s="44"/>
      <c r="P28" s="54"/>
    </row>
    <row r="29" spans="2:29" ht="18" customHeight="1" x14ac:dyDescent="0.25">
      <c r="B29" s="99" t="s">
        <v>439</v>
      </c>
      <c r="C29" s="102">
        <v>46736</v>
      </c>
      <c r="D29" s="103">
        <v>46402</v>
      </c>
      <c r="E29" s="102">
        <v>46736</v>
      </c>
      <c r="F29" s="103">
        <v>46402</v>
      </c>
      <c r="G29" s="102">
        <v>46736</v>
      </c>
      <c r="H29" s="103">
        <v>46402</v>
      </c>
      <c r="I29" s="102">
        <v>46692</v>
      </c>
      <c r="J29" s="103">
        <v>46402</v>
      </c>
      <c r="K29" s="102">
        <v>46736</v>
      </c>
      <c r="L29" s="103">
        <v>46402</v>
      </c>
      <c r="N29" s="44"/>
      <c r="O29" s="44"/>
      <c r="P29" s="54"/>
      <c r="R29" s="96" t="s">
        <v>446</v>
      </c>
    </row>
    <row r="30" spans="2:29" ht="18" customHeight="1" x14ac:dyDescent="0.25">
      <c r="B30" s="99" t="s">
        <v>443</v>
      </c>
      <c r="C30" s="100">
        <v>46388</v>
      </c>
      <c r="D30" s="101">
        <v>46752</v>
      </c>
      <c r="E30" s="100">
        <v>46388</v>
      </c>
      <c r="F30" s="101">
        <v>46752</v>
      </c>
      <c r="G30" s="100">
        <v>46388</v>
      </c>
      <c r="H30" s="101">
        <v>46752</v>
      </c>
      <c r="I30" s="100">
        <v>46388</v>
      </c>
      <c r="J30" s="101">
        <v>46752</v>
      </c>
      <c r="K30" s="100">
        <v>46388</v>
      </c>
      <c r="L30" s="101">
        <v>46752</v>
      </c>
      <c r="N30" s="44"/>
      <c r="O30" s="44"/>
      <c r="P30" s="54"/>
    </row>
    <row r="31" spans="2:29" ht="18" customHeight="1" x14ac:dyDescent="0.25">
      <c r="N31" s="44"/>
      <c r="O31" s="44"/>
      <c r="P31" s="54"/>
    </row>
    <row r="32" spans="2:29" ht="18" customHeight="1" x14ac:dyDescent="0.25">
      <c r="B32" s="84" t="s">
        <v>447</v>
      </c>
      <c r="C32" s="85"/>
      <c r="D32" s="85"/>
      <c r="E32" s="85"/>
      <c r="F32" s="85"/>
      <c r="G32" s="85"/>
      <c r="H32" s="85"/>
      <c r="I32" s="85"/>
      <c r="J32" s="85"/>
      <c r="K32" s="85"/>
      <c r="L32" s="85"/>
      <c r="N32" s="44"/>
      <c r="O32" s="44"/>
      <c r="P32" s="54"/>
    </row>
    <row r="33" spans="2:16" ht="18" customHeight="1" x14ac:dyDescent="0.25">
      <c r="B33" s="188" t="s">
        <v>435</v>
      </c>
      <c r="C33" s="188" t="s">
        <v>47</v>
      </c>
      <c r="D33" s="189"/>
      <c r="E33" s="188" t="s">
        <v>48</v>
      </c>
      <c r="F33" s="189"/>
      <c r="G33" s="188" t="s">
        <v>49</v>
      </c>
      <c r="H33" s="189"/>
      <c r="I33" s="188" t="s">
        <v>50</v>
      </c>
      <c r="J33" s="189"/>
      <c r="K33" s="188" t="s">
        <v>51</v>
      </c>
      <c r="L33" s="189"/>
      <c r="N33" s="44"/>
      <c r="O33" s="44"/>
      <c r="P33" s="54"/>
    </row>
    <row r="34" spans="2:16" ht="18" customHeight="1" x14ac:dyDescent="0.25">
      <c r="B34" s="200"/>
      <c r="C34" s="98" t="s">
        <v>436</v>
      </c>
      <c r="D34" s="98" t="s">
        <v>437</v>
      </c>
      <c r="E34" s="98" t="s">
        <v>436</v>
      </c>
      <c r="F34" s="98" t="s">
        <v>437</v>
      </c>
      <c r="G34" s="98" t="s">
        <v>436</v>
      </c>
      <c r="H34" s="98" t="s">
        <v>437</v>
      </c>
      <c r="I34" s="98" t="s">
        <v>436</v>
      </c>
      <c r="J34" s="98" t="s">
        <v>437</v>
      </c>
      <c r="K34" s="98" t="s">
        <v>436</v>
      </c>
      <c r="L34" s="98" t="s">
        <v>437</v>
      </c>
      <c r="N34" s="44"/>
      <c r="O34" s="44"/>
      <c r="P34" s="54"/>
    </row>
    <row r="35" spans="2:16" ht="18" customHeight="1" x14ac:dyDescent="0.25">
      <c r="B35" s="55" t="str">
        <f t="shared" ref="B35:B41" si="0">B24</f>
        <v>Culture d'automne (hors colza)</v>
      </c>
      <c r="C35" s="100"/>
      <c r="D35" s="101"/>
      <c r="E35" s="100"/>
      <c r="F35" s="101"/>
      <c r="G35" s="100"/>
      <c r="H35" s="101"/>
      <c r="I35" s="100"/>
      <c r="J35" s="101"/>
      <c r="K35" s="100"/>
      <c r="L35" s="101"/>
      <c r="N35" s="44"/>
      <c r="O35" s="44"/>
      <c r="P35" s="54"/>
    </row>
    <row r="36" spans="2:16" ht="18" customHeight="1" x14ac:dyDescent="0.25">
      <c r="B36" s="55" t="str">
        <f t="shared" si="0"/>
        <v>Colza d'automne</v>
      </c>
      <c r="C36" s="102"/>
      <c r="D36" s="103"/>
      <c r="E36" s="102"/>
      <c r="F36" s="103"/>
      <c r="G36" s="102"/>
      <c r="H36" s="103"/>
      <c r="I36" s="102"/>
      <c r="J36" s="103"/>
      <c r="K36" s="102"/>
      <c r="L36" s="103"/>
      <c r="N36" s="44"/>
      <c r="O36" s="44"/>
      <c r="P36" s="54"/>
    </row>
    <row r="37" spans="2:16" ht="18" customHeight="1" x14ac:dyDescent="0.25">
      <c r="B37" s="55" t="str">
        <f t="shared" si="0"/>
        <v>Culture de printemps</v>
      </c>
      <c r="C37" s="100"/>
      <c r="D37" s="101"/>
      <c r="E37" s="100"/>
      <c r="F37" s="101"/>
      <c r="G37" s="100">
        <v>46706</v>
      </c>
      <c r="H37" s="101">
        <v>46402</v>
      </c>
      <c r="I37" s="100"/>
      <c r="J37" s="101"/>
      <c r="K37" s="100"/>
      <c r="L37" s="101"/>
      <c r="N37" s="44"/>
      <c r="O37" s="44"/>
      <c r="P37" s="54"/>
    </row>
    <row r="38" spans="2:16" ht="18" customHeight="1" x14ac:dyDescent="0.25">
      <c r="B38" s="55" t="str">
        <f t="shared" si="0"/>
        <v>Prairie &gt; 6 mois et luzerne</v>
      </c>
      <c r="C38" s="102"/>
      <c r="D38" s="103"/>
      <c r="E38" s="102"/>
      <c r="F38" s="103"/>
      <c r="G38" s="102"/>
      <c r="H38" s="103"/>
      <c r="I38" s="102"/>
      <c r="J38" s="103"/>
      <c r="K38" s="102"/>
      <c r="L38" s="103"/>
      <c r="N38" s="44"/>
      <c r="O38" s="44"/>
      <c r="P38" s="54"/>
    </row>
    <row r="39" spans="2:16" ht="18" customHeight="1" x14ac:dyDescent="0.25">
      <c r="B39" s="55" t="str">
        <f t="shared" si="0"/>
        <v>Couvert d'interculture (CINE, CIE)</v>
      </c>
      <c r="C39" s="100"/>
      <c r="D39" s="101"/>
      <c r="E39" s="100"/>
      <c r="F39" s="101"/>
      <c r="G39" s="100"/>
      <c r="H39" s="101"/>
      <c r="I39" s="100"/>
      <c r="J39" s="101"/>
      <c r="K39" s="100"/>
      <c r="L39" s="101"/>
      <c r="N39" s="44"/>
      <c r="O39" s="44"/>
      <c r="P39" s="54"/>
    </row>
    <row r="40" spans="2:16" ht="18" customHeight="1" x14ac:dyDescent="0.25">
      <c r="B40" s="55" t="str">
        <f t="shared" si="0"/>
        <v>Vigne, verger, maraîchage</v>
      </c>
      <c r="C40" s="102"/>
      <c r="D40" s="103"/>
      <c r="E40" s="102"/>
      <c r="F40" s="103"/>
      <c r="G40" s="102"/>
      <c r="H40" s="103"/>
      <c r="I40" s="102"/>
      <c r="J40" s="103"/>
      <c r="K40" s="102"/>
      <c r="L40" s="103"/>
      <c r="N40" s="44"/>
      <c r="O40" s="44"/>
      <c r="P40" s="54"/>
    </row>
    <row r="41" spans="2:16" ht="18" customHeight="1" x14ac:dyDescent="0.25">
      <c r="B41" s="55" t="str">
        <f t="shared" si="0"/>
        <v>Sol non cultivé</v>
      </c>
      <c r="C41" s="100"/>
      <c r="D41" s="101"/>
      <c r="E41" s="100"/>
      <c r="F41" s="101"/>
      <c r="G41" s="100"/>
      <c r="H41" s="101"/>
      <c r="I41" s="100"/>
      <c r="J41" s="101"/>
      <c r="K41" s="100"/>
      <c r="L41" s="101"/>
      <c r="N41" s="44"/>
      <c r="O41" s="44"/>
      <c r="P41" s="54"/>
    </row>
    <row r="42" spans="2:16" ht="18" customHeight="1" x14ac:dyDescent="0.25">
      <c r="N42" s="44"/>
      <c r="O42" s="44"/>
      <c r="P42" s="54"/>
    </row>
    <row r="43" spans="2:16" ht="18" customHeight="1" x14ac:dyDescent="0.25">
      <c r="B43" s="84" t="s">
        <v>448</v>
      </c>
      <c r="C43" s="85"/>
      <c r="D43" s="85"/>
      <c r="E43" s="85"/>
      <c r="F43" s="85"/>
      <c r="G43" s="85"/>
      <c r="H43" s="85"/>
      <c r="I43" s="85"/>
      <c r="J43" s="85"/>
      <c r="K43" s="85"/>
      <c r="L43" s="85"/>
      <c r="N43" s="44"/>
      <c r="O43" s="44"/>
      <c r="P43" s="54"/>
    </row>
    <row r="44" spans="2:16" ht="18" customHeight="1" x14ac:dyDescent="0.25">
      <c r="B44" s="45" t="str">
        <f t="shared" ref="B44:B50" si="1">B24</f>
        <v>Culture d'automne (hors colza)</v>
      </c>
      <c r="C44" s="190" t="s">
        <v>449</v>
      </c>
      <c r="D44" s="187"/>
      <c r="E44" s="187"/>
      <c r="F44" s="187"/>
      <c r="G44" s="187"/>
      <c r="H44" s="187"/>
      <c r="I44" s="187"/>
      <c r="J44" s="187"/>
      <c r="K44" s="187"/>
      <c r="L44" s="187"/>
      <c r="N44" s="44"/>
      <c r="O44" s="44"/>
      <c r="P44" s="54"/>
    </row>
    <row r="45" spans="2:16" ht="18" customHeight="1" x14ac:dyDescent="0.25">
      <c r="B45" s="45" t="str">
        <f t="shared" si="1"/>
        <v>Colza d'automne</v>
      </c>
      <c r="C45" s="190" t="s">
        <v>450</v>
      </c>
      <c r="D45" s="187"/>
      <c r="E45" s="187"/>
      <c r="F45" s="187"/>
      <c r="G45" s="187"/>
      <c r="H45" s="187"/>
      <c r="I45" s="187"/>
      <c r="J45" s="187"/>
      <c r="K45" s="187"/>
      <c r="L45" s="187"/>
      <c r="N45" s="44"/>
      <c r="O45" s="44"/>
      <c r="P45" s="54"/>
    </row>
    <row r="46" spans="2:16" ht="18" customHeight="1" x14ac:dyDescent="0.25">
      <c r="B46" s="45" t="str">
        <f t="shared" si="1"/>
        <v>Culture de printemps</v>
      </c>
      <c r="C46" s="190" t="s">
        <v>451</v>
      </c>
      <c r="D46" s="187"/>
      <c r="E46" s="187"/>
      <c r="F46" s="187"/>
      <c r="G46" s="187"/>
      <c r="H46" s="187"/>
      <c r="I46" s="187"/>
      <c r="J46" s="187"/>
      <c r="K46" s="187"/>
      <c r="L46" s="187"/>
      <c r="N46" s="44"/>
      <c r="O46" s="44"/>
      <c r="P46" s="54"/>
    </row>
    <row r="47" spans="2:16" ht="18" customHeight="1" x14ac:dyDescent="0.25">
      <c r="B47" s="45" t="str">
        <f t="shared" si="1"/>
        <v>Prairie &gt; 6 mois et luzerne</v>
      </c>
      <c r="C47" s="190" t="s">
        <v>452</v>
      </c>
      <c r="D47" s="187"/>
      <c r="E47" s="187"/>
      <c r="F47" s="187"/>
      <c r="G47" s="187"/>
      <c r="H47" s="187"/>
      <c r="I47" s="187"/>
      <c r="J47" s="187"/>
      <c r="K47" s="187"/>
      <c r="L47" s="187"/>
      <c r="N47" s="44"/>
      <c r="O47" s="44"/>
      <c r="P47" s="54"/>
    </row>
    <row r="48" spans="2:16" ht="20.100000000000001" customHeight="1" x14ac:dyDescent="0.25">
      <c r="B48" s="45" t="str">
        <f t="shared" si="1"/>
        <v>Couvert d'interculture (CINE, CIE)</v>
      </c>
      <c r="C48" s="190" t="s">
        <v>453</v>
      </c>
      <c r="D48" s="187"/>
      <c r="E48" s="187"/>
      <c r="F48" s="187"/>
      <c r="G48" s="187"/>
      <c r="H48" s="187"/>
      <c r="I48" s="187"/>
      <c r="J48" s="187"/>
      <c r="K48" s="187"/>
      <c r="L48" s="187"/>
    </row>
    <row r="49" spans="2:12" ht="20.100000000000001" customHeight="1" x14ac:dyDescent="0.25">
      <c r="B49" s="45" t="str">
        <f t="shared" si="1"/>
        <v>Vigne, verger, maraîchage</v>
      </c>
      <c r="C49" s="190" t="s">
        <v>454</v>
      </c>
      <c r="D49" s="187"/>
      <c r="E49" s="187"/>
      <c r="F49" s="187"/>
      <c r="G49" s="187"/>
      <c r="H49" s="187"/>
      <c r="I49" s="187"/>
      <c r="J49" s="187"/>
      <c r="K49" s="187"/>
      <c r="L49" s="187"/>
    </row>
    <row r="50" spans="2:12" ht="20.100000000000001" customHeight="1" x14ac:dyDescent="0.25">
      <c r="B50" s="45" t="str">
        <f t="shared" si="1"/>
        <v>Sol non cultivé</v>
      </c>
      <c r="C50" s="190" t="s">
        <v>455</v>
      </c>
      <c r="D50" s="187"/>
      <c r="E50" s="187"/>
      <c r="F50" s="187"/>
      <c r="G50" s="187"/>
      <c r="H50" s="187"/>
      <c r="I50" s="187"/>
      <c r="J50" s="187"/>
      <c r="K50" s="187"/>
      <c r="L50" s="187"/>
    </row>
  </sheetData>
  <mergeCells count="55">
    <mergeCell ref="C50:L50"/>
    <mergeCell ref="K17:L17"/>
    <mergeCell ref="C44:L44"/>
    <mergeCell ref="C9:F9"/>
    <mergeCell ref="K7:L7"/>
    <mergeCell ref="H10:J10"/>
    <mergeCell ref="C12:F12"/>
    <mergeCell ref="K10:L10"/>
    <mergeCell ref="E22:F22"/>
    <mergeCell ref="H9:J9"/>
    <mergeCell ref="C11:F11"/>
    <mergeCell ref="G22:H22"/>
    <mergeCell ref="C46:L46"/>
    <mergeCell ref="K13:L13"/>
    <mergeCell ref="K18:L18"/>
    <mergeCell ref="C49:L49"/>
    <mergeCell ref="H13:J13"/>
    <mergeCell ref="C15:F15"/>
    <mergeCell ref="H12:J12"/>
    <mergeCell ref="C22:D22"/>
    <mergeCell ref="I22:J22"/>
    <mergeCell ref="K22:L22"/>
    <mergeCell ref="C14:F14"/>
    <mergeCell ref="H15:J15"/>
    <mergeCell ref="C45:L45"/>
    <mergeCell ref="K12:L12"/>
    <mergeCell ref="H18:J18"/>
    <mergeCell ref="H14:J14"/>
    <mergeCell ref="G33:H33"/>
    <mergeCell ref="I33:J33"/>
    <mergeCell ref="C47:L47"/>
    <mergeCell ref="C7:F7"/>
    <mergeCell ref="J4:L4"/>
    <mergeCell ref="H4:I4"/>
    <mergeCell ref="H17:J17"/>
    <mergeCell ref="H11:J11"/>
    <mergeCell ref="H7:J7"/>
    <mergeCell ref="C13:F13"/>
    <mergeCell ref="H16:J16"/>
    <mergeCell ref="K11:L11"/>
    <mergeCell ref="K8:L8"/>
    <mergeCell ref="H8:J8"/>
    <mergeCell ref="C10:F10"/>
    <mergeCell ref="K14:L14"/>
    <mergeCell ref="K16:L16"/>
    <mergeCell ref="C8:F8"/>
    <mergeCell ref="C33:D33"/>
    <mergeCell ref="C48:L48"/>
    <mergeCell ref="K15:L15"/>
    <mergeCell ref="E33:F33"/>
    <mergeCell ref="K33:L33"/>
    <mergeCell ref="K9:L9"/>
    <mergeCell ref="B21:L21"/>
    <mergeCell ref="B33:B34"/>
    <mergeCell ref="B22:B23"/>
  </mergeCells>
  <conditionalFormatting sqref="K12:L12">
    <cfRule type="expression" dxfId="1" priority="1" stopIfTrue="1">
      <formula>$K$12="Cohérent"</formula>
    </cfRule>
    <cfRule type="expression" dxfId="0" priority="2">
      <formula>AND($K$12&lt;&gt;"",$K$12&lt;&gt;"Cohérent")</formula>
    </cfRule>
  </conditionalFormatting>
  <dataValidations count="7">
    <dataValidation type="whole" showInputMessage="1" showErrorMessage="1" errorTitle="Année non valide" error="Saisissez une année sur 4 chiffres (ex. 2027)." promptTitle="Année de récolte" prompt="La campagne culturale court du 1er septembre de l'année précédente au 31 août de l'année de récolte." sqref="K7" xr:uid="{00000000-0002-0000-0600-000000000000}">
      <formula1>2020</formula1>
      <formula2>2100</formula2>
    </dataValidation>
    <dataValidation type="decimal" allowBlank="1" showErrorMessage="1" errorTitle="Valeur non valide" error="Surface en hectares." sqref="K10" xr:uid="{00000000-0002-0000-0600-000001000000}">
      <formula1>0</formula1>
      <formula2>100000</formula2>
    </dataValidation>
    <dataValidation type="list" allowBlank="1" showErrorMessage="1" errorTitle="Valeur non prévue" error="Choisissez une valeur dans la liste déroulante." sqref="K13" xr:uid="{00000000-0002-0000-0600-000002000000}">
      <formula1>"Oui,Non"</formula1>
    </dataValidation>
    <dataValidation type="decimal" allowBlank="1" showErrorMessage="1" errorTitle="Valeur non valide" error="Saisissez un nombre positif." sqref="K15:K17" xr:uid="{00000000-0002-0000-0600-000003000000}">
      <formula1>0</formula1>
      <formula2>1000</formula2>
    </dataValidation>
    <dataValidation type="date" allowBlank="1" showInputMessage="1" showErrorMessage="1" errorTitle="Date non valide" error="Saisissez une date au format jj/mm/aaaa." promptTitle="Période" prompt="Jour et mois de la période (l'année n'est pas prise en compte)." sqref="C24:L30 C35:L41" xr:uid="{00000000-0002-0000-0600-000004000000}">
      <formula1>36526</formula1>
      <formula2>73051</formula2>
    </dataValidation>
    <dataValidation type="list" allowBlank="1" showErrorMessage="1" errorTitle="Valeur non prévue" error="Choisissez une valeur dans la liste déroulante." sqref="O8:O47" xr:uid="{00000000-0002-0000-0600-000006000000}">
      <formula1>ListeOccupations</formula1>
    </dataValidation>
    <dataValidation type="list" allowBlank="1" showErrorMessage="1" errorTitle="Valeur non prévue" error="Choisissez une valeur dans la liste déroulante." sqref="K14" xr:uid="{00000000-0002-0000-0600-000007000000}">
      <formula1>ListeRegime</formula1>
    </dataValidation>
  </dataValidations>
  <printOptions horizontalCentered="1"/>
  <pageMargins left="0.35" right="0.35" top="0.45" bottom="0.55000000000000004" header="0.5" footer="0.5"/>
  <pageSetup paperSize="9" fitToHeight="0" orientation="landscape"/>
  <headerFooter>
    <oddFooter>&amp;L&amp;8 &amp;K7B8794Cahier d'épandage – &amp;A&amp;R&amp;8 &amp;K7B8794Page &amp;P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AA5B1"/>
    <pageSetUpPr fitToPage="1"/>
  </sheetPr>
  <dimension ref="A1:E59"/>
  <sheetViews>
    <sheetView showGridLines="0" workbookViewId="0"/>
  </sheetViews>
  <sheetFormatPr baseColWidth="10" defaultColWidth="9.140625" defaultRowHeight="15" x14ac:dyDescent="0.25"/>
  <cols>
    <col min="1" max="1" width="2" customWidth="1"/>
    <col min="2" max="2" width="7" customWidth="1"/>
    <col min="3" max="3" width="28" customWidth="1"/>
    <col min="4" max="4" width="100" customWidth="1"/>
    <col min="5" max="5" width="2" customWidth="1"/>
  </cols>
  <sheetData>
    <row r="1" spans="1:5" ht="30" customHeight="1" x14ac:dyDescent="0.35">
      <c r="A1" s="1"/>
      <c r="B1" s="33" t="s">
        <v>456</v>
      </c>
      <c r="C1" s="1"/>
      <c r="D1" s="1"/>
      <c r="E1" s="1"/>
    </row>
    <row r="2" spans="1:5" ht="20.100000000000001" customHeight="1" x14ac:dyDescent="0.25">
      <c r="A2" s="1"/>
      <c r="B2" s="4" t="s">
        <v>457</v>
      </c>
      <c r="C2" s="1"/>
      <c r="D2" s="1"/>
      <c r="E2" s="1"/>
    </row>
    <row r="3" spans="1:5" ht="3" customHeight="1" x14ac:dyDescent="0.25">
      <c r="A3" s="6"/>
      <c r="B3" s="6"/>
      <c r="C3" s="6"/>
      <c r="D3" s="6"/>
      <c r="E3" s="6"/>
    </row>
    <row r="4" spans="1:5" ht="21.95" customHeight="1" x14ac:dyDescent="0.25">
      <c r="B4" s="36" t="s">
        <v>458</v>
      </c>
    </row>
    <row r="5" spans="1:5" ht="8.1" customHeight="1" x14ac:dyDescent="0.25"/>
    <row r="7" spans="1:5" ht="26.1" customHeight="1" x14ac:dyDescent="0.25">
      <c r="B7" s="84" t="s">
        <v>459</v>
      </c>
      <c r="C7" s="85"/>
      <c r="D7" s="85"/>
    </row>
    <row r="8" spans="1:5" ht="48" customHeight="1" x14ac:dyDescent="0.25">
      <c r="B8" s="209" t="s">
        <v>460</v>
      </c>
      <c r="C8" s="130"/>
      <c r="D8" s="130"/>
    </row>
    <row r="10" spans="1:5" ht="26.1" customHeight="1" x14ac:dyDescent="0.25">
      <c r="B10" s="84" t="s">
        <v>461</v>
      </c>
      <c r="C10" s="85"/>
      <c r="D10" s="85"/>
    </row>
    <row r="11" spans="1:5" ht="36" customHeight="1" x14ac:dyDescent="0.25">
      <c r="B11" s="104">
        <v>1</v>
      </c>
      <c r="C11" s="105" t="s">
        <v>462</v>
      </c>
      <c r="D11" s="106" t="s">
        <v>463</v>
      </c>
    </row>
    <row r="12" spans="1:5" ht="36" customHeight="1" x14ac:dyDescent="0.25">
      <c r="B12" s="104">
        <v>2</v>
      </c>
      <c r="C12" s="105" t="s">
        <v>464</v>
      </c>
      <c r="D12" s="106" t="s">
        <v>465</v>
      </c>
    </row>
    <row r="13" spans="1:5" ht="36" customHeight="1" x14ac:dyDescent="0.25">
      <c r="B13" s="104">
        <v>3</v>
      </c>
      <c r="C13" s="105" t="s">
        <v>466</v>
      </c>
      <c r="D13" s="106" t="s">
        <v>467</v>
      </c>
    </row>
    <row r="14" spans="1:5" ht="36" customHeight="1" x14ac:dyDescent="0.25">
      <c r="B14" s="104">
        <v>4</v>
      </c>
      <c r="C14" s="105" t="s">
        <v>468</v>
      </c>
      <c r="D14" s="106" t="s">
        <v>469</v>
      </c>
    </row>
    <row r="15" spans="1:5" ht="36" customHeight="1" x14ac:dyDescent="0.25">
      <c r="B15" s="104">
        <v>5</v>
      </c>
      <c r="C15" s="105" t="s">
        <v>470</v>
      </c>
      <c r="D15" s="106" t="s">
        <v>471</v>
      </c>
    </row>
    <row r="16" spans="1:5" ht="36" customHeight="1" x14ac:dyDescent="0.25">
      <c r="B16" s="104">
        <v>6</v>
      </c>
      <c r="C16" s="105" t="s">
        <v>472</v>
      </c>
      <c r="D16" s="106" t="s">
        <v>473</v>
      </c>
    </row>
    <row r="18" spans="2:4" ht="26.1" customHeight="1" x14ac:dyDescent="0.25">
      <c r="B18" s="84" t="s">
        <v>474</v>
      </c>
      <c r="C18" s="85"/>
      <c r="D18" s="85"/>
    </row>
    <row r="19" spans="2:4" ht="21" customHeight="1" x14ac:dyDescent="0.25">
      <c r="B19" s="221" t="s">
        <v>56</v>
      </c>
      <c r="C19" s="154"/>
      <c r="D19" s="107" t="s">
        <v>475</v>
      </c>
    </row>
    <row r="20" spans="2:4" ht="21" customHeight="1" x14ac:dyDescent="0.25">
      <c r="B20" s="226" t="s">
        <v>476</v>
      </c>
      <c r="C20" s="156"/>
      <c r="D20" s="107" t="s">
        <v>477</v>
      </c>
    </row>
    <row r="21" spans="2:4" ht="21" customHeight="1" x14ac:dyDescent="0.25">
      <c r="B21" s="215" t="s">
        <v>478</v>
      </c>
      <c r="C21" s="216"/>
      <c r="D21" s="107" t="s">
        <v>479</v>
      </c>
    </row>
    <row r="22" spans="2:4" ht="21" customHeight="1" x14ac:dyDescent="0.25">
      <c r="B22" s="211" t="s">
        <v>478</v>
      </c>
      <c r="C22" s="212"/>
      <c r="D22" s="107" t="s">
        <v>480</v>
      </c>
    </row>
    <row r="23" spans="2:4" ht="21" customHeight="1" x14ac:dyDescent="0.25">
      <c r="B23" s="219" t="s">
        <v>481</v>
      </c>
      <c r="C23" s="220"/>
      <c r="D23" s="107" t="s">
        <v>482</v>
      </c>
    </row>
    <row r="24" spans="2:4" ht="21" customHeight="1" x14ac:dyDescent="0.25">
      <c r="B24" s="213" t="s">
        <v>483</v>
      </c>
      <c r="C24" s="214"/>
      <c r="D24" s="107" t="s">
        <v>484</v>
      </c>
    </row>
    <row r="25" spans="2:4" ht="21" customHeight="1" x14ac:dyDescent="0.25">
      <c r="B25" s="207" t="s">
        <v>485</v>
      </c>
      <c r="C25" s="208"/>
      <c r="D25" s="107" t="s">
        <v>486</v>
      </c>
    </row>
    <row r="27" spans="2:4" ht="26.1" customHeight="1" x14ac:dyDescent="0.25">
      <c r="B27" s="84" t="s">
        <v>487</v>
      </c>
      <c r="C27" s="85"/>
      <c r="D27" s="85"/>
    </row>
    <row r="28" spans="2:4" ht="21" customHeight="1" x14ac:dyDescent="0.25">
      <c r="B28" s="213" t="s">
        <v>488</v>
      </c>
      <c r="C28" s="214"/>
      <c r="D28" s="106" t="s">
        <v>489</v>
      </c>
    </row>
    <row r="29" spans="2:4" ht="21" customHeight="1" x14ac:dyDescent="0.25">
      <c r="B29" s="207" t="s">
        <v>490</v>
      </c>
      <c r="C29" s="208"/>
      <c r="D29" s="106" t="s">
        <v>491</v>
      </c>
    </row>
    <row r="30" spans="2:4" ht="21" customHeight="1" x14ac:dyDescent="0.25">
      <c r="B30" s="207" t="s">
        <v>492</v>
      </c>
      <c r="C30" s="208"/>
      <c r="D30" s="106" t="s">
        <v>493</v>
      </c>
    </row>
    <row r="31" spans="2:4" ht="21" customHeight="1" x14ac:dyDescent="0.25">
      <c r="B31" s="213" t="s">
        <v>494</v>
      </c>
      <c r="C31" s="214"/>
      <c r="D31" s="106" t="s">
        <v>495</v>
      </c>
    </row>
    <row r="32" spans="2:4" ht="21" customHeight="1" x14ac:dyDescent="0.25">
      <c r="B32" s="213" t="s">
        <v>496</v>
      </c>
      <c r="C32" s="214"/>
      <c r="D32" s="106" t="s">
        <v>497</v>
      </c>
    </row>
    <row r="33" spans="2:4" ht="21" customHeight="1" x14ac:dyDescent="0.25">
      <c r="B33" s="213" t="s">
        <v>498</v>
      </c>
      <c r="C33" s="214"/>
      <c r="D33" s="106" t="s">
        <v>499</v>
      </c>
    </row>
    <row r="34" spans="2:4" ht="21" customHeight="1" x14ac:dyDescent="0.25">
      <c r="B34" s="219" t="s">
        <v>481</v>
      </c>
      <c r="C34" s="220"/>
      <c r="D34" s="106" t="s">
        <v>500</v>
      </c>
    </row>
    <row r="35" spans="2:4" ht="33.950000000000003" customHeight="1" x14ac:dyDescent="0.25">
      <c r="B35" s="209" t="s">
        <v>501</v>
      </c>
      <c r="C35" s="130"/>
      <c r="D35" s="130"/>
    </row>
    <row r="37" spans="2:4" ht="26.1" customHeight="1" x14ac:dyDescent="0.25">
      <c r="B37" s="84" t="s">
        <v>502</v>
      </c>
      <c r="C37" s="85"/>
      <c r="D37" s="85"/>
    </row>
    <row r="38" spans="2:4" ht="20.100000000000001" customHeight="1" x14ac:dyDescent="0.25">
      <c r="B38" s="108" t="s">
        <v>503</v>
      </c>
      <c r="C38" s="210" t="s">
        <v>504</v>
      </c>
      <c r="D38" s="130"/>
    </row>
    <row r="39" spans="2:4" ht="30" customHeight="1" x14ac:dyDescent="0.25">
      <c r="B39" s="108" t="s">
        <v>503</v>
      </c>
      <c r="C39" s="210" t="s">
        <v>505</v>
      </c>
      <c r="D39" s="130"/>
    </row>
    <row r="40" spans="2:4" ht="20.100000000000001" customHeight="1" x14ac:dyDescent="0.25">
      <c r="B40" s="108" t="s">
        <v>503</v>
      </c>
      <c r="C40" s="210" t="s">
        <v>506</v>
      </c>
      <c r="D40" s="130"/>
    </row>
    <row r="41" spans="2:4" ht="20.100000000000001" customHeight="1" x14ac:dyDescent="0.25">
      <c r="B41" s="108" t="s">
        <v>503</v>
      </c>
      <c r="C41" s="210" t="s">
        <v>507</v>
      </c>
      <c r="D41" s="130"/>
    </row>
    <row r="42" spans="2:4" ht="20.100000000000001" customHeight="1" x14ac:dyDescent="0.25">
      <c r="B42" s="108" t="s">
        <v>503</v>
      </c>
      <c r="C42" s="210" t="s">
        <v>292</v>
      </c>
      <c r="D42" s="130"/>
    </row>
    <row r="43" spans="2:4" ht="20.100000000000001" customHeight="1" x14ac:dyDescent="0.25">
      <c r="B43" s="108" t="s">
        <v>503</v>
      </c>
      <c r="C43" s="210" t="s">
        <v>508</v>
      </c>
      <c r="D43" s="130"/>
    </row>
    <row r="44" spans="2:4" ht="30" customHeight="1" x14ac:dyDescent="0.25">
      <c r="B44" s="108" t="s">
        <v>503</v>
      </c>
      <c r="C44" s="210" t="s">
        <v>509</v>
      </c>
      <c r="D44" s="130"/>
    </row>
    <row r="46" spans="2:4" ht="26.1" customHeight="1" x14ac:dyDescent="0.25">
      <c r="B46" s="84" t="s">
        <v>510</v>
      </c>
      <c r="C46" s="85"/>
      <c r="D46" s="85"/>
    </row>
    <row r="47" spans="2:4" ht="21" customHeight="1" x14ac:dyDescent="0.25">
      <c r="B47" s="205" t="s">
        <v>47</v>
      </c>
      <c r="C47" s="206"/>
      <c r="D47" s="107" t="s">
        <v>511</v>
      </c>
    </row>
    <row r="48" spans="2:4" ht="21" customHeight="1" x14ac:dyDescent="0.25">
      <c r="B48" s="217" t="s">
        <v>48</v>
      </c>
      <c r="C48" s="218"/>
      <c r="D48" s="107" t="s">
        <v>512</v>
      </c>
    </row>
    <row r="49" spans="2:4" ht="21" customHeight="1" x14ac:dyDescent="0.25">
      <c r="B49" s="222" t="s">
        <v>49</v>
      </c>
      <c r="C49" s="223"/>
      <c r="D49" s="107" t="s">
        <v>513</v>
      </c>
    </row>
    <row r="50" spans="2:4" ht="21" customHeight="1" x14ac:dyDescent="0.25">
      <c r="B50" s="227" t="s">
        <v>50</v>
      </c>
      <c r="C50" s="228"/>
      <c r="D50" s="107" t="s">
        <v>514</v>
      </c>
    </row>
    <row r="51" spans="2:4" ht="21" customHeight="1" x14ac:dyDescent="0.25">
      <c r="B51" s="224" t="s">
        <v>51</v>
      </c>
      <c r="C51" s="225"/>
      <c r="D51" s="107" t="s">
        <v>515</v>
      </c>
    </row>
    <row r="52" spans="2:4" ht="20.100000000000001" customHeight="1" x14ac:dyDescent="0.25">
      <c r="B52" s="209" t="s">
        <v>516</v>
      </c>
      <c r="C52" s="130"/>
      <c r="D52" s="130"/>
    </row>
    <row r="54" spans="2:4" ht="26.1" customHeight="1" x14ac:dyDescent="0.25">
      <c r="B54" s="84" t="s">
        <v>517</v>
      </c>
      <c r="C54" s="85"/>
      <c r="D54" s="85"/>
    </row>
    <row r="55" spans="2:4" ht="30" customHeight="1" x14ac:dyDescent="0.25">
      <c r="B55" s="108" t="s">
        <v>503</v>
      </c>
      <c r="C55" s="210" t="s">
        <v>518</v>
      </c>
      <c r="D55" s="130"/>
    </row>
    <row r="56" spans="2:4" ht="30" customHeight="1" x14ac:dyDescent="0.25">
      <c r="B56" s="108" t="s">
        <v>503</v>
      </c>
      <c r="C56" s="210" t="s">
        <v>519</v>
      </c>
      <c r="D56" s="130"/>
    </row>
    <row r="57" spans="2:4" ht="20.100000000000001" customHeight="1" x14ac:dyDescent="0.25">
      <c r="B57" s="108" t="s">
        <v>503</v>
      </c>
      <c r="C57" s="210" t="s">
        <v>520</v>
      </c>
      <c r="D57" s="130"/>
    </row>
    <row r="58" spans="2:4" ht="20.100000000000001" customHeight="1" x14ac:dyDescent="0.25">
      <c r="B58" s="108" t="s">
        <v>503</v>
      </c>
      <c r="C58" s="210" t="s">
        <v>521</v>
      </c>
      <c r="D58" s="130"/>
    </row>
    <row r="59" spans="2:4" ht="20.100000000000001" customHeight="1" x14ac:dyDescent="0.25">
      <c r="B59" s="108" t="s">
        <v>503</v>
      </c>
      <c r="C59" s="210" t="s">
        <v>522</v>
      </c>
      <c r="D59" s="130"/>
    </row>
  </sheetData>
  <mergeCells count="34">
    <mergeCell ref="B50:C50"/>
    <mergeCell ref="B52:D52"/>
    <mergeCell ref="C59:D59"/>
    <mergeCell ref="C43:D43"/>
    <mergeCell ref="B29:C29"/>
    <mergeCell ref="B19:C19"/>
    <mergeCell ref="B34:C34"/>
    <mergeCell ref="B35:D35"/>
    <mergeCell ref="B28:C28"/>
    <mergeCell ref="B49:C49"/>
    <mergeCell ref="C39:D39"/>
    <mergeCell ref="B24:C24"/>
    <mergeCell ref="B30:C30"/>
    <mergeCell ref="C38:D38"/>
    <mergeCell ref="B33:C33"/>
    <mergeCell ref="B51:C51"/>
    <mergeCell ref="B20:C20"/>
    <mergeCell ref="C57:D57"/>
    <mergeCell ref="B47:C47"/>
    <mergeCell ref="B25:C25"/>
    <mergeCell ref="B8:D8"/>
    <mergeCell ref="C42:D42"/>
    <mergeCell ref="C58:D58"/>
    <mergeCell ref="B22:C22"/>
    <mergeCell ref="B31:C31"/>
    <mergeCell ref="B21:C21"/>
    <mergeCell ref="B48:C48"/>
    <mergeCell ref="C41:D41"/>
    <mergeCell ref="B23:C23"/>
    <mergeCell ref="C55:D55"/>
    <mergeCell ref="C44:D44"/>
    <mergeCell ref="C40:D40"/>
    <mergeCell ref="C56:D56"/>
    <mergeCell ref="B32:C32"/>
  </mergeCells>
  <hyperlinks>
    <hyperlink ref="C11" location="'Configuration'!A1" display="Configuration" xr:uid="{00000000-0004-0000-0700-000000000000}"/>
    <hyperlink ref="C12" location="'Fertilisants'!A1" display="Fertilisants" xr:uid="{00000000-0004-0000-0700-000001000000}"/>
    <hyperlink ref="C13" location="'Îlots'!A1" display="Îlots" xr:uid="{00000000-0004-0000-0700-000002000000}"/>
    <hyperlink ref="C14" location="'Registre'!A1" display="Registre" xr:uid="{00000000-0004-0000-0700-000003000000}"/>
    <hyperlink ref="C15" location="'Échanges &amp; stockage'!A1" display="Échanges &amp; stockage" xr:uid="{00000000-0004-0000-0700-000004000000}"/>
    <hyperlink ref="C16" location="'Tableau de bord'!A1" display="Tableau de bord" xr:uid="{00000000-0004-0000-0700-000005000000}"/>
  </hyperlinks>
  <printOptions horizontalCentered="1"/>
  <pageMargins left="0.35" right="0.35" top="0.45" bottom="0.55000000000000004" header="0.5" footer="0.5"/>
  <pageSetup paperSize="9" fitToHeight="0" orientation="portrait"/>
  <headerFooter>
    <oddFooter>&amp;L&amp;8 &amp;K7B8794Cahier d'épandage – &amp;A&amp;R&amp;8 &amp;K7B8794Page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Arbeitsblätter</vt:lpstr>
      </vt:variant>
      <vt:variant>
        <vt:i4>8</vt:i4>
      </vt:variant>
      <vt:variant>
        <vt:lpstr>Benannte Bereiche</vt:lpstr>
      </vt:variant>
      <vt:variant>
        <vt:i4>31</vt:i4>
      </vt:variant>
    </vt:vector>
  </HeadingPairs>
  <TitlesOfParts>
    <vt:vector size="39" baseType="lpstr">
      <vt:lpstr>Tableau de bord</vt:lpstr>
      <vt:lpstr>Registre</vt:lpstr>
      <vt:lpstr>Îlots</vt:lpstr>
      <vt:lpstr>Fertilisants</vt:lpstr>
      <vt:lpstr>Échanges &amp; stockage</vt:lpstr>
      <vt:lpstr>Fiche îlot</vt:lpstr>
      <vt:lpstr>Configuration</vt:lpstr>
      <vt:lpstr>Mode d'emploi</vt:lpstr>
      <vt:lpstr>AnneeRecolte</vt:lpstr>
      <vt:lpstr>ApportCouvert</vt:lpstr>
      <vt:lpstr>CalComplement</vt:lpstr>
      <vt:lpstr>CalOccupations</vt:lpstr>
      <vt:lpstr>CalPrincipal</vt:lpstr>
      <vt:lpstr>CalTypes</vt:lpstr>
      <vt:lpstr>CulturesCat</vt:lpstr>
      <vt:lpstr>CulturesNoms</vt:lpstr>
      <vt:lpstr>CulturesUnite</vt:lpstr>
      <vt:lpstr>DebutCampagne</vt:lpstr>
      <vt:lpstr>DelaiSaisie</vt:lpstr>
      <vt:lpstr>Configuration!Druckbereich</vt:lpstr>
      <vt:lpstr>'Échanges &amp; stockage'!Druckbereich</vt:lpstr>
      <vt:lpstr>Fertilisants!Druckbereich</vt:lpstr>
      <vt:lpstr>'Fiche îlot'!Druckbereich</vt:lpstr>
      <vt:lpstr>Îlots!Druckbereich</vt:lpstr>
      <vt:lpstr>'Mode d''emploi'!Druckbereich</vt:lpstr>
      <vt:lpstr>Registre!Druckbereich</vt:lpstr>
      <vt:lpstr>'Tableau de bord'!Druckbereich</vt:lpstr>
      <vt:lpstr>Fertilisants!Drucktitel</vt:lpstr>
      <vt:lpstr>Îlots!Drucktitel</vt:lpstr>
      <vt:lpstr>Registre!Drucktitel</vt:lpstr>
      <vt:lpstr>FicheIlot</vt:lpstr>
      <vt:lpstr>FinCampagne</vt:lpstr>
      <vt:lpstr>ListeOccupations</vt:lpstr>
      <vt:lpstr>OccCouvert</vt:lpstr>
      <vt:lpstr>PlafondN</vt:lpstr>
      <vt:lpstr>RaisonSociale</vt:lpstr>
      <vt:lpstr>SAU</vt:lpstr>
      <vt:lpstr>TolerancePPF</vt:lpstr>
      <vt:lpstr>ZoneVulnerable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Cahier d'épandage</dc:title>
  <dc:subject>Enregistrement des pratiques de fertilisation azotée</dc:subject>
  <dc:creator>Cahier d'épandage</dc:creator>
  <cp:lastModifiedBy>Sergio Jiménez Canales</cp:lastModifiedBy>
  <dcterms:created xsi:type="dcterms:W3CDTF">2026-09-23T10:45:21Z</dcterms:created>
  <dcterms:modified xsi:type="dcterms:W3CDTF">2026-09-27T15:07:17Z</dcterms:modified>
</cp:coreProperties>
</file>