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1DC53863-06BE-445F-925E-D35E04BBF613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Journal de caisse" sheetId="3" r:id="rId1"/>
    <sheet name="Mode d'emploi" sheetId="1" r:id="rId2"/>
    <sheet name="Paramètres" sheetId="2" r:id="rId3"/>
    <sheet name="Clôture journalière" sheetId="4" r:id="rId4"/>
    <sheet name="Tableau de bord" sheetId="5" r:id="rId5"/>
  </sheets>
  <definedNames>
    <definedName name="_xlnm.Print_Area" localSheetId="3">'Clôture journalière'!$A$1:$N$27</definedName>
    <definedName name="_xlnm.Print_Area" localSheetId="0">'Journal de caisse'!$A$1:$H$61</definedName>
    <definedName name="_xlnm.Print_Area" localSheetId="1">'Mode d''emploi'!$A$1:$E$25</definedName>
    <definedName name="_xlnm.Print_Area" localSheetId="2">Paramètres!$A$1:$J$28</definedName>
    <definedName name="_xlnm.Print_Area" localSheetId="4">'Tableau de bord'!$A$1:$L$46</definedName>
    <definedName name="_xlnm.Print_Titles" localSheetId="0">'Journal de caisse'!$1:$5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3" i="5" l="1"/>
  <c r="C33" i="5"/>
  <c r="B33" i="5"/>
  <c r="D32" i="5"/>
  <c r="C32" i="5"/>
  <c r="B32" i="5"/>
  <c r="D31" i="5"/>
  <c r="C31" i="5"/>
  <c r="B31" i="5"/>
  <c r="D30" i="5"/>
  <c r="C30" i="5"/>
  <c r="B30" i="5"/>
  <c r="D29" i="5"/>
  <c r="C29" i="5"/>
  <c r="B29" i="5"/>
  <c r="B28" i="5"/>
  <c r="B27" i="5"/>
  <c r="B26" i="5"/>
  <c r="C20" i="5"/>
  <c r="D20" i="5" s="1"/>
  <c r="C19" i="5"/>
  <c r="D19" i="5" s="1"/>
  <c r="C18" i="5"/>
  <c r="C17" i="5"/>
  <c r="C16" i="5"/>
  <c r="C21" i="5" s="1"/>
  <c r="D21" i="5" s="1"/>
  <c r="F10" i="5"/>
  <c r="H6" i="5"/>
  <c r="F6" i="5"/>
  <c r="D6" i="5"/>
  <c r="B6" i="5"/>
  <c r="N27" i="4"/>
  <c r="L26" i="4"/>
  <c r="M26" i="4" s="1"/>
  <c r="J26" i="4"/>
  <c r="I26" i="4"/>
  <c r="H26" i="4"/>
  <c r="G26" i="4"/>
  <c r="F26" i="4"/>
  <c r="E26" i="4"/>
  <c r="D26" i="4"/>
  <c r="L25" i="4"/>
  <c r="M25" i="4" s="1"/>
  <c r="J25" i="4"/>
  <c r="I25" i="4"/>
  <c r="H25" i="4"/>
  <c r="G25" i="4"/>
  <c r="F25" i="4"/>
  <c r="E25" i="4"/>
  <c r="D25" i="4"/>
  <c r="L24" i="4"/>
  <c r="M24" i="4" s="1"/>
  <c r="J24" i="4"/>
  <c r="I24" i="4"/>
  <c r="H24" i="4"/>
  <c r="G24" i="4"/>
  <c r="F24" i="4"/>
  <c r="E24" i="4"/>
  <c r="D24" i="4"/>
  <c r="L23" i="4"/>
  <c r="M23" i="4" s="1"/>
  <c r="J23" i="4"/>
  <c r="I23" i="4"/>
  <c r="H23" i="4"/>
  <c r="G23" i="4"/>
  <c r="F23" i="4"/>
  <c r="E23" i="4"/>
  <c r="D23" i="4"/>
  <c r="M22" i="4"/>
  <c r="L22" i="4"/>
  <c r="J22" i="4"/>
  <c r="I22" i="4"/>
  <c r="H22" i="4"/>
  <c r="G22" i="4"/>
  <c r="F22" i="4"/>
  <c r="E22" i="4"/>
  <c r="D22" i="4"/>
  <c r="R21" i="4"/>
  <c r="P21" i="4"/>
  <c r="M21" i="4"/>
  <c r="L21" i="4"/>
  <c r="J21" i="4"/>
  <c r="I21" i="4"/>
  <c r="H21" i="4"/>
  <c r="G21" i="4"/>
  <c r="F21" i="4"/>
  <c r="E21" i="4"/>
  <c r="D21" i="4"/>
  <c r="R20" i="4"/>
  <c r="P20" i="4"/>
  <c r="M20" i="4"/>
  <c r="L20" i="4"/>
  <c r="J20" i="4"/>
  <c r="I20" i="4"/>
  <c r="H20" i="4"/>
  <c r="G20" i="4"/>
  <c r="F20" i="4"/>
  <c r="E20" i="4"/>
  <c r="D20" i="4"/>
  <c r="R19" i="4"/>
  <c r="P19" i="4"/>
  <c r="L19" i="4"/>
  <c r="M19" i="4" s="1"/>
  <c r="J19" i="4"/>
  <c r="I19" i="4"/>
  <c r="H19" i="4"/>
  <c r="G19" i="4"/>
  <c r="F19" i="4"/>
  <c r="E19" i="4"/>
  <c r="D19" i="4"/>
  <c r="R18" i="4"/>
  <c r="P18" i="4"/>
  <c r="L18" i="4"/>
  <c r="M18" i="4" s="1"/>
  <c r="J18" i="4"/>
  <c r="I18" i="4"/>
  <c r="H18" i="4"/>
  <c r="G18" i="4"/>
  <c r="F18" i="4"/>
  <c r="E18" i="4"/>
  <c r="D18" i="4"/>
  <c r="P17" i="4"/>
  <c r="R17" i="4" s="1"/>
  <c r="L17" i="4"/>
  <c r="M17" i="4" s="1"/>
  <c r="J17" i="4"/>
  <c r="I17" i="4"/>
  <c r="H17" i="4"/>
  <c r="G17" i="4"/>
  <c r="F17" i="4"/>
  <c r="E17" i="4"/>
  <c r="D17" i="4"/>
  <c r="P16" i="4"/>
  <c r="R16" i="4" s="1"/>
  <c r="M16" i="4"/>
  <c r="L16" i="4"/>
  <c r="J16" i="4"/>
  <c r="I16" i="4"/>
  <c r="H16" i="4"/>
  <c r="G16" i="4"/>
  <c r="F16" i="4"/>
  <c r="E16" i="4"/>
  <c r="D16" i="4"/>
  <c r="P15" i="4"/>
  <c r="R15" i="4" s="1"/>
  <c r="L15" i="4"/>
  <c r="M15" i="4" s="1"/>
  <c r="J15" i="4"/>
  <c r="I15" i="4"/>
  <c r="H15" i="4"/>
  <c r="G15" i="4"/>
  <c r="F15" i="4"/>
  <c r="E15" i="4"/>
  <c r="D15" i="4"/>
  <c r="R14" i="4"/>
  <c r="P14" i="4"/>
  <c r="L14" i="4"/>
  <c r="M14" i="4" s="1"/>
  <c r="J14" i="4"/>
  <c r="I14" i="4"/>
  <c r="H14" i="4"/>
  <c r="G14" i="4"/>
  <c r="F14" i="4"/>
  <c r="E14" i="4"/>
  <c r="D14" i="4"/>
  <c r="P13" i="4"/>
  <c r="R13" i="4" s="1"/>
  <c r="L13" i="4"/>
  <c r="M13" i="4" s="1"/>
  <c r="J13" i="4"/>
  <c r="I13" i="4"/>
  <c r="H13" i="4"/>
  <c r="G13" i="4"/>
  <c r="F13" i="4"/>
  <c r="E13" i="4"/>
  <c r="D13" i="4"/>
  <c r="P12" i="4"/>
  <c r="R12" i="4" s="1"/>
  <c r="L12" i="4"/>
  <c r="M12" i="4" s="1"/>
  <c r="J12" i="4"/>
  <c r="I12" i="4"/>
  <c r="H12" i="4"/>
  <c r="G12" i="4"/>
  <c r="F12" i="4"/>
  <c r="E12" i="4"/>
  <c r="D12" i="4"/>
  <c r="P11" i="4"/>
  <c r="R11" i="4" s="1"/>
  <c r="L11" i="4"/>
  <c r="M11" i="4" s="1"/>
  <c r="J11" i="4"/>
  <c r="I11" i="4"/>
  <c r="H11" i="4"/>
  <c r="G11" i="4"/>
  <c r="F11" i="4"/>
  <c r="E11" i="4"/>
  <c r="D11" i="4"/>
  <c r="P10" i="4"/>
  <c r="R10" i="4" s="1"/>
  <c r="L10" i="4"/>
  <c r="M10" i="4" s="1"/>
  <c r="J10" i="4"/>
  <c r="I10" i="4"/>
  <c r="H10" i="4"/>
  <c r="G10" i="4"/>
  <c r="F10" i="4"/>
  <c r="E10" i="4"/>
  <c r="D10" i="4"/>
  <c r="P9" i="4"/>
  <c r="R9" i="4" s="1"/>
  <c r="I9" i="4"/>
  <c r="H9" i="4"/>
  <c r="C28" i="5" s="1"/>
  <c r="G9" i="4"/>
  <c r="F9" i="4"/>
  <c r="E9" i="4"/>
  <c r="D9" i="4"/>
  <c r="J9" i="4" s="1"/>
  <c r="L9" i="4" s="1"/>
  <c r="M9" i="4" s="1"/>
  <c r="D28" i="5" s="1"/>
  <c r="P8" i="4"/>
  <c r="R8" i="4" s="1"/>
  <c r="I8" i="4"/>
  <c r="H8" i="4"/>
  <c r="C27" i="5" s="1"/>
  <c r="G8" i="4"/>
  <c r="F8" i="4"/>
  <c r="E8" i="4"/>
  <c r="D8" i="4"/>
  <c r="J8" i="4" s="1"/>
  <c r="L8" i="4" s="1"/>
  <c r="M8" i="4" s="1"/>
  <c r="D27" i="5" s="1"/>
  <c r="P7" i="4"/>
  <c r="R7" i="4" s="1"/>
  <c r="I7" i="4"/>
  <c r="I27" i="4" s="1"/>
  <c r="H7" i="4"/>
  <c r="C26" i="5" s="1"/>
  <c r="G7" i="4"/>
  <c r="G27" i="4" s="1"/>
  <c r="F7" i="4"/>
  <c r="F27" i="4" s="1"/>
  <c r="E7" i="4"/>
  <c r="E27" i="4" s="1"/>
  <c r="D7" i="4"/>
  <c r="D27" i="4" s="1"/>
  <c r="G61" i="3"/>
  <c r="F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61" i="3" s="1"/>
  <c r="D17" i="5" l="1"/>
  <c r="R22" i="4"/>
  <c r="D18" i="5"/>
  <c r="H10" i="5"/>
  <c r="J7" i="4"/>
  <c r="L7" i="4" s="1"/>
  <c r="D16" i="5"/>
  <c r="H27" i="4"/>
  <c r="L27" i="4" l="1"/>
  <c r="M7" i="4"/>
  <c r="B10" i="5"/>
  <c r="D26" i="5" l="1"/>
  <c r="D10" i="5"/>
</calcChain>
</file>

<file path=xl/sharedStrings.xml><?xml version="1.0" encoding="utf-8"?>
<sst xmlns="http://schemas.openxmlformats.org/spreadsheetml/2006/main" count="217" uniqueCount="148">
  <si>
    <t>CAISSE JOURNALIÈRE</t>
  </si>
  <si>
    <t>Suivi quotidien des encaissements, décaissements et clôtures de caisse — Édition 2027</t>
  </si>
  <si>
    <t>À quoi sert ce classeur ?</t>
  </si>
  <si>
    <t>Ce modèle permet de tenir la caisse au jour le jour : enregistrer chaque encaissement et décaissement, contrôler le fond de caisse, compter physiquement les espèces en fin de journée et justifier l'écart éventuel. Il convient aux commerces, restaurants, associations et TPE/PME. Excel calcule automatiquement les totaux, le solde théorique, l'écart et la synthèse.</t>
  </si>
  <si>
    <t>Ordre d'utilisation recommandé</t>
  </si>
  <si>
    <t>1. Paramètres</t>
  </si>
  <si>
    <t>Vérifiez le fond de caisse par défaut, le seuil de tolérance d'écart et les listes (modes de règlement, catégories, caissiers).</t>
  </si>
  <si>
    <t>2. Journal de caisse</t>
  </si>
  <si>
    <t>Saisissez chaque opération : date, libellé, catégorie, mode de règlement et montant en encaissement ou en décaissement.</t>
  </si>
  <si>
    <t>3. Clôture journalière</t>
  </si>
  <si>
    <t>Pour chaque journée, comptez les espèces avec le bloc « Aide au comptage » et reportez le total dans « Espèces comptées » : l'écart et le statut s'affichent seuls.</t>
  </si>
  <si>
    <t>4. Tableau de bord</t>
  </si>
  <si>
    <t>Consultez la synthèse : recettes, ventilation par mode de règlement, écarts cumulés et graphiques.</t>
  </si>
  <si>
    <t>Comprendre l'écart de caisse</t>
  </si>
  <si>
    <t>Solde théorique</t>
  </si>
  <si>
    <t>Fond de caisse initial + recettes en espèces − décaissements en espèces. C'est ce que la caisse devrait contenir.</t>
  </si>
  <si>
    <t>Espèces comptées</t>
  </si>
  <si>
    <t>Montant réellement présent dans le tiroir après comptage des billets et des pièces.</t>
  </si>
  <si>
    <t>Écart = comptées − théorique</t>
  </si>
  <si>
    <t>Positif = excédent, négatif = manquant. Dans la tolérance il est acceptable ; au-delà il doit être justifié.</t>
  </si>
  <si>
    <t>Repères de couleur</t>
  </si>
  <si>
    <t>Conforme</t>
  </si>
  <si>
    <t>Écart nul : la caisse est juste.</t>
  </si>
  <si>
    <t>Écart toléré</t>
  </si>
  <si>
    <t>Écart faible, dans la limite de tolérance.</t>
  </si>
  <si>
    <t>À justifier</t>
  </si>
  <si>
    <t>Écart supérieur à la tolérance : à contrôler et justifier.</t>
  </si>
  <si>
    <t>Astuce : seules les cellules blanches sont à remplir. Les colonnes grisées sont calculées automatiquement.</t>
  </si>
  <si>
    <t>PARAMÈTRES</t>
  </si>
  <si>
    <t>Réglages, listes de référence et dénominations — à adapter à votre activité</t>
  </si>
  <si>
    <t>PARAMÈTRES GÉNÉRAUX</t>
  </si>
  <si>
    <t>Fond de caisse par défaut (€)</t>
  </si>
  <si>
    <t>Seuil de tolérance d'écart (€)</t>
  </si>
  <si>
    <t>Seuil d'alerte de remise en banque (€)</t>
  </si>
  <si>
    <t>MODES DE RÈGLEMENT</t>
  </si>
  <si>
    <t>CATÉGORIES D'OPÉRATION</t>
  </si>
  <si>
    <t>CAISSIERS / RESPONSABLES</t>
  </si>
  <si>
    <t>DÉNOMINATIONS EN EUROS</t>
  </si>
  <si>
    <t>Mode de règlement</t>
  </si>
  <si>
    <t>Catégorie (recettes puis dépenses)</t>
  </si>
  <si>
    <t>Caissier</t>
  </si>
  <si>
    <t>Valeur</t>
  </si>
  <si>
    <t>Type</t>
  </si>
  <si>
    <t>Espèces</t>
  </si>
  <si>
    <t>Ventes de marchandises</t>
  </si>
  <si>
    <t>Camille Fontaine</t>
  </si>
  <si>
    <t>Billet</t>
  </si>
  <si>
    <t>Carte bancaire</t>
  </si>
  <si>
    <t>Prestations de services</t>
  </si>
  <si>
    <t>Julien Mercier</t>
  </si>
  <si>
    <t>Chèque</t>
  </si>
  <si>
    <t>Ventes au comptoir</t>
  </si>
  <si>
    <t>Sophie Da Costa</t>
  </si>
  <si>
    <t>Ticket restaurant</t>
  </si>
  <si>
    <t>Acomptes clients</t>
  </si>
  <si>
    <t>Karim Benali</t>
  </si>
  <si>
    <t>Virement</t>
  </si>
  <si>
    <t>Pourboires</t>
  </si>
  <si>
    <t>Autres recettes</t>
  </si>
  <si>
    <t>Achats fournitures</t>
  </si>
  <si>
    <t>Petites dépenses</t>
  </si>
  <si>
    <t>Pièce</t>
  </si>
  <si>
    <t>Frais de port</t>
  </si>
  <si>
    <t>Remboursement client</t>
  </si>
  <si>
    <t>Note de frais</t>
  </si>
  <si>
    <t>Autres dépenses</t>
  </si>
  <si>
    <t>Ces listes alimentent les menus déroulants du journal et le bloc de comptage. Ajoutez ou modifiez les valeurs selon votre activité.</t>
  </si>
  <si>
    <t>JOURNAL DE CAISSE</t>
  </si>
  <si>
    <t>Enregistrement chronologique des opérations — un mouvement par ligne</t>
  </si>
  <si>
    <t>Date</t>
  </si>
  <si>
    <t>N° pièce</t>
  </si>
  <si>
    <t>Libellé</t>
  </si>
  <si>
    <t>Catégorie</t>
  </si>
  <si>
    <t>Encaissement (€)</t>
  </si>
  <si>
    <t>Décaissement (€)</t>
  </si>
  <si>
    <t>Montant net (€)</t>
  </si>
  <si>
    <t>PJ-2027-001</t>
  </si>
  <si>
    <t>Ventes au comptoir (matin)</t>
  </si>
  <si>
    <t>PJ-2027-002</t>
  </si>
  <si>
    <t>Vente article réglée en CB</t>
  </si>
  <si>
    <t>PJ-2027-003</t>
  </si>
  <si>
    <t>Prestation atelier</t>
  </si>
  <si>
    <t>PJ-2027-004</t>
  </si>
  <si>
    <t>Déjeuner client</t>
  </si>
  <si>
    <t>PJ-2027-005</t>
  </si>
  <si>
    <t>Achat fournitures de bureau</t>
  </si>
  <si>
    <t>PJ-2027-006</t>
  </si>
  <si>
    <t>Ventes au comptoir (après-midi)</t>
  </si>
  <si>
    <t>PJ-2027-007</t>
  </si>
  <si>
    <t>PJ-2027-008</t>
  </si>
  <si>
    <t>Vente en ligne (retrait boutique)</t>
  </si>
  <si>
    <t>PJ-2027-009</t>
  </si>
  <si>
    <t>Acompte sur commande</t>
  </si>
  <si>
    <t>PJ-2027-010</t>
  </si>
  <si>
    <t>Pourboires de l'équipe</t>
  </si>
  <si>
    <t>PJ-2027-011</t>
  </si>
  <si>
    <t>PJ-2027-012</t>
  </si>
  <si>
    <t>Frais de port colis</t>
  </si>
  <si>
    <t>PJ-2027-013</t>
  </si>
  <si>
    <t>Repas du midi</t>
  </si>
  <si>
    <t>PJ-2027-014</t>
  </si>
  <si>
    <t>PJ-2027-015</t>
  </si>
  <si>
    <t>Vente réglée en CB</t>
  </si>
  <si>
    <t>PJ-2027-016</t>
  </si>
  <si>
    <t>Prestation de service</t>
  </si>
  <si>
    <t>PJ-2027-017</t>
  </si>
  <si>
    <t>Petite dépense (café, eau)</t>
  </si>
  <si>
    <t>PJ-2027-018</t>
  </si>
  <si>
    <t>PJ-2027-019</t>
  </si>
  <si>
    <t>Note de frais livraison</t>
  </si>
  <si>
    <t>TOTAUX</t>
  </si>
  <si>
    <t>CLÔTURE JOURNALIÈRE</t>
  </si>
  <si>
    <t>Contrôle de caisse par journée : solde théorique, comptage des espèces et écart</t>
  </si>
  <si>
    <t>AIDE AU COMPTAGE DES ESPÈCES</t>
  </si>
  <si>
    <t>Fond de caisse
initial (€)</t>
  </si>
  <si>
    <t>Recettes
espèces (€)</t>
  </si>
  <si>
    <t>Recettes
CB (€)</t>
  </si>
  <si>
    <t>Recettes
chèques (€)</t>
  </si>
  <si>
    <t>Recettes
TR (€)</t>
  </si>
  <si>
    <t>Total
encaissements (€)</t>
  </si>
  <si>
    <t>Décaissements
espèces (€)</t>
  </si>
  <si>
    <t>Solde théorique
espèces (€)</t>
  </si>
  <si>
    <t>Espèces
comptées (€)</t>
  </si>
  <si>
    <t>Écart (€)</t>
  </si>
  <si>
    <t>Statut</t>
  </si>
  <si>
    <t>Remise en
banque (€)</t>
  </si>
  <si>
    <t>Coupure</t>
  </si>
  <si>
    <t>Quantité</t>
  </si>
  <si>
    <t>Total (€)</t>
  </si>
  <si>
    <t>Total compté (€)</t>
  </si>
  <si>
    <t>Reportez ce total dans « Espèces comptées » de la journée concernée.</t>
  </si>
  <si>
    <t>TOTAL PÉRIODE</t>
  </si>
  <si>
    <t>TABLEAU DE BORD — CAISSE</t>
  </si>
  <si>
    <t>Synthèse de la période — Édition 2027</t>
  </si>
  <si>
    <t>Journées clôturées</t>
  </si>
  <si>
    <t>Total des recettes (€)</t>
  </si>
  <si>
    <t>Total des décaissements (€)</t>
  </si>
  <si>
    <t>Recette nette (€)</t>
  </si>
  <si>
    <t>Écart cumulé (€)</t>
  </si>
  <si>
    <t>Journées à justifier</t>
  </si>
  <si>
    <t>Total remis en banque (€)</t>
  </si>
  <si>
    <t>Recette moy. / jour (€)</t>
  </si>
  <si>
    <t>VENTILATION DES ENCAISSEMENTS PAR MODE</t>
  </si>
  <si>
    <t>Montant (€)</t>
  </si>
  <si>
    <t>Part</t>
  </si>
  <si>
    <t>TOTAL</t>
  </si>
  <si>
    <t>RECETTES PAR JOURNÉE</t>
  </si>
  <si>
    <t>Total encaissements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</si>
</sst>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dd\/mm\/yyyy"/>
    <numFmt numFmtId="166" formatCode="0.0\ %"/>
  </numFmts>
  <fonts count="25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sz val="10"/>
      <color rgb="FFFFFFFF"/>
      <name val="Calibri"/>
      <charset val="1"/>
    </font>
    <font>
      <b/>
      <sz val="11"/>
      <color rgb="FFFFFFFF"/>
      <name val="Calibri"/>
      <charset val="1"/>
    </font>
    <font>
      <sz val="10"/>
      <color rgb="FF1B2A38"/>
      <name val="Calibri"/>
      <charset val="1"/>
    </font>
    <font>
      <b/>
      <sz val="10"/>
      <color rgb="FF17324D"/>
      <name val="Calibri"/>
      <charset val="1"/>
    </font>
    <font>
      <b/>
      <sz val="10"/>
      <color rgb="FF13704B"/>
      <name val="Calibri"/>
      <charset val="1"/>
    </font>
    <font>
      <b/>
      <sz val="10"/>
      <color rgb="FF8A6300"/>
      <name val="Calibri"/>
      <charset val="1"/>
    </font>
    <font>
      <b/>
      <sz val="10"/>
      <color rgb="FFA32B1C"/>
      <name val="Calibri"/>
      <charset val="1"/>
    </font>
    <font>
      <i/>
      <sz val="9"/>
      <color rgb="FF5C6B78"/>
      <name val="Calibri"/>
      <charset val="1"/>
    </font>
    <font>
      <b/>
      <sz val="10"/>
      <color rgb="FFFFFFFF"/>
      <name val="Calibri"/>
      <charset val="1"/>
    </font>
    <font>
      <b/>
      <sz val="11"/>
      <color rgb="FF24567D"/>
      <name val="Calibri"/>
      <charset val="1"/>
    </font>
    <font>
      <sz val="10"/>
      <color rgb="FF5C6B78"/>
      <name val="Calibri"/>
      <charset val="1"/>
    </font>
    <font>
      <b/>
      <sz val="10"/>
      <color rgb="FF1B2A38"/>
      <name val="Calibri"/>
      <charset val="1"/>
    </font>
    <font>
      <b/>
      <sz val="9"/>
      <color rgb="FFFFFFFF"/>
      <name val="Calibri"/>
      <charset val="1"/>
    </font>
    <font>
      <sz val="9"/>
      <color rgb="FF1B2A38"/>
      <name val="Calibri"/>
      <charset val="1"/>
    </font>
    <font>
      <b/>
      <sz val="9"/>
      <color rgb="FF24567D"/>
      <name val="Calibri"/>
      <charset val="1"/>
    </font>
    <font>
      <b/>
      <sz val="9"/>
      <color rgb="FF1B2A38"/>
      <name val="Calibri"/>
      <charset val="1"/>
    </font>
    <font>
      <i/>
      <sz val="8"/>
      <color rgb="FF5C6B78"/>
      <name val="Calibri"/>
      <charset val="1"/>
    </font>
    <font>
      <b/>
      <sz val="15"/>
      <color rgb="FF17324D"/>
      <name val="Calibri"/>
      <charset val="1"/>
    </font>
    <font>
      <b/>
      <sz val="15"/>
      <color rgb="FF1E9E74"/>
      <name val="Calibri"/>
      <charset val="1"/>
    </font>
    <font>
      <b/>
      <sz val="15"/>
      <color rgb="FF24567D"/>
      <name val="Calibri"/>
      <charset val="1"/>
    </font>
    <font>
      <b/>
      <sz val="15"/>
      <color rgb="FF3E7CA6"/>
      <name val="Calibri"/>
      <charset val="1"/>
    </font>
    <font>
      <b/>
      <sz val="15"/>
      <color rgb="FFA32B1C"/>
      <name val="Calibri"/>
      <charset val="1"/>
    </font>
    <font>
      <sz val="9"/>
      <color rgb="FF5C6B78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17324D"/>
        <bgColor rgb="FF1B2A38"/>
      </patternFill>
    </fill>
    <fill>
      <patternFill patternType="solid">
        <fgColor rgb="FF24567D"/>
        <bgColor rgb="FF13704B"/>
      </patternFill>
    </fill>
    <fill>
      <patternFill patternType="solid">
        <fgColor rgb="FF3E7CA6"/>
        <bgColor rgb="FF4F81BD"/>
      </patternFill>
    </fill>
    <fill>
      <patternFill patternType="solid">
        <fgColor rgb="FFD7F0E4"/>
        <bgColor rgb="FFE3F3EC"/>
      </patternFill>
    </fill>
    <fill>
      <patternFill patternType="solid">
        <fgColor rgb="FFFCEBB6"/>
        <bgColor rgb="FFF7D4CE"/>
      </patternFill>
    </fill>
    <fill>
      <patternFill patternType="solid">
        <fgColor rgb="FFF7D4CE"/>
        <bgColor rgb="FFD9D9D9"/>
      </patternFill>
    </fill>
    <fill>
      <patternFill patternType="solid">
        <fgColor rgb="FFEAF1F6"/>
        <bgColor rgb="FFE4EDF3"/>
      </patternFill>
    </fill>
    <fill>
      <patternFill patternType="solid">
        <fgColor rgb="FFFFFFFF"/>
        <bgColor rgb="FFF4F8FB"/>
      </patternFill>
    </fill>
    <fill>
      <patternFill patternType="solid">
        <fgColor rgb="FFF4F8FB"/>
        <bgColor rgb="FFEAF1F6"/>
      </patternFill>
    </fill>
    <fill>
      <patternFill patternType="solid">
        <fgColor rgb="FF1E9E74"/>
        <bgColor rgb="FF3E7CA6"/>
      </patternFill>
    </fill>
    <fill>
      <patternFill patternType="solid">
        <fgColor rgb="FFE4EDF3"/>
        <bgColor rgb="FFEAF1F6"/>
      </patternFill>
    </fill>
    <fill>
      <patternFill patternType="solid">
        <fgColor rgb="FFA32B1C"/>
        <bgColor rgb="FF993366"/>
      </patternFill>
    </fill>
  </fills>
  <borders count="3">
    <border>
      <left/>
      <right/>
      <top/>
      <bottom/>
      <diagonal/>
    </border>
    <border>
      <left style="thin">
        <color rgb="FFC4D3DF"/>
      </left>
      <right style="thin">
        <color rgb="FFC4D3DF"/>
      </right>
      <top style="thin">
        <color rgb="FFC4D3DF"/>
      </top>
      <bottom style="thin">
        <color rgb="FFC4D3DF"/>
      </bottom>
      <diagonal/>
    </border>
    <border>
      <left style="medium">
        <color rgb="FF17324D"/>
      </left>
      <right style="medium">
        <color rgb="FF17324D"/>
      </right>
      <top style="medium">
        <color rgb="FF17324D"/>
      </top>
      <bottom style="medium">
        <color rgb="FF17324D"/>
      </bottom>
      <diagonal/>
    </border>
  </borders>
  <cellStyleXfs count="1">
    <xf numFmtId="0" fontId="0" fillId="0" borderId="0"/>
  </cellStyleXfs>
  <cellXfs count="77">
    <xf numFmtId="0" fontId="0" fillId="0" borderId="0" xfId="0"/>
    <xf numFmtId="1" fontId="19" fillId="10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11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4" fillId="11" borderId="2" xfId="0" applyFont="1" applyFill="1" applyBorder="1" applyAlignment="1">
      <alignment horizontal="right" vertical="center"/>
    </xf>
    <xf numFmtId="0" fontId="14" fillId="11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164" fontId="11" fillId="9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164" fontId="4" fillId="9" borderId="1" xfId="0" applyNumberFormat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164" fontId="4" fillId="10" borderId="1" xfId="0" applyNumberFormat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165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64" fontId="4" fillId="9" borderId="1" xfId="0" applyNumberFormat="1" applyFont="1" applyFill="1" applyBorder="1" applyAlignment="1">
      <alignment horizontal="right" vertical="center"/>
    </xf>
    <xf numFmtId="164" fontId="13" fillId="8" borderId="1" xfId="0" applyNumberFormat="1" applyFont="1" applyFill="1" applyBorder="1" applyAlignment="1">
      <alignment horizontal="right" vertical="center"/>
    </xf>
    <xf numFmtId="165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164" fontId="4" fillId="10" borderId="1" xfId="0" applyNumberFormat="1" applyFont="1" applyFill="1" applyBorder="1" applyAlignment="1">
      <alignment horizontal="right" vertical="center"/>
    </xf>
    <xf numFmtId="0" fontId="0" fillId="2" borderId="2" xfId="0" applyFill="1" applyBorder="1"/>
    <xf numFmtId="0" fontId="10" fillId="2" borderId="2" xfId="0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165" fontId="15" fillId="9" borderId="1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left" vertical="center"/>
    </xf>
    <xf numFmtId="164" fontId="16" fillId="9" borderId="1" xfId="0" applyNumberFormat="1" applyFont="1" applyFill="1" applyBorder="1" applyAlignment="1">
      <alignment horizontal="right" vertical="center"/>
    </xf>
    <xf numFmtId="164" fontId="15" fillId="8" borderId="1" xfId="0" applyNumberFormat="1" applyFont="1" applyFill="1" applyBorder="1" applyAlignment="1">
      <alignment horizontal="right" vertical="center"/>
    </xf>
    <xf numFmtId="164" fontId="17" fillId="8" borderId="1" xfId="0" applyNumberFormat="1" applyFont="1" applyFill="1" applyBorder="1" applyAlignment="1">
      <alignment horizontal="right" vertical="center"/>
    </xf>
    <xf numFmtId="0" fontId="15" fillId="9" borderId="1" xfId="0" applyFont="1" applyFill="1" applyBorder="1" applyAlignment="1">
      <alignment horizontal="center" vertical="center"/>
    </xf>
    <xf numFmtId="164" fontId="15" fillId="9" borderId="1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164" fontId="15" fillId="9" borderId="1" xfId="0" applyNumberFormat="1" applyFont="1" applyFill="1" applyBorder="1" applyAlignment="1">
      <alignment horizontal="right" vertical="center"/>
    </xf>
    <xf numFmtId="165" fontId="15" fillId="10" borderId="1" xfId="0" applyNumberFormat="1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left" vertical="center"/>
    </xf>
    <xf numFmtId="164" fontId="16" fillId="10" borderId="1" xfId="0" applyNumberFormat="1" applyFont="1" applyFill="1" applyBorder="1" applyAlignment="1">
      <alignment horizontal="right" vertical="center"/>
    </xf>
    <xf numFmtId="164" fontId="15" fillId="12" borderId="1" xfId="0" applyNumberFormat="1" applyFont="1" applyFill="1" applyBorder="1" applyAlignment="1">
      <alignment horizontal="right" vertical="center"/>
    </xf>
    <xf numFmtId="164" fontId="17" fillId="12" borderId="1" xfId="0" applyNumberFormat="1" applyFont="1" applyFill="1" applyBorder="1" applyAlignment="1">
      <alignment horizontal="right" vertical="center"/>
    </xf>
    <xf numFmtId="0" fontId="15" fillId="10" borderId="1" xfId="0" applyFont="1" applyFill="1" applyBorder="1" applyAlignment="1">
      <alignment horizontal="center" vertical="center"/>
    </xf>
    <xf numFmtId="164" fontId="15" fillId="10" borderId="1" xfId="0" applyNumberFormat="1" applyFont="1" applyFill="1" applyBorder="1" applyAlignment="1">
      <alignment horizontal="center" vertical="center"/>
    </xf>
    <xf numFmtId="164" fontId="15" fillId="10" borderId="1" xfId="0" applyNumberFormat="1" applyFont="1" applyFill="1" applyBorder="1" applyAlignment="1">
      <alignment horizontal="right" vertical="center"/>
    </xf>
    <xf numFmtId="164" fontId="10" fillId="11" borderId="2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0" fontId="15" fillId="9" borderId="1" xfId="0" applyFont="1" applyFill="1" applyBorder="1" applyAlignment="1">
      <alignment horizontal="left" vertical="center"/>
    </xf>
    <xf numFmtId="166" fontId="24" fillId="9" borderId="1" xfId="0" applyNumberFormat="1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left" vertical="center"/>
    </xf>
    <xf numFmtId="166" fontId="24" fillId="10" borderId="1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166" fontId="14" fillId="2" borderId="2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164" fontId="20" fillId="10" borderId="1" xfId="0" applyNumberFormat="1" applyFont="1" applyFill="1" applyBorder="1" applyAlignment="1">
      <alignment horizontal="center" vertical="center"/>
    </xf>
    <xf numFmtId="164" fontId="21" fillId="10" borderId="1" xfId="0" applyNumberFormat="1" applyFont="1" applyFill="1" applyBorder="1" applyAlignment="1">
      <alignment horizontal="center" vertical="center"/>
    </xf>
    <xf numFmtId="164" fontId="19" fillId="10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/>
    </xf>
    <xf numFmtId="0" fontId="14" fillId="13" borderId="1" xfId="0" applyFont="1" applyFill="1" applyBorder="1" applyAlignment="1">
      <alignment horizontal="left" vertical="center"/>
    </xf>
    <xf numFmtId="164" fontId="22" fillId="10" borderId="1" xfId="0" applyNumberFormat="1" applyFont="1" applyFill="1" applyBorder="1" applyAlignment="1">
      <alignment horizontal="center" vertical="center"/>
    </xf>
    <xf numFmtId="1" fontId="23" fillId="10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12">
    <dxf>
      <font>
        <b/>
        <sz val="9"/>
        <color rgb="FFA32B1C"/>
        <name val="Calibri"/>
        <charset val="1"/>
      </font>
      <fill>
        <patternFill>
          <bgColor rgb="FFF7D4CE"/>
        </patternFill>
      </fill>
    </dxf>
    <dxf>
      <font>
        <b/>
        <sz val="9"/>
        <color rgb="FF8A6300"/>
        <name val="Calibri"/>
        <charset val="1"/>
      </font>
      <fill>
        <patternFill>
          <bgColor rgb="FFFCEBB6"/>
        </patternFill>
      </fill>
    </dxf>
    <dxf>
      <font>
        <b/>
        <sz val="9"/>
        <color rgb="FF13704B"/>
        <name val="Calibri"/>
        <charset val="1"/>
      </font>
      <fill>
        <patternFill>
          <bgColor rgb="FFD7F0E4"/>
        </patternFill>
      </fill>
    </dxf>
    <dxf>
      <font>
        <b/>
        <sz val="9"/>
        <color rgb="FFA32B1C"/>
        <name val="Calibri"/>
        <charset val="1"/>
      </font>
      <fill>
        <patternFill>
          <bgColor rgb="FFF7D4CE"/>
        </patternFill>
      </fill>
    </dxf>
    <dxf>
      <font>
        <b/>
        <sz val="9"/>
        <color rgb="FF8A6300"/>
        <name val="Calibri"/>
        <charset val="1"/>
      </font>
      <fill>
        <patternFill>
          <bgColor rgb="FFFCEBB6"/>
        </patternFill>
      </fill>
    </dxf>
    <dxf>
      <font>
        <b/>
        <sz val="9"/>
        <color rgb="FF13704B"/>
        <name val="Calibri"/>
        <charset val="1"/>
      </font>
      <fill>
        <patternFill>
          <bgColor rgb="FFD7F0E4"/>
        </patternFill>
      </fill>
    </dxf>
    <dxf>
      <font>
        <b/>
        <sz val="9"/>
        <color rgb="FFA32B1C"/>
        <name val="Calibri"/>
        <charset val="1"/>
      </font>
      <fill>
        <patternFill>
          <bgColor rgb="FFF7D4CE"/>
        </patternFill>
      </fill>
    </dxf>
    <dxf>
      <font>
        <b/>
        <sz val="9"/>
        <color rgb="FF8A6300"/>
        <name val="Calibri"/>
        <charset val="1"/>
      </font>
      <fill>
        <patternFill>
          <bgColor rgb="FFFCEBB6"/>
        </patternFill>
      </fill>
    </dxf>
    <dxf>
      <font>
        <b/>
        <sz val="9"/>
        <color rgb="FF13704B"/>
        <name val="Calibri"/>
        <charset val="1"/>
      </font>
      <fill>
        <patternFill>
          <bgColor rgb="FFD7F0E4"/>
        </patternFill>
      </fill>
    </dxf>
    <dxf>
      <fill>
        <patternFill>
          <bgColor rgb="FFE3F3EC"/>
        </patternFill>
      </fill>
    </dxf>
    <dxf>
      <font>
        <b/>
        <sz val="10"/>
        <color rgb="FFA32B1C"/>
        <name val="Calibri"/>
        <charset val="1"/>
      </font>
    </dxf>
    <dxf>
      <font>
        <b/>
        <sz val="10"/>
        <color rgb="FF13704B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300"/>
      <rgbColor rgb="FF800080"/>
      <rgbColor rgb="FF13704B"/>
      <rgbColor rgb="FFD9D9D9"/>
      <rgbColor rgb="FF878787"/>
      <rgbColor rgb="FF9999FF"/>
      <rgbColor rgb="FF993366"/>
      <rgbColor rgb="FFFCEBB6"/>
      <rgbColor rgb="FFE3F3EC"/>
      <rgbColor rgb="FF660066"/>
      <rgbColor rgb="FFFF8080"/>
      <rgbColor rgb="FF0066CC"/>
      <rgbColor rgb="FFC4D3DF"/>
      <rgbColor rgb="FF000080"/>
      <rgbColor rgb="FFFF00FF"/>
      <rgbColor rgb="FFFFFF00"/>
      <rgbColor rgb="FF00FFFF"/>
      <rgbColor rgb="FF800080"/>
      <rgbColor rgb="FF800000"/>
      <rgbColor rgb="FF3E7CA6"/>
      <rgbColor rgb="FF0000FF"/>
      <rgbColor rgb="FF00CCFF"/>
      <rgbColor rgb="FFE4EDF3"/>
      <rgbColor rgb="FFD7F0E4"/>
      <rgbColor rgb="FFF4F8FB"/>
      <rgbColor rgb="FFEAF1F6"/>
      <rgbColor rgb="FFFF99CC"/>
      <rgbColor rgb="FFCC99FF"/>
      <rgbColor rgb="FFF7D4CE"/>
      <rgbColor rgb="FF4F81BD"/>
      <rgbColor rgb="FF33CCCC"/>
      <rgbColor rgb="FF99CC00"/>
      <rgbColor rgb="FFFFCC00"/>
      <rgbColor rgb="FFC9A227"/>
      <rgbColor rgb="FFFF6600"/>
      <rgbColor rgb="FF5C6B78"/>
      <rgbColor rgb="FF969696"/>
      <rgbColor rgb="FF17324D"/>
      <rgbColor rgb="FF1E9E74"/>
      <rgbColor rgb="FF003300"/>
      <rgbColor rgb="FF333300"/>
      <rgbColor rgb="FFA32B1C"/>
      <rgbColor rgb="FF993366"/>
      <rgbColor rgb="FF24567D"/>
      <rgbColor rgb="FF1B2A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Répartition des encaissements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'Tableau de bord'!$C$15</c:f>
              <c:strCache>
                <c:ptCount val="1"/>
                <c:pt idx="0">
                  <c:v>Montant (€)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E9E7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F3DF-43C8-99E5-1C80259C3A2F}"/>
              </c:ext>
            </c:extLst>
          </c:dPt>
          <c:dPt>
            <c:idx val="1"/>
            <c:bubble3D val="0"/>
            <c:spPr>
              <a:solidFill>
                <a:srgbClr val="24567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F3DF-43C8-99E5-1C80259C3A2F}"/>
              </c:ext>
            </c:extLst>
          </c:dPt>
          <c:dPt>
            <c:idx val="2"/>
            <c:bubble3D val="0"/>
            <c:spPr>
              <a:solidFill>
                <a:srgbClr val="3E7CA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F3DF-43C8-99E5-1C80259C3A2F}"/>
              </c:ext>
            </c:extLst>
          </c:dPt>
          <c:dPt>
            <c:idx val="3"/>
            <c:bubble3D val="0"/>
            <c:spPr>
              <a:solidFill>
                <a:srgbClr val="C9A22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F3DF-43C8-99E5-1C80259C3A2F}"/>
              </c:ext>
            </c:extLst>
          </c:dPt>
          <c:dPt>
            <c:idx val="4"/>
            <c:bubble3D val="0"/>
            <c:spPr>
              <a:solidFill>
                <a:srgbClr val="1732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F3DF-43C8-99E5-1C80259C3A2F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F3DF-43C8-99E5-1C80259C3A2F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F3DF-43C8-99E5-1C80259C3A2F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F3DF-43C8-99E5-1C80259C3A2F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F3DF-43C8-99E5-1C80259C3A2F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F3DF-43C8-99E5-1C80259C3A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'Tableau de bord'!$B$16:$B$20</c:f>
              <c:strCache>
                <c:ptCount val="5"/>
                <c:pt idx="0">
                  <c:v>Espèces</c:v>
                </c:pt>
                <c:pt idx="1">
                  <c:v>Carte bancaire</c:v>
                </c:pt>
                <c:pt idx="2">
                  <c:v>Chèque</c:v>
                </c:pt>
                <c:pt idx="3">
                  <c:v>Ticket restaurant</c:v>
                </c:pt>
                <c:pt idx="4">
                  <c:v>Virement</c:v>
                </c:pt>
              </c:strCache>
            </c:strRef>
          </c:cat>
          <c:val>
            <c:numRef>
              <c:f>'Tableau de bord'!$C$16:$C$20</c:f>
              <c:numCache>
                <c:formatCode>#,##0.00" €"</c:formatCode>
                <c:ptCount val="5"/>
                <c:pt idx="0">
                  <c:v>866.05</c:v>
                </c:pt>
                <c:pt idx="1">
                  <c:v>586.59999999999991</c:v>
                </c:pt>
                <c:pt idx="2">
                  <c:v>420</c:v>
                </c:pt>
                <c:pt idx="3">
                  <c:v>45.2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3DF-43C8-99E5-1C80259C3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Total des encaissements par journée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bord'!$C$25</c:f>
              <c:strCache>
                <c:ptCount val="1"/>
                <c:pt idx="0">
                  <c:v>Total encaissements (€)</c:v>
                </c:pt>
              </c:strCache>
            </c:strRef>
          </c:tx>
          <c:spPr>
            <a:solidFill>
              <a:srgbClr val="1E9E7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bord'!$B$26:$B$33</c:f>
              <c:strCache>
                <c:ptCount val="3"/>
                <c:pt idx="0">
                  <c:v>04/01/2027</c:v>
                </c:pt>
                <c:pt idx="1">
                  <c:v>05/01/2027</c:v>
                </c:pt>
                <c:pt idx="2">
                  <c:v>06/01/2027</c:v>
                </c:pt>
              </c:strCache>
            </c:strRef>
          </c:cat>
          <c:val>
            <c:numRef>
              <c:f>'Tableau de bord'!$C$26:$C$33</c:f>
              <c:numCache>
                <c:formatCode>#,##0.00" €"</c:formatCode>
                <c:ptCount val="8"/>
                <c:pt idx="0">
                  <c:v>585.20000000000005</c:v>
                </c:pt>
                <c:pt idx="1">
                  <c:v>760.65</c:v>
                </c:pt>
                <c:pt idx="2">
                  <c:v>572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5-4591-8632-5046A7A6A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318292"/>
        <c:axId val="12197316"/>
      </c:barChart>
      <c:dateAx>
        <c:axId val="27318292"/>
        <c:scaling>
          <c:orientation val="minMax"/>
        </c:scaling>
        <c:delete val="0"/>
        <c:axPos val="b"/>
        <c:numFmt formatCode="dd\/mm\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2197316"/>
        <c:crosses val="autoZero"/>
        <c:auto val="1"/>
        <c:lblOffset val="100"/>
        <c:baseTimeUnit val="days"/>
      </c:dateAx>
      <c:valAx>
        <c:axId val="12197316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731829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10</xdr:col>
      <xdr:colOff>281880</xdr:colOff>
      <xdr:row>25</xdr:row>
      <xdr:rowOff>93960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28</xdr:row>
      <xdr:rowOff>97200</xdr:rowOff>
    </xdr:from>
    <xdr:to>
      <xdr:col>10</xdr:col>
      <xdr:colOff>281880</xdr:colOff>
      <xdr:row>42</xdr:row>
      <xdr:rowOff>93960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1"/>
  <sheetViews>
    <sheetView showGridLines="0" tabSelected="1" zoomScaleNormal="100" workbookViewId="0">
      <pane ySplit="5" topLeftCell="A6" activePane="bottomLeft" state="frozen"/>
      <selection pane="bottomLeft" activeCell="K49" sqref="K49"/>
    </sheetView>
  </sheetViews>
  <sheetFormatPr baseColWidth="10" defaultColWidth="8.7109375" defaultRowHeight="15" x14ac:dyDescent="0.25"/>
  <cols>
    <col min="1" max="1" width="13" customWidth="1"/>
    <col min="2" max="2" width="14" customWidth="1"/>
    <col min="3" max="3" width="34" customWidth="1"/>
    <col min="4" max="4" width="26" customWidth="1"/>
    <col min="5" max="5" width="18" customWidth="1"/>
    <col min="6" max="8" width="15" customWidth="1"/>
  </cols>
  <sheetData>
    <row r="1" spans="1:8" ht="19.5" customHeight="1" x14ac:dyDescent="0.25">
      <c r="A1" s="14" t="s">
        <v>67</v>
      </c>
      <c r="B1" s="14"/>
      <c r="C1" s="14"/>
      <c r="D1" s="14"/>
      <c r="E1" s="14"/>
      <c r="F1" s="14"/>
      <c r="G1" s="14"/>
      <c r="H1" s="14"/>
    </row>
    <row r="2" spans="1:8" ht="15.75" customHeight="1" x14ac:dyDescent="0.25">
      <c r="A2" s="14"/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3" t="s">
        <v>68</v>
      </c>
      <c r="B3" s="13"/>
      <c r="C3" s="13"/>
      <c r="D3" s="13"/>
      <c r="E3" s="13"/>
      <c r="F3" s="13"/>
      <c r="G3" s="13"/>
      <c r="H3" s="13"/>
    </row>
    <row r="5" spans="1:8" ht="30" customHeight="1" x14ac:dyDescent="0.25">
      <c r="A5" s="30" t="s">
        <v>69</v>
      </c>
      <c r="B5" s="30" t="s">
        <v>70</v>
      </c>
      <c r="C5" s="30" t="s">
        <v>71</v>
      </c>
      <c r="D5" s="30" t="s">
        <v>72</v>
      </c>
      <c r="E5" s="30" t="s">
        <v>38</v>
      </c>
      <c r="F5" s="30" t="s">
        <v>73</v>
      </c>
      <c r="G5" s="30" t="s">
        <v>74</v>
      </c>
      <c r="H5" s="30" t="s">
        <v>75</v>
      </c>
    </row>
    <row r="6" spans="1:8" x14ac:dyDescent="0.25">
      <c r="A6" s="31">
        <v>46391</v>
      </c>
      <c r="B6" s="32" t="s">
        <v>76</v>
      </c>
      <c r="C6" s="25" t="s">
        <v>77</v>
      </c>
      <c r="D6" s="25" t="s">
        <v>51</v>
      </c>
      <c r="E6" s="25" t="s">
        <v>43</v>
      </c>
      <c r="F6" s="33">
        <v>145.5</v>
      </c>
      <c r="G6" s="33"/>
      <c r="H6" s="34">
        <f t="shared" ref="H6:H37" si="0">IF(AND(F6="",G6=""),"",N(F6)-N(G6))</f>
        <v>145.5</v>
      </c>
    </row>
    <row r="7" spans="1:8" x14ac:dyDescent="0.25">
      <c r="A7" s="35">
        <v>46391</v>
      </c>
      <c r="B7" s="36" t="s">
        <v>78</v>
      </c>
      <c r="C7" s="22" t="s">
        <v>79</v>
      </c>
      <c r="D7" s="22" t="s">
        <v>44</v>
      </c>
      <c r="E7" s="22" t="s">
        <v>47</v>
      </c>
      <c r="F7" s="37">
        <v>89.9</v>
      </c>
      <c r="G7" s="37"/>
      <c r="H7" s="34">
        <f t="shared" si="0"/>
        <v>89.9</v>
      </c>
    </row>
    <row r="8" spans="1:8" x14ac:dyDescent="0.25">
      <c r="A8" s="31">
        <v>46391</v>
      </c>
      <c r="B8" s="32" t="s">
        <v>80</v>
      </c>
      <c r="C8" s="25" t="s">
        <v>81</v>
      </c>
      <c r="D8" s="25" t="s">
        <v>48</v>
      </c>
      <c r="E8" s="25" t="s">
        <v>50</v>
      </c>
      <c r="F8" s="33">
        <v>120</v>
      </c>
      <c r="G8" s="33"/>
      <c r="H8" s="34">
        <f t="shared" si="0"/>
        <v>120</v>
      </c>
    </row>
    <row r="9" spans="1:8" x14ac:dyDescent="0.25">
      <c r="A9" s="35">
        <v>46391</v>
      </c>
      <c r="B9" s="36" t="s">
        <v>82</v>
      </c>
      <c r="C9" s="22" t="s">
        <v>83</v>
      </c>
      <c r="D9" s="22" t="s">
        <v>51</v>
      </c>
      <c r="E9" s="22" t="s">
        <v>53</v>
      </c>
      <c r="F9" s="37">
        <v>19.8</v>
      </c>
      <c r="G9" s="37"/>
      <c r="H9" s="34">
        <f t="shared" si="0"/>
        <v>19.8</v>
      </c>
    </row>
    <row r="10" spans="1:8" x14ac:dyDescent="0.25">
      <c r="A10" s="31">
        <v>46391</v>
      </c>
      <c r="B10" s="32" t="s">
        <v>84</v>
      </c>
      <c r="C10" s="25" t="s">
        <v>85</v>
      </c>
      <c r="D10" s="25" t="s">
        <v>59</v>
      </c>
      <c r="E10" s="25" t="s">
        <v>43</v>
      </c>
      <c r="F10" s="33"/>
      <c r="G10" s="33">
        <v>32.4</v>
      </c>
      <c r="H10" s="34">
        <f t="shared" si="0"/>
        <v>-32.4</v>
      </c>
    </row>
    <row r="11" spans="1:8" x14ac:dyDescent="0.25">
      <c r="A11" s="35">
        <v>46391</v>
      </c>
      <c r="B11" s="36" t="s">
        <v>86</v>
      </c>
      <c r="C11" s="22" t="s">
        <v>87</v>
      </c>
      <c r="D11" s="22" t="s">
        <v>51</v>
      </c>
      <c r="E11" s="22" t="s">
        <v>43</v>
      </c>
      <c r="F11" s="37">
        <v>210</v>
      </c>
      <c r="G11" s="37"/>
      <c r="H11" s="34">
        <f t="shared" si="0"/>
        <v>210</v>
      </c>
    </row>
    <row r="12" spans="1:8" x14ac:dyDescent="0.25">
      <c r="A12" s="31">
        <v>46392</v>
      </c>
      <c r="B12" s="32" t="s">
        <v>88</v>
      </c>
      <c r="C12" s="25" t="s">
        <v>51</v>
      </c>
      <c r="D12" s="25" t="s">
        <v>51</v>
      </c>
      <c r="E12" s="25" t="s">
        <v>43</v>
      </c>
      <c r="F12" s="33">
        <v>175.25</v>
      </c>
      <c r="G12" s="33"/>
      <c r="H12" s="34">
        <f t="shared" si="0"/>
        <v>175.25</v>
      </c>
    </row>
    <row r="13" spans="1:8" x14ac:dyDescent="0.25">
      <c r="A13" s="35">
        <v>46392</v>
      </c>
      <c r="B13" s="36" t="s">
        <v>89</v>
      </c>
      <c r="C13" s="22" t="s">
        <v>90</v>
      </c>
      <c r="D13" s="22" t="s">
        <v>44</v>
      </c>
      <c r="E13" s="22" t="s">
        <v>47</v>
      </c>
      <c r="F13" s="37">
        <v>245</v>
      </c>
      <c r="G13" s="37"/>
      <c r="H13" s="34">
        <f t="shared" si="0"/>
        <v>245</v>
      </c>
    </row>
    <row r="14" spans="1:8" x14ac:dyDescent="0.25">
      <c r="A14" s="31">
        <v>46392</v>
      </c>
      <c r="B14" s="32" t="s">
        <v>91</v>
      </c>
      <c r="C14" s="25" t="s">
        <v>92</v>
      </c>
      <c r="D14" s="25" t="s">
        <v>54</v>
      </c>
      <c r="E14" s="25" t="s">
        <v>50</v>
      </c>
      <c r="F14" s="33">
        <v>300</v>
      </c>
      <c r="G14" s="33"/>
      <c r="H14" s="34">
        <f t="shared" si="0"/>
        <v>300</v>
      </c>
    </row>
    <row r="15" spans="1:8" x14ac:dyDescent="0.25">
      <c r="A15" s="35">
        <v>46392</v>
      </c>
      <c r="B15" s="36" t="s">
        <v>93</v>
      </c>
      <c r="C15" s="22" t="s">
        <v>94</v>
      </c>
      <c r="D15" s="22" t="s">
        <v>57</v>
      </c>
      <c r="E15" s="22" t="s">
        <v>43</v>
      </c>
      <c r="F15" s="37">
        <v>15</v>
      </c>
      <c r="G15" s="37"/>
      <c r="H15" s="34">
        <f t="shared" si="0"/>
        <v>15</v>
      </c>
    </row>
    <row r="16" spans="1:8" x14ac:dyDescent="0.25">
      <c r="A16" s="31">
        <v>46392</v>
      </c>
      <c r="B16" s="32" t="s">
        <v>95</v>
      </c>
      <c r="C16" s="25" t="s">
        <v>63</v>
      </c>
      <c r="D16" s="25" t="s">
        <v>63</v>
      </c>
      <c r="E16" s="25" t="s">
        <v>43</v>
      </c>
      <c r="F16" s="33"/>
      <c r="G16" s="33">
        <v>24.9</v>
      </c>
      <c r="H16" s="34">
        <f t="shared" si="0"/>
        <v>-24.9</v>
      </c>
    </row>
    <row r="17" spans="1:8" x14ac:dyDescent="0.25">
      <c r="A17" s="35">
        <v>46392</v>
      </c>
      <c r="B17" s="36" t="s">
        <v>96</v>
      </c>
      <c r="C17" s="22" t="s">
        <v>97</v>
      </c>
      <c r="D17" s="22" t="s">
        <v>62</v>
      </c>
      <c r="E17" s="22" t="s">
        <v>43</v>
      </c>
      <c r="F17" s="37"/>
      <c r="G17" s="37">
        <v>12.6</v>
      </c>
      <c r="H17" s="34">
        <f t="shared" si="0"/>
        <v>-12.6</v>
      </c>
    </row>
    <row r="18" spans="1:8" x14ac:dyDescent="0.25">
      <c r="A18" s="31">
        <v>46392</v>
      </c>
      <c r="B18" s="32" t="s">
        <v>98</v>
      </c>
      <c r="C18" s="25" t="s">
        <v>99</v>
      </c>
      <c r="D18" s="25" t="s">
        <v>51</v>
      </c>
      <c r="E18" s="25" t="s">
        <v>53</v>
      </c>
      <c r="F18" s="33">
        <v>25.4</v>
      </c>
      <c r="G18" s="33"/>
      <c r="H18" s="34">
        <f t="shared" si="0"/>
        <v>25.4</v>
      </c>
    </row>
    <row r="19" spans="1:8" x14ac:dyDescent="0.25">
      <c r="A19" s="35">
        <v>46393</v>
      </c>
      <c r="B19" s="36" t="s">
        <v>100</v>
      </c>
      <c r="C19" s="22" t="s">
        <v>77</v>
      </c>
      <c r="D19" s="22" t="s">
        <v>51</v>
      </c>
      <c r="E19" s="22" t="s">
        <v>43</v>
      </c>
      <c r="F19" s="37">
        <v>132</v>
      </c>
      <c r="G19" s="37"/>
      <c r="H19" s="34">
        <f t="shared" si="0"/>
        <v>132</v>
      </c>
    </row>
    <row r="20" spans="1:8" x14ac:dyDescent="0.25">
      <c r="A20" s="31">
        <v>46393</v>
      </c>
      <c r="B20" s="32" t="s">
        <v>101</v>
      </c>
      <c r="C20" s="25" t="s">
        <v>102</v>
      </c>
      <c r="D20" s="25" t="s">
        <v>44</v>
      </c>
      <c r="E20" s="25" t="s">
        <v>47</v>
      </c>
      <c r="F20" s="33">
        <v>156.69999999999999</v>
      </c>
      <c r="G20" s="33"/>
      <c r="H20" s="34">
        <f t="shared" si="0"/>
        <v>156.69999999999999</v>
      </c>
    </row>
    <row r="21" spans="1:8" x14ac:dyDescent="0.25">
      <c r="A21" s="35">
        <v>46393</v>
      </c>
      <c r="B21" s="36" t="s">
        <v>103</v>
      </c>
      <c r="C21" s="22" t="s">
        <v>104</v>
      </c>
      <c r="D21" s="22" t="s">
        <v>48</v>
      </c>
      <c r="E21" s="22" t="s">
        <v>47</v>
      </c>
      <c r="F21" s="37">
        <v>95</v>
      </c>
      <c r="G21" s="37"/>
      <c r="H21" s="34">
        <f t="shared" si="0"/>
        <v>95</v>
      </c>
    </row>
    <row r="22" spans="1:8" x14ac:dyDescent="0.25">
      <c r="A22" s="31">
        <v>46393</v>
      </c>
      <c r="B22" s="32" t="s">
        <v>105</v>
      </c>
      <c r="C22" s="25" t="s">
        <v>106</v>
      </c>
      <c r="D22" s="25" t="s">
        <v>60</v>
      </c>
      <c r="E22" s="25" t="s">
        <v>43</v>
      </c>
      <c r="F22" s="33"/>
      <c r="G22" s="33">
        <v>8.5</v>
      </c>
      <c r="H22" s="34">
        <f t="shared" si="0"/>
        <v>-8.5</v>
      </c>
    </row>
    <row r="23" spans="1:8" x14ac:dyDescent="0.25">
      <c r="A23" s="35">
        <v>46393</v>
      </c>
      <c r="B23" s="36" t="s">
        <v>107</v>
      </c>
      <c r="C23" s="22" t="s">
        <v>87</v>
      </c>
      <c r="D23" s="22" t="s">
        <v>51</v>
      </c>
      <c r="E23" s="22" t="s">
        <v>43</v>
      </c>
      <c r="F23" s="37">
        <v>188.3</v>
      </c>
      <c r="G23" s="37"/>
      <c r="H23" s="34">
        <f t="shared" si="0"/>
        <v>188.3</v>
      </c>
    </row>
    <row r="24" spans="1:8" x14ac:dyDescent="0.25">
      <c r="A24" s="31">
        <v>46393</v>
      </c>
      <c r="B24" s="32" t="s">
        <v>108</v>
      </c>
      <c r="C24" s="25" t="s">
        <v>109</v>
      </c>
      <c r="D24" s="25" t="s">
        <v>64</v>
      </c>
      <c r="E24" s="25" t="s">
        <v>43</v>
      </c>
      <c r="F24" s="33"/>
      <c r="G24" s="33">
        <v>40</v>
      </c>
      <c r="H24" s="34">
        <f t="shared" si="0"/>
        <v>-40</v>
      </c>
    </row>
    <row r="25" spans="1:8" x14ac:dyDescent="0.25">
      <c r="A25" s="35"/>
      <c r="B25" s="36"/>
      <c r="C25" s="22"/>
      <c r="D25" s="22"/>
      <c r="E25" s="22"/>
      <c r="F25" s="37"/>
      <c r="G25" s="37"/>
      <c r="H25" s="34" t="str">
        <f t="shared" si="0"/>
        <v/>
      </c>
    </row>
    <row r="26" spans="1:8" x14ac:dyDescent="0.25">
      <c r="A26" s="31"/>
      <c r="B26" s="32"/>
      <c r="C26" s="25"/>
      <c r="D26" s="25"/>
      <c r="E26" s="25"/>
      <c r="F26" s="33"/>
      <c r="G26" s="33"/>
      <c r="H26" s="34" t="str">
        <f t="shared" si="0"/>
        <v/>
      </c>
    </row>
    <row r="27" spans="1:8" x14ac:dyDescent="0.25">
      <c r="A27" s="35"/>
      <c r="B27" s="36"/>
      <c r="C27" s="22"/>
      <c r="D27" s="22"/>
      <c r="E27" s="22"/>
      <c r="F27" s="37"/>
      <c r="G27" s="37"/>
      <c r="H27" s="34" t="str">
        <f t="shared" si="0"/>
        <v/>
      </c>
    </row>
    <row r="28" spans="1:8" x14ac:dyDescent="0.25">
      <c r="A28" s="31"/>
      <c r="B28" s="32"/>
      <c r="C28" s="25"/>
      <c r="D28" s="25"/>
      <c r="E28" s="25"/>
      <c r="F28" s="33"/>
      <c r="G28" s="33"/>
      <c r="H28" s="34" t="str">
        <f t="shared" si="0"/>
        <v/>
      </c>
    </row>
    <row r="29" spans="1:8" x14ac:dyDescent="0.25">
      <c r="A29" s="35"/>
      <c r="B29" s="36"/>
      <c r="C29" s="22"/>
      <c r="D29" s="22"/>
      <c r="E29" s="22"/>
      <c r="F29" s="37"/>
      <c r="G29" s="37"/>
      <c r="H29" s="34" t="str">
        <f t="shared" si="0"/>
        <v/>
      </c>
    </row>
    <row r="30" spans="1:8" x14ac:dyDescent="0.25">
      <c r="A30" s="31"/>
      <c r="B30" s="32"/>
      <c r="C30" s="25"/>
      <c r="D30" s="25"/>
      <c r="E30" s="25"/>
      <c r="F30" s="33"/>
      <c r="G30" s="33"/>
      <c r="H30" s="34" t="str">
        <f t="shared" si="0"/>
        <v/>
      </c>
    </row>
    <row r="31" spans="1:8" x14ac:dyDescent="0.25">
      <c r="A31" s="35"/>
      <c r="B31" s="36"/>
      <c r="C31" s="22"/>
      <c r="D31" s="22"/>
      <c r="E31" s="22"/>
      <c r="F31" s="37"/>
      <c r="G31" s="37"/>
      <c r="H31" s="34" t="str">
        <f t="shared" si="0"/>
        <v/>
      </c>
    </row>
    <row r="32" spans="1:8" x14ac:dyDescent="0.25">
      <c r="A32" s="31"/>
      <c r="B32" s="32"/>
      <c r="C32" s="25"/>
      <c r="D32" s="25"/>
      <c r="E32" s="25"/>
      <c r="F32" s="33"/>
      <c r="G32" s="33"/>
      <c r="H32" s="34" t="str">
        <f t="shared" si="0"/>
        <v/>
      </c>
    </row>
    <row r="33" spans="1:8" x14ac:dyDescent="0.25">
      <c r="A33" s="35"/>
      <c r="B33" s="36"/>
      <c r="C33" s="22"/>
      <c r="D33" s="22"/>
      <c r="E33" s="22"/>
      <c r="F33" s="37"/>
      <c r="G33" s="37"/>
      <c r="H33" s="34" t="str">
        <f t="shared" si="0"/>
        <v/>
      </c>
    </row>
    <row r="34" spans="1:8" x14ac:dyDescent="0.25">
      <c r="A34" s="31"/>
      <c r="B34" s="32"/>
      <c r="C34" s="25"/>
      <c r="D34" s="25"/>
      <c r="E34" s="25"/>
      <c r="F34" s="33"/>
      <c r="G34" s="33"/>
      <c r="H34" s="34" t="str">
        <f t="shared" si="0"/>
        <v/>
      </c>
    </row>
    <row r="35" spans="1:8" x14ac:dyDescent="0.25">
      <c r="A35" s="35"/>
      <c r="B35" s="36"/>
      <c r="C35" s="22"/>
      <c r="D35" s="22"/>
      <c r="E35" s="22"/>
      <c r="F35" s="37"/>
      <c r="G35" s="37"/>
      <c r="H35" s="34" t="str">
        <f t="shared" si="0"/>
        <v/>
      </c>
    </row>
    <row r="36" spans="1:8" x14ac:dyDescent="0.25">
      <c r="A36" s="31"/>
      <c r="B36" s="32"/>
      <c r="C36" s="25"/>
      <c r="D36" s="25"/>
      <c r="E36" s="25"/>
      <c r="F36" s="33"/>
      <c r="G36" s="33"/>
      <c r="H36" s="34" t="str">
        <f t="shared" si="0"/>
        <v/>
      </c>
    </row>
    <row r="37" spans="1:8" x14ac:dyDescent="0.25">
      <c r="A37" s="35"/>
      <c r="B37" s="36"/>
      <c r="C37" s="22"/>
      <c r="D37" s="22"/>
      <c r="E37" s="22"/>
      <c r="F37" s="37"/>
      <c r="G37" s="37"/>
      <c r="H37" s="34" t="str">
        <f t="shared" si="0"/>
        <v/>
      </c>
    </row>
    <row r="38" spans="1:8" x14ac:dyDescent="0.25">
      <c r="A38" s="31"/>
      <c r="B38" s="32"/>
      <c r="C38" s="25"/>
      <c r="D38" s="25"/>
      <c r="E38" s="25"/>
      <c r="F38" s="33"/>
      <c r="G38" s="33"/>
      <c r="H38" s="34" t="str">
        <f t="shared" ref="H38:H69" si="1">IF(AND(F38="",G38=""),"",N(F38)-N(G38))</f>
        <v/>
      </c>
    </row>
    <row r="39" spans="1:8" x14ac:dyDescent="0.25">
      <c r="A39" s="35"/>
      <c r="B39" s="36"/>
      <c r="C39" s="22"/>
      <c r="D39" s="22"/>
      <c r="E39" s="22"/>
      <c r="F39" s="37"/>
      <c r="G39" s="37"/>
      <c r="H39" s="34" t="str">
        <f t="shared" si="1"/>
        <v/>
      </c>
    </row>
    <row r="40" spans="1:8" x14ac:dyDescent="0.25">
      <c r="A40" s="31"/>
      <c r="B40" s="32"/>
      <c r="C40" s="25"/>
      <c r="D40" s="25"/>
      <c r="E40" s="25"/>
      <c r="F40" s="33"/>
      <c r="G40" s="33"/>
      <c r="H40" s="34" t="str">
        <f t="shared" si="1"/>
        <v/>
      </c>
    </row>
    <row r="41" spans="1:8" x14ac:dyDescent="0.25">
      <c r="A41" s="35"/>
      <c r="B41" s="36"/>
      <c r="C41" s="22"/>
      <c r="D41" s="22"/>
      <c r="E41" s="22"/>
      <c r="F41" s="37"/>
      <c r="G41" s="37"/>
      <c r="H41" s="34" t="str">
        <f t="shared" si="1"/>
        <v/>
      </c>
    </row>
    <row r="42" spans="1:8" x14ac:dyDescent="0.25">
      <c r="A42" s="31"/>
      <c r="B42" s="32"/>
      <c r="C42" s="25"/>
      <c r="D42" s="25"/>
      <c r="E42" s="25"/>
      <c r="F42" s="33"/>
      <c r="G42" s="33"/>
      <c r="H42" s="34" t="str">
        <f t="shared" si="1"/>
        <v/>
      </c>
    </row>
    <row r="43" spans="1:8" x14ac:dyDescent="0.25">
      <c r="A43" s="35"/>
      <c r="B43" s="36"/>
      <c r="C43" s="22"/>
      <c r="D43" s="22"/>
      <c r="E43" s="22"/>
      <c r="F43" s="37"/>
      <c r="G43" s="37"/>
      <c r="H43" s="34" t="str">
        <f t="shared" si="1"/>
        <v/>
      </c>
    </row>
    <row r="44" spans="1:8" x14ac:dyDescent="0.25">
      <c r="A44" s="31"/>
      <c r="B44" s="32"/>
      <c r="C44" s="25"/>
      <c r="D44" s="25"/>
      <c r="E44" s="25"/>
      <c r="F44" s="33"/>
      <c r="G44" s="33"/>
      <c r="H44" s="34" t="str">
        <f t="shared" si="1"/>
        <v/>
      </c>
    </row>
    <row r="45" spans="1:8" x14ac:dyDescent="0.25">
      <c r="A45" s="35"/>
      <c r="B45" s="36"/>
      <c r="C45" s="22"/>
      <c r="D45" s="22"/>
      <c r="E45" s="22"/>
      <c r="F45" s="37"/>
      <c r="G45" s="37"/>
      <c r="H45" s="34" t="str">
        <f t="shared" si="1"/>
        <v/>
      </c>
    </row>
    <row r="46" spans="1:8" x14ac:dyDescent="0.25">
      <c r="A46" s="31"/>
      <c r="B46" s="32"/>
      <c r="C46" s="25"/>
      <c r="D46" s="25"/>
      <c r="E46" s="25"/>
      <c r="F46" s="33"/>
      <c r="G46" s="33"/>
      <c r="H46" s="34" t="str">
        <f t="shared" si="1"/>
        <v/>
      </c>
    </row>
    <row r="47" spans="1:8" x14ac:dyDescent="0.25">
      <c r="A47" s="35"/>
      <c r="B47" s="36"/>
      <c r="C47" s="22"/>
      <c r="D47" s="22"/>
      <c r="E47" s="22"/>
      <c r="F47" s="37"/>
      <c r="G47" s="37"/>
      <c r="H47" s="34" t="str">
        <f t="shared" si="1"/>
        <v/>
      </c>
    </row>
    <row r="48" spans="1:8" x14ac:dyDescent="0.25">
      <c r="A48" s="31"/>
      <c r="B48" s="32"/>
      <c r="C48" s="25"/>
      <c r="D48" s="25"/>
      <c r="E48" s="25"/>
      <c r="F48" s="33"/>
      <c r="G48" s="33"/>
      <c r="H48" s="34" t="str">
        <f t="shared" si="1"/>
        <v/>
      </c>
    </row>
    <row r="49" spans="1:8" x14ac:dyDescent="0.25">
      <c r="A49" s="35"/>
      <c r="B49" s="36"/>
      <c r="C49" s="22"/>
      <c r="D49" s="22"/>
      <c r="E49" s="22"/>
      <c r="F49" s="37"/>
      <c r="G49" s="37"/>
      <c r="H49" s="34" t="str">
        <f t="shared" si="1"/>
        <v/>
      </c>
    </row>
    <row r="50" spans="1:8" x14ac:dyDescent="0.25">
      <c r="A50" s="31"/>
      <c r="B50" s="32"/>
      <c r="C50" s="25"/>
      <c r="D50" s="25"/>
      <c r="E50" s="25"/>
      <c r="F50" s="33"/>
      <c r="G50" s="33"/>
      <c r="H50" s="34" t="str">
        <f t="shared" si="1"/>
        <v/>
      </c>
    </row>
    <row r="51" spans="1:8" x14ac:dyDescent="0.25">
      <c r="A51" s="35"/>
      <c r="B51" s="36"/>
      <c r="C51" s="22"/>
      <c r="D51" s="22"/>
      <c r="E51" s="22"/>
      <c r="F51" s="37"/>
      <c r="G51" s="37"/>
      <c r="H51" s="34" t="str">
        <f t="shared" si="1"/>
        <v/>
      </c>
    </row>
    <row r="52" spans="1:8" x14ac:dyDescent="0.25">
      <c r="A52" s="31"/>
      <c r="B52" s="32"/>
      <c r="C52" s="25"/>
      <c r="D52" s="25"/>
      <c r="E52" s="25"/>
      <c r="F52" s="33"/>
      <c r="G52" s="33"/>
      <c r="H52" s="34" t="str">
        <f t="shared" si="1"/>
        <v/>
      </c>
    </row>
    <row r="53" spans="1:8" x14ac:dyDescent="0.25">
      <c r="A53" s="35"/>
      <c r="B53" s="36"/>
      <c r="C53" s="22"/>
      <c r="D53" s="22"/>
      <c r="E53" s="22"/>
      <c r="F53" s="37"/>
      <c r="G53" s="37"/>
      <c r="H53" s="34" t="str">
        <f t="shared" si="1"/>
        <v/>
      </c>
    </row>
    <row r="54" spans="1:8" x14ac:dyDescent="0.25">
      <c r="A54" s="31"/>
      <c r="B54" s="32"/>
      <c r="C54" s="25"/>
      <c r="D54" s="25"/>
      <c r="E54" s="25"/>
      <c r="F54" s="33"/>
      <c r="G54" s="33"/>
      <c r="H54" s="34" t="str">
        <f t="shared" si="1"/>
        <v/>
      </c>
    </row>
    <row r="55" spans="1:8" x14ac:dyDescent="0.25">
      <c r="A55" s="35"/>
      <c r="B55" s="36"/>
      <c r="C55" s="22"/>
      <c r="D55" s="22"/>
      <c r="E55" s="22"/>
      <c r="F55" s="37"/>
      <c r="G55" s="37"/>
      <c r="H55" s="34" t="str">
        <f t="shared" si="1"/>
        <v/>
      </c>
    </row>
    <row r="56" spans="1:8" x14ac:dyDescent="0.25">
      <c r="A56" s="31"/>
      <c r="B56" s="32"/>
      <c r="C56" s="25"/>
      <c r="D56" s="25"/>
      <c r="E56" s="25"/>
      <c r="F56" s="33"/>
      <c r="G56" s="33"/>
      <c r="H56" s="34" t="str">
        <f t="shared" si="1"/>
        <v/>
      </c>
    </row>
    <row r="57" spans="1:8" x14ac:dyDescent="0.25">
      <c r="A57" s="35"/>
      <c r="B57" s="36"/>
      <c r="C57" s="22"/>
      <c r="D57" s="22"/>
      <c r="E57" s="22"/>
      <c r="F57" s="37"/>
      <c r="G57" s="37"/>
      <c r="H57" s="34" t="str">
        <f t="shared" si="1"/>
        <v/>
      </c>
    </row>
    <row r="58" spans="1:8" x14ac:dyDescent="0.25">
      <c r="A58" s="31"/>
      <c r="B58" s="32"/>
      <c r="C58" s="25"/>
      <c r="D58" s="25"/>
      <c r="E58" s="25"/>
      <c r="F58" s="33"/>
      <c r="G58" s="33"/>
      <c r="H58" s="34" t="str">
        <f t="shared" si="1"/>
        <v/>
      </c>
    </row>
    <row r="59" spans="1:8" x14ac:dyDescent="0.25">
      <c r="A59" s="35"/>
      <c r="B59" s="36"/>
      <c r="C59" s="22"/>
      <c r="D59" s="22"/>
      <c r="E59" s="22"/>
      <c r="F59" s="37"/>
      <c r="G59" s="37"/>
      <c r="H59" s="34" t="str">
        <f t="shared" si="1"/>
        <v/>
      </c>
    </row>
    <row r="60" spans="1:8" x14ac:dyDescent="0.25">
      <c r="A60" s="31"/>
      <c r="B60" s="32"/>
      <c r="C60" s="25"/>
      <c r="D60" s="25"/>
      <c r="E60" s="25"/>
      <c r="F60" s="33"/>
      <c r="G60" s="33"/>
      <c r="H60" s="34" t="str">
        <f t="shared" si="1"/>
        <v/>
      </c>
    </row>
    <row r="61" spans="1:8" ht="19.5" customHeight="1" x14ac:dyDescent="0.25">
      <c r="A61" s="38"/>
      <c r="B61" s="38"/>
      <c r="C61" s="38"/>
      <c r="D61" s="38"/>
      <c r="E61" s="39" t="s">
        <v>110</v>
      </c>
      <c r="F61" s="40">
        <f>SUM(F6:F60)</f>
        <v>1917.8500000000001</v>
      </c>
      <c r="G61" s="40">
        <f>SUM(G6:G60)</f>
        <v>118.39999999999999</v>
      </c>
      <c r="H61" s="40">
        <f>SUM(H6:H60)</f>
        <v>1799.45</v>
      </c>
    </row>
  </sheetData>
  <mergeCells count="2">
    <mergeCell ref="A1:H2"/>
    <mergeCell ref="A3:H3"/>
  </mergeCells>
  <conditionalFormatting sqref="H6:H60">
    <cfRule type="cellIs" dxfId="11" priority="2" operator="greaterThan">
      <formula>0</formula>
    </cfRule>
    <cfRule type="cellIs" dxfId="10" priority="3" operator="lessThan">
      <formula>0</formula>
    </cfRule>
  </conditionalFormatting>
  <dataValidations count="1">
    <dataValidation type="decimal" operator="greaterThanOrEqual" allowBlank="1" errorTitle="Montant invalide" error="Saisissez un montant positif." sqref="F6:G60" xr:uid="{00000000-0002-0000-0200-000002000000}">
      <formula1>0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0000000}">
          <x14:formula1>
            <xm:f>Paramètres!$B$11:$B$15</xm:f>
          </x14:formula1>
          <x14:formula2>
            <xm:f>0</xm:f>
          </x14:formula2>
          <xm:sqref>E6:E60</xm:sqref>
        </x14:dataValidation>
        <x14:dataValidation type="list" allowBlank="1" xr:uid="{00000000-0002-0000-0200-000001000000}">
          <x14:formula1>
            <xm:f>Paramètres!$E$11:$E$22</xm:f>
          </x14:formula1>
          <x14:formula2>
            <xm:f>0</xm:f>
          </x14:formula2>
          <xm:sqref>D6:D60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showGridLines="0" zoomScaleNormal="100" workbookViewId="0">
      <selection sqref="A1:E2"/>
    </sheetView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62" customWidth="1"/>
    <col min="4" max="4" width="20" customWidth="1"/>
    <col min="5" max="5" width="2.42578125" customWidth="1"/>
  </cols>
  <sheetData>
    <row r="1" spans="1:5" ht="19.5" customHeight="1" x14ac:dyDescent="0.25">
      <c r="A1" s="14" t="s">
        <v>0</v>
      </c>
      <c r="B1" s="14"/>
      <c r="C1" s="14"/>
      <c r="D1" s="14"/>
      <c r="E1" s="14"/>
    </row>
    <row r="2" spans="1:5" ht="15.75" customHeight="1" x14ac:dyDescent="0.25">
      <c r="A2" s="14"/>
      <c r="B2" s="14"/>
      <c r="C2" s="14"/>
      <c r="D2" s="14"/>
      <c r="E2" s="14"/>
    </row>
    <row r="3" spans="1:5" ht="18" customHeight="1" x14ac:dyDescent="0.25">
      <c r="A3" s="13" t="s">
        <v>1</v>
      </c>
      <c r="B3" s="13"/>
      <c r="C3" s="13"/>
      <c r="D3" s="13"/>
      <c r="E3" s="13"/>
    </row>
    <row r="5" spans="1:5" ht="19.5" customHeight="1" x14ac:dyDescent="0.25">
      <c r="B5" s="12" t="s">
        <v>2</v>
      </c>
      <c r="C5" s="12"/>
      <c r="D5" s="12"/>
    </row>
    <row r="6" spans="1:5" ht="63.75" customHeight="1" x14ac:dyDescent="0.25">
      <c r="B6" s="11" t="s">
        <v>3</v>
      </c>
      <c r="C6" s="11"/>
      <c r="D6" s="11"/>
    </row>
    <row r="8" spans="1:5" ht="19.5" customHeight="1" x14ac:dyDescent="0.25">
      <c r="B8" s="12" t="s">
        <v>4</v>
      </c>
      <c r="C8" s="12"/>
      <c r="D8" s="12"/>
    </row>
    <row r="9" spans="1:5" ht="30" customHeight="1" x14ac:dyDescent="0.25">
      <c r="B9" s="15" t="s">
        <v>5</v>
      </c>
      <c r="C9" s="11" t="s">
        <v>6</v>
      </c>
      <c r="D9" s="11"/>
    </row>
    <row r="10" spans="1:5" ht="30" customHeight="1" x14ac:dyDescent="0.25">
      <c r="B10" s="15" t="s">
        <v>7</v>
      </c>
      <c r="C10" s="11" t="s">
        <v>8</v>
      </c>
      <c r="D10" s="11"/>
    </row>
    <row r="11" spans="1:5" ht="30" customHeight="1" x14ac:dyDescent="0.25">
      <c r="B11" s="15" t="s">
        <v>9</v>
      </c>
      <c r="C11" s="11" t="s">
        <v>10</v>
      </c>
      <c r="D11" s="11"/>
    </row>
    <row r="12" spans="1:5" ht="30" customHeight="1" x14ac:dyDescent="0.25">
      <c r="B12" s="15" t="s">
        <v>11</v>
      </c>
      <c r="C12" s="11" t="s">
        <v>12</v>
      </c>
      <c r="D12" s="11"/>
    </row>
    <row r="14" spans="1:5" ht="19.5" customHeight="1" x14ac:dyDescent="0.25">
      <c r="B14" s="12" t="s">
        <v>13</v>
      </c>
      <c r="C14" s="12"/>
      <c r="D14" s="12"/>
    </row>
    <row r="15" spans="1:5" ht="30" customHeight="1" x14ac:dyDescent="0.25">
      <c r="B15" s="15" t="s">
        <v>14</v>
      </c>
      <c r="C15" s="11" t="s">
        <v>15</v>
      </c>
      <c r="D15" s="11"/>
    </row>
    <row r="16" spans="1:5" ht="30" customHeight="1" x14ac:dyDescent="0.25">
      <c r="B16" s="15" t="s">
        <v>16</v>
      </c>
      <c r="C16" s="11" t="s">
        <v>17</v>
      </c>
      <c r="D16" s="11"/>
    </row>
    <row r="17" spans="2:4" ht="30" customHeight="1" x14ac:dyDescent="0.25">
      <c r="B17" s="15" t="s">
        <v>18</v>
      </c>
      <c r="C17" s="11" t="s">
        <v>19</v>
      </c>
      <c r="D17" s="11"/>
    </row>
    <row r="19" spans="2:4" ht="19.5" customHeight="1" x14ac:dyDescent="0.25">
      <c r="B19" s="12" t="s">
        <v>20</v>
      </c>
      <c r="C19" s="12"/>
      <c r="D19" s="12"/>
    </row>
    <row r="20" spans="2:4" ht="19.5" customHeight="1" x14ac:dyDescent="0.25">
      <c r="B20" s="16" t="s">
        <v>21</v>
      </c>
      <c r="C20" s="10" t="s">
        <v>22</v>
      </c>
      <c r="D20" s="10"/>
    </row>
    <row r="21" spans="2:4" ht="19.5" customHeight="1" x14ac:dyDescent="0.25">
      <c r="B21" s="17" t="s">
        <v>23</v>
      </c>
      <c r="C21" s="10" t="s">
        <v>24</v>
      </c>
      <c r="D21" s="10"/>
    </row>
    <row r="22" spans="2:4" ht="19.5" customHeight="1" x14ac:dyDescent="0.25">
      <c r="B22" s="18" t="s">
        <v>25</v>
      </c>
      <c r="C22" s="10" t="s">
        <v>26</v>
      </c>
      <c r="D22" s="10"/>
    </row>
    <row r="24" spans="2:4" x14ac:dyDescent="0.25">
      <c r="B24" s="9" t="s">
        <v>27</v>
      </c>
      <c r="C24" s="9"/>
      <c r="D24" s="9"/>
    </row>
  </sheetData>
  <mergeCells count="18">
    <mergeCell ref="C21:D21"/>
    <mergeCell ref="C22:D22"/>
    <mergeCell ref="B24:D24"/>
    <mergeCell ref="C15:D15"/>
    <mergeCell ref="C16:D16"/>
    <mergeCell ref="C17:D17"/>
    <mergeCell ref="B19:D19"/>
    <mergeCell ref="C20:D20"/>
    <mergeCell ref="C9:D9"/>
    <mergeCell ref="C10:D10"/>
    <mergeCell ref="C11:D11"/>
    <mergeCell ref="C12:D12"/>
    <mergeCell ref="B14:D14"/>
    <mergeCell ref="A1:E2"/>
    <mergeCell ref="A3:E3"/>
    <mergeCell ref="B5:D5"/>
    <mergeCell ref="B6:D6"/>
    <mergeCell ref="B8:D8"/>
  </mergeCells>
  <pageMargins left="0.75" right="0.75" top="1" bottom="1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7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20" customWidth="1"/>
    <col min="4" max="4" width="4" customWidth="1"/>
    <col min="5" max="5" width="30" customWidth="1"/>
    <col min="6" max="6" width="4" customWidth="1"/>
    <col min="7" max="7" width="26" customWidth="1"/>
    <col min="8" max="8" width="4" customWidth="1"/>
    <col min="9" max="9" width="14" customWidth="1"/>
    <col min="10" max="10" width="12" customWidth="1"/>
    <col min="11" max="11" width="3" customWidth="1"/>
  </cols>
  <sheetData>
    <row r="1" spans="1:10" ht="19.5" customHeight="1" x14ac:dyDescent="0.2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8" customHeight="1" x14ac:dyDescent="0.25">
      <c r="A3" s="13" t="s">
        <v>29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8" customHeight="1" x14ac:dyDescent="0.25">
      <c r="B4" s="8" t="s">
        <v>30</v>
      </c>
      <c r="C4" s="8"/>
    </row>
    <row r="5" spans="1:10" x14ac:dyDescent="0.25">
      <c r="B5" s="20" t="s">
        <v>31</v>
      </c>
      <c r="C5" s="21">
        <v>150</v>
      </c>
    </row>
    <row r="6" spans="1:10" x14ac:dyDescent="0.25">
      <c r="B6" s="22" t="s">
        <v>32</v>
      </c>
      <c r="C6" s="21">
        <v>2</v>
      </c>
    </row>
    <row r="7" spans="1:10" x14ac:dyDescent="0.25">
      <c r="B7" s="20" t="s">
        <v>33</v>
      </c>
      <c r="C7" s="21">
        <v>500</v>
      </c>
    </row>
    <row r="9" spans="1:10" ht="18" customHeight="1" x14ac:dyDescent="0.25">
      <c r="B9" s="19" t="s">
        <v>34</v>
      </c>
      <c r="E9" s="19" t="s">
        <v>35</v>
      </c>
      <c r="G9" s="19" t="s">
        <v>36</v>
      </c>
      <c r="I9" s="8" t="s">
        <v>37</v>
      </c>
      <c r="J9" s="8"/>
    </row>
    <row r="10" spans="1:10" x14ac:dyDescent="0.25">
      <c r="B10" s="23" t="s">
        <v>38</v>
      </c>
      <c r="E10" s="23" t="s">
        <v>39</v>
      </c>
      <c r="G10" s="23" t="s">
        <v>40</v>
      </c>
      <c r="I10" s="24" t="s">
        <v>41</v>
      </c>
      <c r="J10" s="24" t="s">
        <v>42</v>
      </c>
    </row>
    <row r="11" spans="1:10" x14ac:dyDescent="0.25">
      <c r="B11" s="25" t="s">
        <v>43</v>
      </c>
      <c r="E11" s="25" t="s">
        <v>44</v>
      </c>
      <c r="G11" s="25" t="s">
        <v>45</v>
      </c>
      <c r="I11" s="26">
        <v>500</v>
      </c>
      <c r="J11" s="27" t="s">
        <v>46</v>
      </c>
    </row>
    <row r="12" spans="1:10" x14ac:dyDescent="0.25">
      <c r="B12" s="22" t="s">
        <v>47</v>
      </c>
      <c r="E12" s="22" t="s">
        <v>48</v>
      </c>
      <c r="G12" s="22" t="s">
        <v>49</v>
      </c>
      <c r="I12" s="28">
        <v>200</v>
      </c>
      <c r="J12" s="29" t="s">
        <v>46</v>
      </c>
    </row>
    <row r="13" spans="1:10" x14ac:dyDescent="0.25">
      <c r="B13" s="25" t="s">
        <v>50</v>
      </c>
      <c r="E13" s="25" t="s">
        <v>51</v>
      </c>
      <c r="G13" s="25" t="s">
        <v>52</v>
      </c>
      <c r="I13" s="26">
        <v>100</v>
      </c>
      <c r="J13" s="27" t="s">
        <v>46</v>
      </c>
    </row>
    <row r="14" spans="1:10" x14ac:dyDescent="0.25">
      <c r="B14" s="22" t="s">
        <v>53</v>
      </c>
      <c r="E14" s="22" t="s">
        <v>54</v>
      </c>
      <c r="G14" s="22" t="s">
        <v>55</v>
      </c>
      <c r="I14" s="28">
        <v>50</v>
      </c>
      <c r="J14" s="29" t="s">
        <v>46</v>
      </c>
    </row>
    <row r="15" spans="1:10" x14ac:dyDescent="0.25">
      <c r="B15" s="25" t="s">
        <v>56</v>
      </c>
      <c r="E15" s="25" t="s">
        <v>57</v>
      </c>
      <c r="I15" s="26">
        <v>20</v>
      </c>
      <c r="J15" s="27" t="s">
        <v>46</v>
      </c>
    </row>
    <row r="16" spans="1:10" x14ac:dyDescent="0.25">
      <c r="E16" s="22" t="s">
        <v>58</v>
      </c>
      <c r="I16" s="28">
        <v>10</v>
      </c>
      <c r="J16" s="29" t="s">
        <v>46</v>
      </c>
    </row>
    <row r="17" spans="2:10" x14ac:dyDescent="0.25">
      <c r="E17" s="25" t="s">
        <v>59</v>
      </c>
      <c r="I17" s="26">
        <v>5</v>
      </c>
      <c r="J17" s="27" t="s">
        <v>46</v>
      </c>
    </row>
    <row r="18" spans="2:10" x14ac:dyDescent="0.25">
      <c r="E18" s="22" t="s">
        <v>60</v>
      </c>
      <c r="I18" s="28">
        <v>2</v>
      </c>
      <c r="J18" s="29" t="s">
        <v>61</v>
      </c>
    </row>
    <row r="19" spans="2:10" x14ac:dyDescent="0.25">
      <c r="E19" s="25" t="s">
        <v>62</v>
      </c>
      <c r="I19" s="26">
        <v>1</v>
      </c>
      <c r="J19" s="27" t="s">
        <v>61</v>
      </c>
    </row>
    <row r="20" spans="2:10" x14ac:dyDescent="0.25">
      <c r="E20" s="22" t="s">
        <v>63</v>
      </c>
      <c r="I20" s="28">
        <v>0.5</v>
      </c>
      <c r="J20" s="29" t="s">
        <v>61</v>
      </c>
    </row>
    <row r="21" spans="2:10" x14ac:dyDescent="0.25">
      <c r="E21" s="25" t="s">
        <v>64</v>
      </c>
      <c r="I21" s="26">
        <v>0.2</v>
      </c>
      <c r="J21" s="27" t="s">
        <v>61</v>
      </c>
    </row>
    <row r="22" spans="2:10" x14ac:dyDescent="0.25">
      <c r="E22" s="22" t="s">
        <v>65</v>
      </c>
      <c r="I22" s="28">
        <v>0.1</v>
      </c>
      <c r="J22" s="29" t="s">
        <v>61</v>
      </c>
    </row>
    <row r="23" spans="2:10" x14ac:dyDescent="0.25">
      <c r="I23" s="26">
        <v>0.05</v>
      </c>
      <c r="J23" s="27" t="s">
        <v>61</v>
      </c>
    </row>
    <row r="24" spans="2:10" x14ac:dyDescent="0.25">
      <c r="I24" s="28">
        <v>0.02</v>
      </c>
      <c r="J24" s="29" t="s">
        <v>61</v>
      </c>
    </row>
    <row r="25" spans="2:10" x14ac:dyDescent="0.25">
      <c r="I25" s="26">
        <v>0.01</v>
      </c>
      <c r="J25" s="27" t="s">
        <v>61</v>
      </c>
    </row>
    <row r="27" spans="2:10" x14ac:dyDescent="0.25">
      <c r="B27" s="9" t="s">
        <v>66</v>
      </c>
      <c r="C27" s="9"/>
      <c r="D27" s="9"/>
      <c r="E27" s="9"/>
      <c r="F27" s="9"/>
      <c r="G27" s="9"/>
      <c r="H27" s="9"/>
    </row>
  </sheetData>
  <mergeCells count="5">
    <mergeCell ref="A1:J2"/>
    <mergeCell ref="A3:J3"/>
    <mergeCell ref="B4:C4"/>
    <mergeCell ref="I9:J9"/>
    <mergeCell ref="B27:H27"/>
  </mergeCells>
  <pageMargins left="0.75" right="0.75" top="1" bottom="1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7"/>
  <sheetViews>
    <sheetView showGridLines="0" zoomScaleNormal="100" workbookViewId="0">
      <pane ySplit="6" topLeftCell="A7" activePane="bottomLeft" state="frozen"/>
      <selection pane="bottomLeft" sqref="A1:N2"/>
    </sheetView>
  </sheetViews>
  <sheetFormatPr baseColWidth="10" defaultColWidth="8.7109375" defaultRowHeight="15" x14ac:dyDescent="0.25"/>
  <cols>
    <col min="1" max="1" width="12.42578125" customWidth="1"/>
    <col min="2" max="2" width="17" customWidth="1"/>
    <col min="3" max="3" width="13.42578125" customWidth="1"/>
    <col min="4" max="4" width="12.42578125" customWidth="1"/>
    <col min="5" max="5" width="11" customWidth="1"/>
    <col min="6" max="6" width="11.42578125" customWidth="1"/>
    <col min="7" max="7" width="10" customWidth="1"/>
    <col min="8" max="9" width="13" customWidth="1"/>
    <col min="10" max="10" width="14" customWidth="1"/>
    <col min="11" max="11" width="13" customWidth="1"/>
    <col min="12" max="12" width="11.42578125" customWidth="1"/>
    <col min="13" max="14" width="12.42578125" customWidth="1"/>
    <col min="15" max="15" width="3" customWidth="1"/>
    <col min="16" max="16" width="14" customWidth="1"/>
    <col min="17" max="17" width="11" customWidth="1"/>
    <col min="18" max="18" width="13" customWidth="1"/>
  </cols>
  <sheetData>
    <row r="1" spans="1:18" ht="19.5" customHeight="1" x14ac:dyDescent="0.25">
      <c r="A1" s="14" t="s">
        <v>111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8" ht="18" customHeight="1" x14ac:dyDescent="0.25">
      <c r="A3" s="13" t="s">
        <v>112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8" x14ac:dyDescent="0.25">
      <c r="P4" s="7" t="s">
        <v>113</v>
      </c>
      <c r="Q4" s="7"/>
      <c r="R4" s="7"/>
    </row>
    <row r="6" spans="1:18" ht="33.75" customHeight="1" x14ac:dyDescent="0.25">
      <c r="A6" s="41" t="s">
        <v>69</v>
      </c>
      <c r="B6" s="41" t="s">
        <v>40</v>
      </c>
      <c r="C6" s="41" t="s">
        <v>114</v>
      </c>
      <c r="D6" s="41" t="s">
        <v>115</v>
      </c>
      <c r="E6" s="41" t="s">
        <v>116</v>
      </c>
      <c r="F6" s="41" t="s">
        <v>117</v>
      </c>
      <c r="G6" s="41" t="s">
        <v>118</v>
      </c>
      <c r="H6" s="41" t="s">
        <v>119</v>
      </c>
      <c r="I6" s="41" t="s">
        <v>120</v>
      </c>
      <c r="J6" s="41" t="s">
        <v>121</v>
      </c>
      <c r="K6" s="41" t="s">
        <v>122</v>
      </c>
      <c r="L6" s="41" t="s">
        <v>123</v>
      </c>
      <c r="M6" s="41" t="s">
        <v>124</v>
      </c>
      <c r="N6" s="41" t="s">
        <v>125</v>
      </c>
      <c r="P6" s="42" t="s">
        <v>126</v>
      </c>
      <c r="Q6" s="42" t="s">
        <v>127</v>
      </c>
      <c r="R6" s="42" t="s">
        <v>128</v>
      </c>
    </row>
    <row r="7" spans="1:18" x14ac:dyDescent="0.25">
      <c r="A7" s="43">
        <v>46391</v>
      </c>
      <c r="B7" s="44" t="s">
        <v>45</v>
      </c>
      <c r="C7" s="45">
        <v>150</v>
      </c>
      <c r="D7" s="46">
        <f>IF($A7="","",SUMIFS('Journal de caisse'!$F$6:$F$60,'Journal de caisse'!$A$6:$A$60,$A7,'Journal de caisse'!$E$6:$E$60,"Espèces"))</f>
        <v>355.5</v>
      </c>
      <c r="E7" s="46">
        <f>IF($A7="","",SUMIFS('Journal de caisse'!$F$6:$F$60,'Journal de caisse'!$A$6:$A$60,$A7,'Journal de caisse'!$E$6:$E$60,"Carte bancaire"))</f>
        <v>89.9</v>
      </c>
      <c r="F7" s="46">
        <f>IF($A7="","",SUMIFS('Journal de caisse'!$F$6:$F$60,'Journal de caisse'!$A$6:$A$60,$A7,'Journal de caisse'!$E$6:$E$60,"Chèque"))</f>
        <v>120</v>
      </c>
      <c r="G7" s="46">
        <f>IF($A7="","",SUMIFS('Journal de caisse'!$F$6:$F$60,'Journal de caisse'!$A$6:$A$60,$A7,'Journal de caisse'!$E$6:$E$60,"Ticket restaurant"))</f>
        <v>19.8</v>
      </c>
      <c r="H7" s="46">
        <f>IF($A7="","",SUMIFS('Journal de caisse'!$F$6:$F$60,'Journal de caisse'!$A$6:$A$60,$A7))</f>
        <v>585.20000000000005</v>
      </c>
      <c r="I7" s="46">
        <f>IF($A7="","",SUMIFS('Journal de caisse'!$G$6:$G$60,'Journal de caisse'!$A$6:$A$60,$A7,'Journal de caisse'!$E$6:$E$60,"Espèces"))</f>
        <v>32.4</v>
      </c>
      <c r="J7" s="47">
        <f t="shared" ref="J7:J26" si="0">IF($A7="","",$C7+$D7-$I7)</f>
        <v>473.1</v>
      </c>
      <c r="K7" s="45">
        <v>473.1</v>
      </c>
      <c r="L7" s="46">
        <f t="shared" ref="L7:L26" si="1">IF(OR($A7="",$K7=""),"",$K7-$J7)</f>
        <v>0</v>
      </c>
      <c r="M7" s="48" t="str">
        <f>IF($L7="","",IF($L7=0,"Conforme",IF(ABS($L7)&lt;=Paramètres!$C$6,"Écart toléré","À justifier")))</f>
        <v>Conforme</v>
      </c>
      <c r="N7" s="45">
        <v>320</v>
      </c>
      <c r="P7" s="49">
        <f>Paramètres!$I$11</f>
        <v>500</v>
      </c>
      <c r="Q7" s="50">
        <v>0</v>
      </c>
      <c r="R7" s="51">
        <f t="shared" ref="R7:R21" si="2">P7*Q7</f>
        <v>0</v>
      </c>
    </row>
    <row r="8" spans="1:18" x14ac:dyDescent="0.25">
      <c r="A8" s="52">
        <v>46392</v>
      </c>
      <c r="B8" s="53" t="s">
        <v>49</v>
      </c>
      <c r="C8" s="54">
        <v>150</v>
      </c>
      <c r="D8" s="55">
        <f>IF($A8="","",SUMIFS('Journal de caisse'!$F$6:$F$60,'Journal de caisse'!$A$6:$A$60,$A8,'Journal de caisse'!$E$6:$E$60,"Espèces"))</f>
        <v>190.25</v>
      </c>
      <c r="E8" s="55">
        <f>IF($A8="","",SUMIFS('Journal de caisse'!$F$6:$F$60,'Journal de caisse'!$A$6:$A$60,$A8,'Journal de caisse'!$E$6:$E$60,"Carte bancaire"))</f>
        <v>245</v>
      </c>
      <c r="F8" s="55">
        <f>IF($A8="","",SUMIFS('Journal de caisse'!$F$6:$F$60,'Journal de caisse'!$A$6:$A$60,$A8,'Journal de caisse'!$E$6:$E$60,"Chèque"))</f>
        <v>300</v>
      </c>
      <c r="G8" s="55">
        <f>IF($A8="","",SUMIFS('Journal de caisse'!$F$6:$F$60,'Journal de caisse'!$A$6:$A$60,$A8,'Journal de caisse'!$E$6:$E$60,"Ticket restaurant"))</f>
        <v>25.4</v>
      </c>
      <c r="H8" s="55">
        <f>IF($A8="","",SUMIFS('Journal de caisse'!$F$6:$F$60,'Journal de caisse'!$A$6:$A$60,$A8))</f>
        <v>760.65</v>
      </c>
      <c r="I8" s="55">
        <f>IF($A8="","",SUMIFS('Journal de caisse'!$G$6:$G$60,'Journal de caisse'!$A$6:$A$60,$A8,'Journal de caisse'!$E$6:$E$60,"Espèces"))</f>
        <v>37.5</v>
      </c>
      <c r="J8" s="56">
        <f t="shared" si="0"/>
        <v>302.75</v>
      </c>
      <c r="K8" s="54">
        <v>302.25</v>
      </c>
      <c r="L8" s="55">
        <f t="shared" si="1"/>
        <v>-0.5</v>
      </c>
      <c r="M8" s="57" t="str">
        <f>IF($L8="","",IF($L8=0,"Conforme",IF(ABS($L8)&lt;=Paramètres!$C$6,"Écart toléré","À justifier")))</f>
        <v>Écart toléré</v>
      </c>
      <c r="N8" s="54">
        <v>150</v>
      </c>
      <c r="P8" s="58">
        <f>Paramètres!$I$12</f>
        <v>200</v>
      </c>
      <c r="Q8" s="50">
        <v>0</v>
      </c>
      <c r="R8" s="59">
        <f t="shared" si="2"/>
        <v>0</v>
      </c>
    </row>
    <row r="9" spans="1:18" x14ac:dyDescent="0.25">
      <c r="A9" s="43">
        <v>46393</v>
      </c>
      <c r="B9" s="44" t="s">
        <v>52</v>
      </c>
      <c r="C9" s="45">
        <v>150</v>
      </c>
      <c r="D9" s="46">
        <f>IF($A9="","",SUMIFS('Journal de caisse'!$F$6:$F$60,'Journal de caisse'!$A$6:$A$60,$A9,'Journal de caisse'!$E$6:$E$60,"Espèces"))</f>
        <v>320.3</v>
      </c>
      <c r="E9" s="46">
        <f>IF($A9="","",SUMIFS('Journal de caisse'!$F$6:$F$60,'Journal de caisse'!$A$6:$A$60,$A9,'Journal de caisse'!$E$6:$E$60,"Carte bancaire"))</f>
        <v>251.7</v>
      </c>
      <c r="F9" s="46">
        <f>IF($A9="","",SUMIFS('Journal de caisse'!$F$6:$F$60,'Journal de caisse'!$A$6:$A$60,$A9,'Journal de caisse'!$E$6:$E$60,"Chèque"))</f>
        <v>0</v>
      </c>
      <c r="G9" s="46">
        <f>IF($A9="","",SUMIFS('Journal de caisse'!$F$6:$F$60,'Journal de caisse'!$A$6:$A$60,$A9,'Journal de caisse'!$E$6:$E$60,"Ticket restaurant"))</f>
        <v>0</v>
      </c>
      <c r="H9" s="46">
        <f>IF($A9="","",SUMIFS('Journal de caisse'!$F$6:$F$60,'Journal de caisse'!$A$6:$A$60,$A9))</f>
        <v>572</v>
      </c>
      <c r="I9" s="46">
        <f>IF($A9="","",SUMIFS('Journal de caisse'!$G$6:$G$60,'Journal de caisse'!$A$6:$A$60,$A9,'Journal de caisse'!$E$6:$E$60,"Espèces"))</f>
        <v>48.5</v>
      </c>
      <c r="J9" s="47">
        <f t="shared" si="0"/>
        <v>421.8</v>
      </c>
      <c r="K9" s="45">
        <v>426.8</v>
      </c>
      <c r="L9" s="46">
        <f t="shared" si="1"/>
        <v>5</v>
      </c>
      <c r="M9" s="48" t="str">
        <f>IF($L9="","",IF($L9=0,"Conforme",IF(ABS($L9)&lt;=Paramètres!$C$6,"Écart toléré","À justifier")))</f>
        <v>À justifier</v>
      </c>
      <c r="N9" s="45">
        <v>270</v>
      </c>
      <c r="P9" s="49">
        <f>Paramètres!$I$13</f>
        <v>100</v>
      </c>
      <c r="Q9" s="50">
        <v>1</v>
      </c>
      <c r="R9" s="51">
        <f t="shared" si="2"/>
        <v>100</v>
      </c>
    </row>
    <row r="10" spans="1:18" x14ac:dyDescent="0.25">
      <c r="A10" s="52"/>
      <c r="B10" s="53"/>
      <c r="C10" s="54"/>
      <c r="D10" s="55" t="str">
        <f>IF($A10="","",SUMIFS('Journal de caisse'!$F$6:$F$60,'Journal de caisse'!$A$6:$A$60,$A10,'Journal de caisse'!$E$6:$E$60,"Espèces"))</f>
        <v/>
      </c>
      <c r="E10" s="55" t="str">
        <f>IF($A10="","",SUMIFS('Journal de caisse'!$F$6:$F$60,'Journal de caisse'!$A$6:$A$60,$A10,'Journal de caisse'!$E$6:$E$60,"Carte bancaire"))</f>
        <v/>
      </c>
      <c r="F10" s="55" t="str">
        <f>IF($A10="","",SUMIFS('Journal de caisse'!$F$6:$F$60,'Journal de caisse'!$A$6:$A$60,$A10,'Journal de caisse'!$E$6:$E$60,"Chèque"))</f>
        <v/>
      </c>
      <c r="G10" s="55" t="str">
        <f>IF($A10="","",SUMIFS('Journal de caisse'!$F$6:$F$60,'Journal de caisse'!$A$6:$A$60,$A10,'Journal de caisse'!$E$6:$E$60,"Ticket restaurant"))</f>
        <v/>
      </c>
      <c r="H10" s="55" t="str">
        <f>IF($A10="","",SUMIFS('Journal de caisse'!$F$6:$F$60,'Journal de caisse'!$A$6:$A$60,$A10))</f>
        <v/>
      </c>
      <c r="I10" s="55" t="str">
        <f>IF($A10="","",SUMIFS('Journal de caisse'!$G$6:$G$60,'Journal de caisse'!$A$6:$A$60,$A10,'Journal de caisse'!$E$6:$E$60,"Espèces"))</f>
        <v/>
      </c>
      <c r="J10" s="56" t="str">
        <f t="shared" si="0"/>
        <v/>
      </c>
      <c r="K10" s="54"/>
      <c r="L10" s="55" t="str">
        <f t="shared" si="1"/>
        <v/>
      </c>
      <c r="M10" s="57" t="str">
        <f>IF($L10="","",IF($L10=0,"Conforme",IF(ABS($L10)&lt;=Paramètres!$C$6,"Écart toléré","À justifier")))</f>
        <v/>
      </c>
      <c r="N10" s="54"/>
      <c r="P10" s="58">
        <f>Paramètres!$I$14</f>
        <v>50</v>
      </c>
      <c r="Q10" s="50">
        <v>3</v>
      </c>
      <c r="R10" s="59">
        <f t="shared" si="2"/>
        <v>150</v>
      </c>
    </row>
    <row r="11" spans="1:18" x14ac:dyDescent="0.25">
      <c r="A11" s="43"/>
      <c r="B11" s="44"/>
      <c r="C11" s="45"/>
      <c r="D11" s="46" t="str">
        <f>IF($A11="","",SUMIFS('Journal de caisse'!$F$6:$F$60,'Journal de caisse'!$A$6:$A$60,$A11,'Journal de caisse'!$E$6:$E$60,"Espèces"))</f>
        <v/>
      </c>
      <c r="E11" s="46" t="str">
        <f>IF($A11="","",SUMIFS('Journal de caisse'!$F$6:$F$60,'Journal de caisse'!$A$6:$A$60,$A11,'Journal de caisse'!$E$6:$E$60,"Carte bancaire"))</f>
        <v/>
      </c>
      <c r="F11" s="46" t="str">
        <f>IF($A11="","",SUMIFS('Journal de caisse'!$F$6:$F$60,'Journal de caisse'!$A$6:$A$60,$A11,'Journal de caisse'!$E$6:$E$60,"Chèque"))</f>
        <v/>
      </c>
      <c r="G11" s="46" t="str">
        <f>IF($A11="","",SUMIFS('Journal de caisse'!$F$6:$F$60,'Journal de caisse'!$A$6:$A$60,$A11,'Journal de caisse'!$E$6:$E$60,"Ticket restaurant"))</f>
        <v/>
      </c>
      <c r="H11" s="46" t="str">
        <f>IF($A11="","",SUMIFS('Journal de caisse'!$F$6:$F$60,'Journal de caisse'!$A$6:$A$60,$A11))</f>
        <v/>
      </c>
      <c r="I11" s="46" t="str">
        <f>IF($A11="","",SUMIFS('Journal de caisse'!$G$6:$G$60,'Journal de caisse'!$A$6:$A$60,$A11,'Journal de caisse'!$E$6:$E$60,"Espèces"))</f>
        <v/>
      </c>
      <c r="J11" s="47" t="str">
        <f t="shared" si="0"/>
        <v/>
      </c>
      <c r="K11" s="45"/>
      <c r="L11" s="46" t="str">
        <f t="shared" si="1"/>
        <v/>
      </c>
      <c r="M11" s="48" t="str">
        <f>IF($L11="","",IF($L11=0,"Conforme",IF(ABS($L11)&lt;=Paramètres!$C$6,"Écart toléré","À justifier")))</f>
        <v/>
      </c>
      <c r="N11" s="45"/>
      <c r="P11" s="49">
        <f>Paramètres!$I$15</f>
        <v>20</v>
      </c>
      <c r="Q11" s="50">
        <v>6</v>
      </c>
      <c r="R11" s="51">
        <f t="shared" si="2"/>
        <v>120</v>
      </c>
    </row>
    <row r="12" spans="1:18" x14ac:dyDescent="0.25">
      <c r="A12" s="52"/>
      <c r="B12" s="53"/>
      <c r="C12" s="54"/>
      <c r="D12" s="55" t="str">
        <f>IF($A12="","",SUMIFS('Journal de caisse'!$F$6:$F$60,'Journal de caisse'!$A$6:$A$60,$A12,'Journal de caisse'!$E$6:$E$60,"Espèces"))</f>
        <v/>
      </c>
      <c r="E12" s="55" t="str">
        <f>IF($A12="","",SUMIFS('Journal de caisse'!$F$6:$F$60,'Journal de caisse'!$A$6:$A$60,$A12,'Journal de caisse'!$E$6:$E$60,"Carte bancaire"))</f>
        <v/>
      </c>
      <c r="F12" s="55" t="str">
        <f>IF($A12="","",SUMIFS('Journal de caisse'!$F$6:$F$60,'Journal de caisse'!$A$6:$A$60,$A12,'Journal de caisse'!$E$6:$E$60,"Chèque"))</f>
        <v/>
      </c>
      <c r="G12" s="55" t="str">
        <f>IF($A12="","",SUMIFS('Journal de caisse'!$F$6:$F$60,'Journal de caisse'!$A$6:$A$60,$A12,'Journal de caisse'!$E$6:$E$60,"Ticket restaurant"))</f>
        <v/>
      </c>
      <c r="H12" s="55" t="str">
        <f>IF($A12="","",SUMIFS('Journal de caisse'!$F$6:$F$60,'Journal de caisse'!$A$6:$A$60,$A12))</f>
        <v/>
      </c>
      <c r="I12" s="55" t="str">
        <f>IF($A12="","",SUMIFS('Journal de caisse'!$G$6:$G$60,'Journal de caisse'!$A$6:$A$60,$A12,'Journal de caisse'!$E$6:$E$60,"Espèces"))</f>
        <v/>
      </c>
      <c r="J12" s="56" t="str">
        <f t="shared" si="0"/>
        <v/>
      </c>
      <c r="K12" s="54"/>
      <c r="L12" s="55" t="str">
        <f t="shared" si="1"/>
        <v/>
      </c>
      <c r="M12" s="57" t="str">
        <f>IF($L12="","",IF($L12=0,"Conforme",IF(ABS($L12)&lt;=Paramètres!$C$6,"Écart toléré","À justifier")))</f>
        <v/>
      </c>
      <c r="N12" s="54"/>
      <c r="P12" s="58">
        <f>Paramètres!$I$16</f>
        <v>10</v>
      </c>
      <c r="Q12" s="50">
        <v>4</v>
      </c>
      <c r="R12" s="59">
        <f t="shared" si="2"/>
        <v>40</v>
      </c>
    </row>
    <row r="13" spans="1:18" x14ac:dyDescent="0.25">
      <c r="A13" s="43"/>
      <c r="B13" s="44"/>
      <c r="C13" s="45"/>
      <c r="D13" s="46" t="str">
        <f>IF($A13="","",SUMIFS('Journal de caisse'!$F$6:$F$60,'Journal de caisse'!$A$6:$A$60,$A13,'Journal de caisse'!$E$6:$E$60,"Espèces"))</f>
        <v/>
      </c>
      <c r="E13" s="46" t="str">
        <f>IF($A13="","",SUMIFS('Journal de caisse'!$F$6:$F$60,'Journal de caisse'!$A$6:$A$60,$A13,'Journal de caisse'!$E$6:$E$60,"Carte bancaire"))</f>
        <v/>
      </c>
      <c r="F13" s="46" t="str">
        <f>IF($A13="","",SUMIFS('Journal de caisse'!$F$6:$F$60,'Journal de caisse'!$A$6:$A$60,$A13,'Journal de caisse'!$E$6:$E$60,"Chèque"))</f>
        <v/>
      </c>
      <c r="G13" s="46" t="str">
        <f>IF($A13="","",SUMIFS('Journal de caisse'!$F$6:$F$60,'Journal de caisse'!$A$6:$A$60,$A13,'Journal de caisse'!$E$6:$E$60,"Ticket restaurant"))</f>
        <v/>
      </c>
      <c r="H13" s="46" t="str">
        <f>IF($A13="","",SUMIFS('Journal de caisse'!$F$6:$F$60,'Journal de caisse'!$A$6:$A$60,$A13))</f>
        <v/>
      </c>
      <c r="I13" s="46" t="str">
        <f>IF($A13="","",SUMIFS('Journal de caisse'!$G$6:$G$60,'Journal de caisse'!$A$6:$A$60,$A13,'Journal de caisse'!$E$6:$E$60,"Espèces"))</f>
        <v/>
      </c>
      <c r="J13" s="47" t="str">
        <f t="shared" si="0"/>
        <v/>
      </c>
      <c r="K13" s="45"/>
      <c r="L13" s="46" t="str">
        <f t="shared" si="1"/>
        <v/>
      </c>
      <c r="M13" s="48" t="str">
        <f>IF($L13="","",IF($L13=0,"Conforme",IF(ABS($L13)&lt;=Paramètres!$C$6,"Écart toléré","À justifier")))</f>
        <v/>
      </c>
      <c r="N13" s="45"/>
      <c r="P13" s="49">
        <f>Paramètres!$I$17</f>
        <v>5</v>
      </c>
      <c r="Q13" s="50">
        <v>2</v>
      </c>
      <c r="R13" s="51">
        <f t="shared" si="2"/>
        <v>10</v>
      </c>
    </row>
    <row r="14" spans="1:18" x14ac:dyDescent="0.25">
      <c r="A14" s="52"/>
      <c r="B14" s="53"/>
      <c r="C14" s="54"/>
      <c r="D14" s="55" t="str">
        <f>IF($A14="","",SUMIFS('Journal de caisse'!$F$6:$F$60,'Journal de caisse'!$A$6:$A$60,$A14,'Journal de caisse'!$E$6:$E$60,"Espèces"))</f>
        <v/>
      </c>
      <c r="E14" s="55" t="str">
        <f>IF($A14="","",SUMIFS('Journal de caisse'!$F$6:$F$60,'Journal de caisse'!$A$6:$A$60,$A14,'Journal de caisse'!$E$6:$E$60,"Carte bancaire"))</f>
        <v/>
      </c>
      <c r="F14" s="55" t="str">
        <f>IF($A14="","",SUMIFS('Journal de caisse'!$F$6:$F$60,'Journal de caisse'!$A$6:$A$60,$A14,'Journal de caisse'!$E$6:$E$60,"Chèque"))</f>
        <v/>
      </c>
      <c r="G14" s="55" t="str">
        <f>IF($A14="","",SUMIFS('Journal de caisse'!$F$6:$F$60,'Journal de caisse'!$A$6:$A$60,$A14,'Journal de caisse'!$E$6:$E$60,"Ticket restaurant"))</f>
        <v/>
      </c>
      <c r="H14" s="55" t="str">
        <f>IF($A14="","",SUMIFS('Journal de caisse'!$F$6:$F$60,'Journal de caisse'!$A$6:$A$60,$A14))</f>
        <v/>
      </c>
      <c r="I14" s="55" t="str">
        <f>IF($A14="","",SUMIFS('Journal de caisse'!$G$6:$G$60,'Journal de caisse'!$A$6:$A$60,$A14,'Journal de caisse'!$E$6:$E$60,"Espèces"))</f>
        <v/>
      </c>
      <c r="J14" s="56" t="str">
        <f t="shared" si="0"/>
        <v/>
      </c>
      <c r="K14" s="54"/>
      <c r="L14" s="55" t="str">
        <f t="shared" si="1"/>
        <v/>
      </c>
      <c r="M14" s="57" t="str">
        <f>IF($L14="","",IF($L14=0,"Conforme",IF(ABS($L14)&lt;=Paramètres!$C$6,"Écart toléré","À justifier")))</f>
        <v/>
      </c>
      <c r="N14" s="54"/>
      <c r="P14" s="58">
        <f>Paramètres!$I$18</f>
        <v>2</v>
      </c>
      <c r="Q14" s="50">
        <v>3</v>
      </c>
      <c r="R14" s="59">
        <f t="shared" si="2"/>
        <v>6</v>
      </c>
    </row>
    <row r="15" spans="1:18" x14ac:dyDescent="0.25">
      <c r="A15" s="43"/>
      <c r="B15" s="44"/>
      <c r="C15" s="45"/>
      <c r="D15" s="46" t="str">
        <f>IF($A15="","",SUMIFS('Journal de caisse'!$F$6:$F$60,'Journal de caisse'!$A$6:$A$60,$A15,'Journal de caisse'!$E$6:$E$60,"Espèces"))</f>
        <v/>
      </c>
      <c r="E15" s="46" t="str">
        <f>IF($A15="","",SUMIFS('Journal de caisse'!$F$6:$F$60,'Journal de caisse'!$A$6:$A$60,$A15,'Journal de caisse'!$E$6:$E$60,"Carte bancaire"))</f>
        <v/>
      </c>
      <c r="F15" s="46" t="str">
        <f>IF($A15="","",SUMIFS('Journal de caisse'!$F$6:$F$60,'Journal de caisse'!$A$6:$A$60,$A15,'Journal de caisse'!$E$6:$E$60,"Chèque"))</f>
        <v/>
      </c>
      <c r="G15" s="46" t="str">
        <f>IF($A15="","",SUMIFS('Journal de caisse'!$F$6:$F$60,'Journal de caisse'!$A$6:$A$60,$A15,'Journal de caisse'!$E$6:$E$60,"Ticket restaurant"))</f>
        <v/>
      </c>
      <c r="H15" s="46" t="str">
        <f>IF($A15="","",SUMIFS('Journal de caisse'!$F$6:$F$60,'Journal de caisse'!$A$6:$A$60,$A15))</f>
        <v/>
      </c>
      <c r="I15" s="46" t="str">
        <f>IF($A15="","",SUMIFS('Journal de caisse'!$G$6:$G$60,'Journal de caisse'!$A$6:$A$60,$A15,'Journal de caisse'!$E$6:$E$60,"Espèces"))</f>
        <v/>
      </c>
      <c r="J15" s="47" t="str">
        <f t="shared" si="0"/>
        <v/>
      </c>
      <c r="K15" s="45"/>
      <c r="L15" s="46" t="str">
        <f t="shared" si="1"/>
        <v/>
      </c>
      <c r="M15" s="48" t="str">
        <f>IF($L15="","",IF($L15=0,"Conforme",IF(ABS($L15)&lt;=Paramètres!$C$6,"Écart toléré","À justifier")))</f>
        <v/>
      </c>
      <c r="N15" s="45"/>
      <c r="P15" s="49">
        <f>Paramètres!$I$19</f>
        <v>1</v>
      </c>
      <c r="Q15" s="50">
        <v>0</v>
      </c>
      <c r="R15" s="51">
        <f t="shared" si="2"/>
        <v>0</v>
      </c>
    </row>
    <row r="16" spans="1:18" x14ac:dyDescent="0.25">
      <c r="A16" s="52"/>
      <c r="B16" s="53"/>
      <c r="C16" s="54"/>
      <c r="D16" s="55" t="str">
        <f>IF($A16="","",SUMIFS('Journal de caisse'!$F$6:$F$60,'Journal de caisse'!$A$6:$A$60,$A16,'Journal de caisse'!$E$6:$E$60,"Espèces"))</f>
        <v/>
      </c>
      <c r="E16" s="55" t="str">
        <f>IF($A16="","",SUMIFS('Journal de caisse'!$F$6:$F$60,'Journal de caisse'!$A$6:$A$60,$A16,'Journal de caisse'!$E$6:$E$60,"Carte bancaire"))</f>
        <v/>
      </c>
      <c r="F16" s="55" t="str">
        <f>IF($A16="","",SUMIFS('Journal de caisse'!$F$6:$F$60,'Journal de caisse'!$A$6:$A$60,$A16,'Journal de caisse'!$E$6:$E$60,"Chèque"))</f>
        <v/>
      </c>
      <c r="G16" s="55" t="str">
        <f>IF($A16="","",SUMIFS('Journal de caisse'!$F$6:$F$60,'Journal de caisse'!$A$6:$A$60,$A16,'Journal de caisse'!$E$6:$E$60,"Ticket restaurant"))</f>
        <v/>
      </c>
      <c r="H16" s="55" t="str">
        <f>IF($A16="","",SUMIFS('Journal de caisse'!$F$6:$F$60,'Journal de caisse'!$A$6:$A$60,$A16))</f>
        <v/>
      </c>
      <c r="I16" s="55" t="str">
        <f>IF($A16="","",SUMIFS('Journal de caisse'!$G$6:$G$60,'Journal de caisse'!$A$6:$A$60,$A16,'Journal de caisse'!$E$6:$E$60,"Espèces"))</f>
        <v/>
      </c>
      <c r="J16" s="56" t="str">
        <f t="shared" si="0"/>
        <v/>
      </c>
      <c r="K16" s="54"/>
      <c r="L16" s="55" t="str">
        <f t="shared" si="1"/>
        <v/>
      </c>
      <c r="M16" s="57" t="str">
        <f>IF($L16="","",IF($L16=0,"Conforme",IF(ABS($L16)&lt;=Paramètres!$C$6,"Écart toléré","À justifier")))</f>
        <v/>
      </c>
      <c r="N16" s="54"/>
      <c r="P16" s="58">
        <f>Paramètres!$I$20</f>
        <v>0.5</v>
      </c>
      <c r="Q16" s="50">
        <v>1</v>
      </c>
      <c r="R16" s="59">
        <f t="shared" si="2"/>
        <v>0.5</v>
      </c>
    </row>
    <row r="17" spans="1:18" x14ac:dyDescent="0.25">
      <c r="A17" s="43"/>
      <c r="B17" s="44"/>
      <c r="C17" s="45"/>
      <c r="D17" s="46" t="str">
        <f>IF($A17="","",SUMIFS('Journal de caisse'!$F$6:$F$60,'Journal de caisse'!$A$6:$A$60,$A17,'Journal de caisse'!$E$6:$E$60,"Espèces"))</f>
        <v/>
      </c>
      <c r="E17" s="46" t="str">
        <f>IF($A17="","",SUMIFS('Journal de caisse'!$F$6:$F$60,'Journal de caisse'!$A$6:$A$60,$A17,'Journal de caisse'!$E$6:$E$60,"Carte bancaire"))</f>
        <v/>
      </c>
      <c r="F17" s="46" t="str">
        <f>IF($A17="","",SUMIFS('Journal de caisse'!$F$6:$F$60,'Journal de caisse'!$A$6:$A$60,$A17,'Journal de caisse'!$E$6:$E$60,"Chèque"))</f>
        <v/>
      </c>
      <c r="G17" s="46" t="str">
        <f>IF($A17="","",SUMIFS('Journal de caisse'!$F$6:$F$60,'Journal de caisse'!$A$6:$A$60,$A17,'Journal de caisse'!$E$6:$E$60,"Ticket restaurant"))</f>
        <v/>
      </c>
      <c r="H17" s="46" t="str">
        <f>IF($A17="","",SUMIFS('Journal de caisse'!$F$6:$F$60,'Journal de caisse'!$A$6:$A$60,$A17))</f>
        <v/>
      </c>
      <c r="I17" s="46" t="str">
        <f>IF($A17="","",SUMIFS('Journal de caisse'!$G$6:$G$60,'Journal de caisse'!$A$6:$A$60,$A17,'Journal de caisse'!$E$6:$E$60,"Espèces"))</f>
        <v/>
      </c>
      <c r="J17" s="47" t="str">
        <f t="shared" si="0"/>
        <v/>
      </c>
      <c r="K17" s="45"/>
      <c r="L17" s="46" t="str">
        <f t="shared" si="1"/>
        <v/>
      </c>
      <c r="M17" s="48" t="str">
        <f>IF($L17="","",IF($L17=0,"Conforme",IF(ABS($L17)&lt;=Paramètres!$C$6,"Écart toléré","À justifier")))</f>
        <v/>
      </c>
      <c r="N17" s="45"/>
      <c r="P17" s="49">
        <f>Paramètres!$I$21</f>
        <v>0.2</v>
      </c>
      <c r="Q17" s="50">
        <v>1</v>
      </c>
      <c r="R17" s="51">
        <f t="shared" si="2"/>
        <v>0.2</v>
      </c>
    </row>
    <row r="18" spans="1:18" x14ac:dyDescent="0.25">
      <c r="A18" s="52"/>
      <c r="B18" s="53"/>
      <c r="C18" s="54"/>
      <c r="D18" s="55" t="str">
        <f>IF($A18="","",SUMIFS('Journal de caisse'!$F$6:$F$60,'Journal de caisse'!$A$6:$A$60,$A18,'Journal de caisse'!$E$6:$E$60,"Espèces"))</f>
        <v/>
      </c>
      <c r="E18" s="55" t="str">
        <f>IF($A18="","",SUMIFS('Journal de caisse'!$F$6:$F$60,'Journal de caisse'!$A$6:$A$60,$A18,'Journal de caisse'!$E$6:$E$60,"Carte bancaire"))</f>
        <v/>
      </c>
      <c r="F18" s="55" t="str">
        <f>IF($A18="","",SUMIFS('Journal de caisse'!$F$6:$F$60,'Journal de caisse'!$A$6:$A$60,$A18,'Journal de caisse'!$E$6:$E$60,"Chèque"))</f>
        <v/>
      </c>
      <c r="G18" s="55" t="str">
        <f>IF($A18="","",SUMIFS('Journal de caisse'!$F$6:$F$60,'Journal de caisse'!$A$6:$A$60,$A18,'Journal de caisse'!$E$6:$E$60,"Ticket restaurant"))</f>
        <v/>
      </c>
      <c r="H18" s="55" t="str">
        <f>IF($A18="","",SUMIFS('Journal de caisse'!$F$6:$F$60,'Journal de caisse'!$A$6:$A$60,$A18))</f>
        <v/>
      </c>
      <c r="I18" s="55" t="str">
        <f>IF($A18="","",SUMIFS('Journal de caisse'!$G$6:$G$60,'Journal de caisse'!$A$6:$A$60,$A18,'Journal de caisse'!$E$6:$E$60,"Espèces"))</f>
        <v/>
      </c>
      <c r="J18" s="56" t="str">
        <f t="shared" si="0"/>
        <v/>
      </c>
      <c r="K18" s="54"/>
      <c r="L18" s="55" t="str">
        <f t="shared" si="1"/>
        <v/>
      </c>
      <c r="M18" s="57" t="str">
        <f>IF($L18="","",IF($L18=0,"Conforme",IF(ABS($L18)&lt;=Paramètres!$C$6,"Écart toléré","À justifier")))</f>
        <v/>
      </c>
      <c r="N18" s="54"/>
      <c r="P18" s="58">
        <f>Paramètres!$I$22</f>
        <v>0.1</v>
      </c>
      <c r="Q18" s="50">
        <v>1</v>
      </c>
      <c r="R18" s="59">
        <f t="shared" si="2"/>
        <v>0.1</v>
      </c>
    </row>
    <row r="19" spans="1:18" x14ac:dyDescent="0.25">
      <c r="A19" s="43"/>
      <c r="B19" s="44"/>
      <c r="C19" s="45"/>
      <c r="D19" s="46" t="str">
        <f>IF($A19="","",SUMIFS('Journal de caisse'!$F$6:$F$60,'Journal de caisse'!$A$6:$A$60,$A19,'Journal de caisse'!$E$6:$E$60,"Espèces"))</f>
        <v/>
      </c>
      <c r="E19" s="46" t="str">
        <f>IF($A19="","",SUMIFS('Journal de caisse'!$F$6:$F$60,'Journal de caisse'!$A$6:$A$60,$A19,'Journal de caisse'!$E$6:$E$60,"Carte bancaire"))</f>
        <v/>
      </c>
      <c r="F19" s="46" t="str">
        <f>IF($A19="","",SUMIFS('Journal de caisse'!$F$6:$F$60,'Journal de caisse'!$A$6:$A$60,$A19,'Journal de caisse'!$E$6:$E$60,"Chèque"))</f>
        <v/>
      </c>
      <c r="G19" s="46" t="str">
        <f>IF($A19="","",SUMIFS('Journal de caisse'!$F$6:$F$60,'Journal de caisse'!$A$6:$A$60,$A19,'Journal de caisse'!$E$6:$E$60,"Ticket restaurant"))</f>
        <v/>
      </c>
      <c r="H19" s="46" t="str">
        <f>IF($A19="","",SUMIFS('Journal de caisse'!$F$6:$F$60,'Journal de caisse'!$A$6:$A$60,$A19))</f>
        <v/>
      </c>
      <c r="I19" s="46" t="str">
        <f>IF($A19="","",SUMIFS('Journal de caisse'!$G$6:$G$60,'Journal de caisse'!$A$6:$A$60,$A19,'Journal de caisse'!$E$6:$E$60,"Espèces"))</f>
        <v/>
      </c>
      <c r="J19" s="47" t="str">
        <f t="shared" si="0"/>
        <v/>
      </c>
      <c r="K19" s="45"/>
      <c r="L19" s="46" t="str">
        <f t="shared" si="1"/>
        <v/>
      </c>
      <c r="M19" s="48" t="str">
        <f>IF($L19="","",IF($L19=0,"Conforme",IF(ABS($L19)&lt;=Paramètres!$C$6,"Écart toléré","À justifier")))</f>
        <v/>
      </c>
      <c r="N19" s="45"/>
      <c r="P19" s="49">
        <f>Paramètres!$I$23</f>
        <v>0.05</v>
      </c>
      <c r="Q19" s="50">
        <v>0</v>
      </c>
      <c r="R19" s="51">
        <f t="shared" si="2"/>
        <v>0</v>
      </c>
    </row>
    <row r="20" spans="1:18" x14ac:dyDescent="0.25">
      <c r="A20" s="52"/>
      <c r="B20" s="53"/>
      <c r="C20" s="54"/>
      <c r="D20" s="55" t="str">
        <f>IF($A20="","",SUMIFS('Journal de caisse'!$F$6:$F$60,'Journal de caisse'!$A$6:$A$60,$A20,'Journal de caisse'!$E$6:$E$60,"Espèces"))</f>
        <v/>
      </c>
      <c r="E20" s="55" t="str">
        <f>IF($A20="","",SUMIFS('Journal de caisse'!$F$6:$F$60,'Journal de caisse'!$A$6:$A$60,$A20,'Journal de caisse'!$E$6:$E$60,"Carte bancaire"))</f>
        <v/>
      </c>
      <c r="F20" s="55" t="str">
        <f>IF($A20="","",SUMIFS('Journal de caisse'!$F$6:$F$60,'Journal de caisse'!$A$6:$A$60,$A20,'Journal de caisse'!$E$6:$E$60,"Chèque"))</f>
        <v/>
      </c>
      <c r="G20" s="55" t="str">
        <f>IF($A20="","",SUMIFS('Journal de caisse'!$F$6:$F$60,'Journal de caisse'!$A$6:$A$60,$A20,'Journal de caisse'!$E$6:$E$60,"Ticket restaurant"))</f>
        <v/>
      </c>
      <c r="H20" s="55" t="str">
        <f>IF($A20="","",SUMIFS('Journal de caisse'!$F$6:$F$60,'Journal de caisse'!$A$6:$A$60,$A20))</f>
        <v/>
      </c>
      <c r="I20" s="55" t="str">
        <f>IF($A20="","",SUMIFS('Journal de caisse'!$G$6:$G$60,'Journal de caisse'!$A$6:$A$60,$A20,'Journal de caisse'!$E$6:$E$60,"Espèces"))</f>
        <v/>
      </c>
      <c r="J20" s="56" t="str">
        <f t="shared" si="0"/>
        <v/>
      </c>
      <c r="K20" s="54"/>
      <c r="L20" s="55" t="str">
        <f t="shared" si="1"/>
        <v/>
      </c>
      <c r="M20" s="57" t="str">
        <f>IF($L20="","",IF($L20=0,"Conforme",IF(ABS($L20)&lt;=Paramètres!$C$6,"Écart toléré","À justifier")))</f>
        <v/>
      </c>
      <c r="N20" s="54"/>
      <c r="P20" s="58">
        <f>Paramètres!$I$24</f>
        <v>0.02</v>
      </c>
      <c r="Q20" s="50">
        <v>0</v>
      </c>
      <c r="R20" s="59">
        <f t="shared" si="2"/>
        <v>0</v>
      </c>
    </row>
    <row r="21" spans="1:18" x14ac:dyDescent="0.25">
      <c r="A21" s="43"/>
      <c r="B21" s="44"/>
      <c r="C21" s="45"/>
      <c r="D21" s="46" t="str">
        <f>IF($A21="","",SUMIFS('Journal de caisse'!$F$6:$F$60,'Journal de caisse'!$A$6:$A$60,$A21,'Journal de caisse'!$E$6:$E$60,"Espèces"))</f>
        <v/>
      </c>
      <c r="E21" s="46" t="str">
        <f>IF($A21="","",SUMIFS('Journal de caisse'!$F$6:$F$60,'Journal de caisse'!$A$6:$A$60,$A21,'Journal de caisse'!$E$6:$E$60,"Carte bancaire"))</f>
        <v/>
      </c>
      <c r="F21" s="46" t="str">
        <f>IF($A21="","",SUMIFS('Journal de caisse'!$F$6:$F$60,'Journal de caisse'!$A$6:$A$60,$A21,'Journal de caisse'!$E$6:$E$60,"Chèque"))</f>
        <v/>
      </c>
      <c r="G21" s="46" t="str">
        <f>IF($A21="","",SUMIFS('Journal de caisse'!$F$6:$F$60,'Journal de caisse'!$A$6:$A$60,$A21,'Journal de caisse'!$E$6:$E$60,"Ticket restaurant"))</f>
        <v/>
      </c>
      <c r="H21" s="46" t="str">
        <f>IF($A21="","",SUMIFS('Journal de caisse'!$F$6:$F$60,'Journal de caisse'!$A$6:$A$60,$A21))</f>
        <v/>
      </c>
      <c r="I21" s="46" t="str">
        <f>IF($A21="","",SUMIFS('Journal de caisse'!$G$6:$G$60,'Journal de caisse'!$A$6:$A$60,$A21,'Journal de caisse'!$E$6:$E$60,"Espèces"))</f>
        <v/>
      </c>
      <c r="J21" s="47" t="str">
        <f t="shared" si="0"/>
        <v/>
      </c>
      <c r="K21" s="45"/>
      <c r="L21" s="46" t="str">
        <f t="shared" si="1"/>
        <v/>
      </c>
      <c r="M21" s="48" t="str">
        <f>IF($L21="","",IF($L21=0,"Conforme",IF(ABS($L21)&lt;=Paramètres!$C$6,"Écart toléré","À justifier")))</f>
        <v/>
      </c>
      <c r="N21" s="45"/>
      <c r="P21" s="49">
        <f>Paramètres!$I$25</f>
        <v>0.01</v>
      </c>
      <c r="Q21" s="50">
        <v>0</v>
      </c>
      <c r="R21" s="51">
        <f t="shared" si="2"/>
        <v>0</v>
      </c>
    </row>
    <row r="22" spans="1:18" x14ac:dyDescent="0.25">
      <c r="A22" s="52"/>
      <c r="B22" s="53"/>
      <c r="C22" s="54"/>
      <c r="D22" s="55" t="str">
        <f>IF($A22="","",SUMIFS('Journal de caisse'!$F$6:$F$60,'Journal de caisse'!$A$6:$A$60,$A22,'Journal de caisse'!$E$6:$E$60,"Espèces"))</f>
        <v/>
      </c>
      <c r="E22" s="55" t="str">
        <f>IF($A22="","",SUMIFS('Journal de caisse'!$F$6:$F$60,'Journal de caisse'!$A$6:$A$60,$A22,'Journal de caisse'!$E$6:$E$60,"Carte bancaire"))</f>
        <v/>
      </c>
      <c r="F22" s="55" t="str">
        <f>IF($A22="","",SUMIFS('Journal de caisse'!$F$6:$F$60,'Journal de caisse'!$A$6:$A$60,$A22,'Journal de caisse'!$E$6:$E$60,"Chèque"))</f>
        <v/>
      </c>
      <c r="G22" s="55" t="str">
        <f>IF($A22="","",SUMIFS('Journal de caisse'!$F$6:$F$60,'Journal de caisse'!$A$6:$A$60,$A22,'Journal de caisse'!$E$6:$E$60,"Ticket restaurant"))</f>
        <v/>
      </c>
      <c r="H22" s="55" t="str">
        <f>IF($A22="","",SUMIFS('Journal de caisse'!$F$6:$F$60,'Journal de caisse'!$A$6:$A$60,$A22))</f>
        <v/>
      </c>
      <c r="I22" s="55" t="str">
        <f>IF($A22="","",SUMIFS('Journal de caisse'!$G$6:$G$60,'Journal de caisse'!$A$6:$A$60,$A22,'Journal de caisse'!$E$6:$E$60,"Espèces"))</f>
        <v/>
      </c>
      <c r="J22" s="56" t="str">
        <f t="shared" si="0"/>
        <v/>
      </c>
      <c r="K22" s="54"/>
      <c r="L22" s="55" t="str">
        <f t="shared" si="1"/>
        <v/>
      </c>
      <c r="M22" s="57" t="str">
        <f>IF($L22="","",IF($L22=0,"Conforme",IF(ABS($L22)&lt;=Paramètres!$C$6,"Écart toléré","À justifier")))</f>
        <v/>
      </c>
      <c r="N22" s="54"/>
      <c r="P22" s="6" t="s">
        <v>129</v>
      </c>
      <c r="Q22" s="6"/>
      <c r="R22" s="60">
        <f>SUM(R7:R21)</f>
        <v>426.8</v>
      </c>
    </row>
    <row r="23" spans="1:18" x14ac:dyDescent="0.25">
      <c r="A23" s="43"/>
      <c r="B23" s="44"/>
      <c r="C23" s="45"/>
      <c r="D23" s="46" t="str">
        <f>IF($A23="","",SUMIFS('Journal de caisse'!$F$6:$F$60,'Journal de caisse'!$A$6:$A$60,$A23,'Journal de caisse'!$E$6:$E$60,"Espèces"))</f>
        <v/>
      </c>
      <c r="E23" s="46" t="str">
        <f>IF($A23="","",SUMIFS('Journal de caisse'!$F$6:$F$60,'Journal de caisse'!$A$6:$A$60,$A23,'Journal de caisse'!$E$6:$E$60,"Carte bancaire"))</f>
        <v/>
      </c>
      <c r="F23" s="46" t="str">
        <f>IF($A23="","",SUMIFS('Journal de caisse'!$F$6:$F$60,'Journal de caisse'!$A$6:$A$60,$A23,'Journal de caisse'!$E$6:$E$60,"Chèque"))</f>
        <v/>
      </c>
      <c r="G23" s="46" t="str">
        <f>IF($A23="","",SUMIFS('Journal de caisse'!$F$6:$F$60,'Journal de caisse'!$A$6:$A$60,$A23,'Journal de caisse'!$E$6:$E$60,"Ticket restaurant"))</f>
        <v/>
      </c>
      <c r="H23" s="46" t="str">
        <f>IF($A23="","",SUMIFS('Journal de caisse'!$F$6:$F$60,'Journal de caisse'!$A$6:$A$60,$A23))</f>
        <v/>
      </c>
      <c r="I23" s="46" t="str">
        <f>IF($A23="","",SUMIFS('Journal de caisse'!$G$6:$G$60,'Journal de caisse'!$A$6:$A$60,$A23,'Journal de caisse'!$E$6:$E$60,"Espèces"))</f>
        <v/>
      </c>
      <c r="J23" s="47" t="str">
        <f t="shared" si="0"/>
        <v/>
      </c>
      <c r="K23" s="45"/>
      <c r="L23" s="46" t="str">
        <f t="shared" si="1"/>
        <v/>
      </c>
      <c r="M23" s="48" t="str">
        <f>IF($L23="","",IF($L23=0,"Conforme",IF(ABS($L23)&lt;=Paramètres!$C$6,"Écart toléré","À justifier")))</f>
        <v/>
      </c>
      <c r="N23" s="45"/>
    </row>
    <row r="24" spans="1:18" ht="15" customHeight="1" x14ac:dyDescent="0.25">
      <c r="A24" s="52"/>
      <c r="B24" s="53"/>
      <c r="C24" s="54"/>
      <c r="D24" s="55" t="str">
        <f>IF($A24="","",SUMIFS('Journal de caisse'!$F$6:$F$60,'Journal de caisse'!$A$6:$A$60,$A24,'Journal de caisse'!$E$6:$E$60,"Espèces"))</f>
        <v/>
      </c>
      <c r="E24" s="55" t="str">
        <f>IF($A24="","",SUMIFS('Journal de caisse'!$F$6:$F$60,'Journal de caisse'!$A$6:$A$60,$A24,'Journal de caisse'!$E$6:$E$60,"Carte bancaire"))</f>
        <v/>
      </c>
      <c r="F24" s="55" t="str">
        <f>IF($A24="","",SUMIFS('Journal de caisse'!$F$6:$F$60,'Journal de caisse'!$A$6:$A$60,$A24,'Journal de caisse'!$E$6:$E$60,"Chèque"))</f>
        <v/>
      </c>
      <c r="G24" s="55" t="str">
        <f>IF($A24="","",SUMIFS('Journal de caisse'!$F$6:$F$60,'Journal de caisse'!$A$6:$A$60,$A24,'Journal de caisse'!$E$6:$E$60,"Ticket restaurant"))</f>
        <v/>
      </c>
      <c r="H24" s="55" t="str">
        <f>IF($A24="","",SUMIFS('Journal de caisse'!$F$6:$F$60,'Journal de caisse'!$A$6:$A$60,$A24))</f>
        <v/>
      </c>
      <c r="I24" s="55" t="str">
        <f>IF($A24="","",SUMIFS('Journal de caisse'!$G$6:$G$60,'Journal de caisse'!$A$6:$A$60,$A24,'Journal de caisse'!$E$6:$E$60,"Espèces"))</f>
        <v/>
      </c>
      <c r="J24" s="56" t="str">
        <f t="shared" si="0"/>
        <v/>
      </c>
      <c r="K24" s="54"/>
      <c r="L24" s="55" t="str">
        <f t="shared" si="1"/>
        <v/>
      </c>
      <c r="M24" s="57" t="str">
        <f>IF($L24="","",IF($L24=0,"Conforme",IF(ABS($L24)&lt;=Paramètres!$C$6,"Écart toléré","À justifier")))</f>
        <v/>
      </c>
      <c r="N24" s="54"/>
      <c r="P24" s="5" t="s">
        <v>130</v>
      </c>
      <c r="Q24" s="5"/>
      <c r="R24" s="5"/>
    </row>
    <row r="25" spans="1:18" x14ac:dyDescent="0.25">
      <c r="A25" s="43"/>
      <c r="B25" s="44"/>
      <c r="C25" s="45"/>
      <c r="D25" s="46" t="str">
        <f>IF($A25="","",SUMIFS('Journal de caisse'!$F$6:$F$60,'Journal de caisse'!$A$6:$A$60,$A25,'Journal de caisse'!$E$6:$E$60,"Espèces"))</f>
        <v/>
      </c>
      <c r="E25" s="46" t="str">
        <f>IF($A25="","",SUMIFS('Journal de caisse'!$F$6:$F$60,'Journal de caisse'!$A$6:$A$60,$A25,'Journal de caisse'!$E$6:$E$60,"Carte bancaire"))</f>
        <v/>
      </c>
      <c r="F25" s="46" t="str">
        <f>IF($A25="","",SUMIFS('Journal de caisse'!$F$6:$F$60,'Journal de caisse'!$A$6:$A$60,$A25,'Journal de caisse'!$E$6:$E$60,"Chèque"))</f>
        <v/>
      </c>
      <c r="G25" s="46" t="str">
        <f>IF($A25="","",SUMIFS('Journal de caisse'!$F$6:$F$60,'Journal de caisse'!$A$6:$A$60,$A25,'Journal de caisse'!$E$6:$E$60,"Ticket restaurant"))</f>
        <v/>
      </c>
      <c r="H25" s="46" t="str">
        <f>IF($A25="","",SUMIFS('Journal de caisse'!$F$6:$F$60,'Journal de caisse'!$A$6:$A$60,$A25))</f>
        <v/>
      </c>
      <c r="I25" s="46" t="str">
        <f>IF($A25="","",SUMIFS('Journal de caisse'!$G$6:$G$60,'Journal de caisse'!$A$6:$A$60,$A25,'Journal de caisse'!$E$6:$E$60,"Espèces"))</f>
        <v/>
      </c>
      <c r="J25" s="47" t="str">
        <f t="shared" si="0"/>
        <v/>
      </c>
      <c r="K25" s="45"/>
      <c r="L25" s="46" t="str">
        <f t="shared" si="1"/>
        <v/>
      </c>
      <c r="M25" s="48" t="str">
        <f>IF($L25="","",IF($L25=0,"Conforme",IF(ABS($L25)&lt;=Paramètres!$C$6,"Écart toléré","À justifier")))</f>
        <v/>
      </c>
      <c r="N25" s="45"/>
      <c r="P25" s="5"/>
      <c r="Q25" s="5"/>
      <c r="R25" s="5"/>
    </row>
    <row r="26" spans="1:18" x14ac:dyDescent="0.25">
      <c r="A26" s="52"/>
      <c r="B26" s="53"/>
      <c r="C26" s="54"/>
      <c r="D26" s="55" t="str">
        <f>IF($A26="","",SUMIFS('Journal de caisse'!$F$6:$F$60,'Journal de caisse'!$A$6:$A$60,$A26,'Journal de caisse'!$E$6:$E$60,"Espèces"))</f>
        <v/>
      </c>
      <c r="E26" s="55" t="str">
        <f>IF($A26="","",SUMIFS('Journal de caisse'!$F$6:$F$60,'Journal de caisse'!$A$6:$A$60,$A26,'Journal de caisse'!$E$6:$E$60,"Carte bancaire"))</f>
        <v/>
      </c>
      <c r="F26" s="55" t="str">
        <f>IF($A26="","",SUMIFS('Journal de caisse'!$F$6:$F$60,'Journal de caisse'!$A$6:$A$60,$A26,'Journal de caisse'!$E$6:$E$60,"Chèque"))</f>
        <v/>
      </c>
      <c r="G26" s="55" t="str">
        <f>IF($A26="","",SUMIFS('Journal de caisse'!$F$6:$F$60,'Journal de caisse'!$A$6:$A$60,$A26,'Journal de caisse'!$E$6:$E$60,"Ticket restaurant"))</f>
        <v/>
      </c>
      <c r="H26" s="55" t="str">
        <f>IF($A26="","",SUMIFS('Journal de caisse'!$F$6:$F$60,'Journal de caisse'!$A$6:$A$60,$A26))</f>
        <v/>
      </c>
      <c r="I26" s="55" t="str">
        <f>IF($A26="","",SUMIFS('Journal de caisse'!$G$6:$G$60,'Journal de caisse'!$A$6:$A$60,$A26,'Journal de caisse'!$E$6:$E$60,"Espèces"))</f>
        <v/>
      </c>
      <c r="J26" s="56" t="str">
        <f t="shared" si="0"/>
        <v/>
      </c>
      <c r="K26" s="54"/>
      <c r="L26" s="55" t="str">
        <f t="shared" si="1"/>
        <v/>
      </c>
      <c r="M26" s="57" t="str">
        <f>IF($L26="","",IF($L26=0,"Conforme",IF(ABS($L26)&lt;=Paramètres!$C$6,"Écart toléré","À justifier")))</f>
        <v/>
      </c>
      <c r="N26" s="54"/>
    </row>
    <row r="27" spans="1:18" ht="19.5" customHeight="1" x14ac:dyDescent="0.25">
      <c r="A27" s="38"/>
      <c r="B27" s="61" t="s">
        <v>131</v>
      </c>
      <c r="C27" s="38"/>
      <c r="D27" s="62">
        <f t="shared" ref="D27:I27" si="3">SUM(D7:D26)</f>
        <v>866.05</v>
      </c>
      <c r="E27" s="62">
        <f t="shared" si="3"/>
        <v>586.59999999999991</v>
      </c>
      <c r="F27" s="62">
        <f t="shared" si="3"/>
        <v>420</v>
      </c>
      <c r="G27" s="62">
        <f t="shared" si="3"/>
        <v>45.2</v>
      </c>
      <c r="H27" s="62">
        <f t="shared" si="3"/>
        <v>1917.85</v>
      </c>
      <c r="I27" s="62">
        <f t="shared" si="3"/>
        <v>118.4</v>
      </c>
      <c r="J27" s="38"/>
      <c r="K27" s="38"/>
      <c r="L27" s="62">
        <f>SUM(L7:L26)</f>
        <v>4.5</v>
      </c>
      <c r="M27" s="38"/>
      <c r="N27" s="62">
        <f>SUM(N7:N26)</f>
        <v>740</v>
      </c>
    </row>
  </sheetData>
  <mergeCells count="5">
    <mergeCell ref="A1:N2"/>
    <mergeCell ref="A3:N3"/>
    <mergeCell ref="P4:R4"/>
    <mergeCell ref="P22:Q22"/>
    <mergeCell ref="P24:R25"/>
  </mergeCells>
  <conditionalFormatting sqref="L7:L26">
    <cfRule type="expression" dxfId="8" priority="2">
      <formula>AND($K7&lt;&gt;"",$L7=0)</formula>
    </cfRule>
  </conditionalFormatting>
  <conditionalFormatting sqref="M7:M26">
    <cfRule type="expression" dxfId="5" priority="5">
      <formula>EXACT($M7,"Conforme")</formula>
    </cfRule>
    <cfRule type="expression" dxfId="4" priority="6">
      <formula>EXACT($M7,"Écart toléré")</formula>
    </cfRule>
    <cfRule type="expression" dxfId="3" priority="7">
      <formula>EXACT($M7,"À justifier")</formula>
    </cfRule>
  </conditionalFormatting>
  <dataValidations count="1">
    <dataValidation type="decimal" operator="greaterThanOrEqual" allowBlank="1" sqref="C7:C26 K7:K26 N7:N26" xr:uid="{00000000-0002-0000-0300-000001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300-000008000000}">
            <xm:f>AND($K7&lt;&gt;"",$K7&gt;Paramètres!$C$7)</xm:f>
            <x14:dxf>
              <fill>
                <patternFill>
                  <bgColor rgb="FFE3F3EC"/>
                </patternFill>
              </fill>
            </x14:dxf>
          </x14:cfRule>
          <xm:sqref>K7:K26</xm:sqref>
        </x14:conditionalFormatting>
        <x14:conditionalFormatting xmlns:xm="http://schemas.microsoft.com/office/excel/2006/main">
          <x14:cfRule type="expression" priority="3" id="{00000000-000E-0000-0300-000003000000}">
            <xm:f>AND($L7&lt;&gt;"",$L7&lt;&gt;0,ABS($L7)&lt;=Paramètres!$C$6)</xm:f>
            <x14:dxf>
              <font>
                <b/>
                <sz val="9"/>
                <color rgb="FF8A6300"/>
                <name val="Calibri"/>
                <charset val="1"/>
              </font>
              <fill>
                <patternFill>
                  <bgColor rgb="FFFCEBB6"/>
                </patternFill>
              </fill>
            </x14:dxf>
          </x14:cfRule>
          <x14:cfRule type="expression" priority="4" id="{00000000-000E-0000-0300-000004000000}">
            <xm:f>AND($L7&lt;&gt;"",ABS($L7)&gt;Paramètres!$C$6)</xm:f>
            <x14:dxf>
              <font>
                <b/>
                <sz val="9"/>
                <color rgb="FFA32B1C"/>
                <name val="Calibri"/>
                <charset val="1"/>
              </font>
              <fill>
                <patternFill>
                  <bgColor rgb="FFF7D4CE"/>
                </patternFill>
              </fill>
            </x14:dxf>
          </x14:cfRule>
          <xm:sqref>L7:L26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Paramètres!$G$11:$G$14</xm:f>
          </x14:formula1>
          <x14:formula2>
            <xm:f>0</xm:f>
          </x14:formula2>
          <xm:sqref>B7:B26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3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17" customWidth="1"/>
    <col min="3" max="5" width="13" customWidth="1"/>
    <col min="6" max="6" width="15" customWidth="1"/>
    <col min="7" max="8" width="13" customWidth="1"/>
    <col min="9" max="9" width="2.42578125" customWidth="1"/>
  </cols>
  <sheetData>
    <row r="1" spans="1:9" ht="19.5" customHeight="1" x14ac:dyDescent="0.25">
      <c r="A1" s="14" t="s">
        <v>132</v>
      </c>
      <c r="B1" s="14"/>
      <c r="C1" s="14"/>
      <c r="D1" s="14"/>
      <c r="E1" s="14"/>
      <c r="F1" s="14"/>
      <c r="G1" s="14"/>
      <c r="H1" s="14"/>
    </row>
    <row r="2" spans="1:9" ht="15.75" customHeight="1" x14ac:dyDescent="0.25">
      <c r="A2" s="14"/>
      <c r="B2" s="14"/>
      <c r="C2" s="14"/>
      <c r="D2" s="14"/>
      <c r="E2" s="14"/>
      <c r="F2" s="14"/>
      <c r="G2" s="14"/>
      <c r="H2" s="14"/>
    </row>
    <row r="3" spans="1:9" ht="18" customHeight="1" x14ac:dyDescent="0.25">
      <c r="A3" s="13" t="s">
        <v>133</v>
      </c>
      <c r="B3" s="13"/>
      <c r="C3" s="13"/>
      <c r="D3" s="13"/>
      <c r="E3" s="13"/>
      <c r="F3" s="13"/>
      <c r="G3" s="13"/>
      <c r="H3" s="13"/>
    </row>
    <row r="5" spans="1:9" ht="15.75" customHeight="1" x14ac:dyDescent="0.25">
      <c r="B5" s="4" t="s">
        <v>134</v>
      </c>
      <c r="C5" s="4"/>
      <c r="D5" s="3" t="s">
        <v>135</v>
      </c>
      <c r="E5" s="3"/>
      <c r="F5" s="2" t="s">
        <v>136</v>
      </c>
      <c r="G5" s="2"/>
      <c r="H5" s="4" t="s">
        <v>137</v>
      </c>
      <c r="I5" s="4"/>
    </row>
    <row r="6" spans="1:9" x14ac:dyDescent="0.25">
      <c r="B6" s="1">
        <f>COUNT('Clôture journalière'!$A$7:$A$26)</f>
        <v>3</v>
      </c>
      <c r="C6" s="1"/>
      <c r="D6" s="70">
        <f>SUM('Journal de caisse'!$F$6:$F$60)</f>
        <v>1917.8500000000001</v>
      </c>
      <c r="E6" s="70"/>
      <c r="F6" s="71">
        <f>SUM('Journal de caisse'!$G$6:$G$60)</f>
        <v>118.39999999999999</v>
      </c>
      <c r="G6" s="71"/>
      <c r="H6" s="72">
        <f>SUM('Journal de caisse'!$F$6:$F$60)-SUM('Journal de caisse'!$G$6:$G$60)</f>
        <v>1799.45</v>
      </c>
      <c r="I6" s="72"/>
    </row>
    <row r="7" spans="1:9" ht="15.75" customHeight="1" x14ac:dyDescent="0.25">
      <c r="B7" s="1"/>
      <c r="C7" s="1"/>
      <c r="D7" s="70"/>
      <c r="E7" s="70"/>
      <c r="F7" s="71"/>
      <c r="G7" s="71"/>
      <c r="H7" s="72"/>
      <c r="I7" s="72"/>
    </row>
    <row r="9" spans="1:9" ht="15.75" customHeight="1" x14ac:dyDescent="0.25">
      <c r="B9" s="73" t="s">
        <v>138</v>
      </c>
      <c r="C9" s="73"/>
      <c r="D9" s="74" t="s">
        <v>139</v>
      </c>
      <c r="E9" s="74"/>
      <c r="F9" s="2" t="s">
        <v>140</v>
      </c>
      <c r="G9" s="2"/>
      <c r="H9" s="3" t="s">
        <v>141</v>
      </c>
      <c r="I9" s="3"/>
    </row>
    <row r="10" spans="1:9" x14ac:dyDescent="0.25">
      <c r="B10" s="75">
        <f>SUM('Clôture journalière'!$L$7:$L$26)</f>
        <v>4.5</v>
      </c>
      <c r="C10" s="75"/>
      <c r="D10" s="76">
        <f>COUNTIF('Clôture journalière'!$M$7:$M$26,"À justifier")</f>
        <v>1</v>
      </c>
      <c r="E10" s="76"/>
      <c r="F10" s="71">
        <f>SUM('Clôture journalière'!$N$7:$N$26)</f>
        <v>740</v>
      </c>
      <c r="G10" s="71"/>
      <c r="H10" s="70">
        <f>IFERROR(SUM('Clôture journalière'!$H$7:$H$26)/COUNT('Clôture journalière'!$A$7:$A$26),0)</f>
        <v>639.2833333333333</v>
      </c>
      <c r="I10" s="70"/>
    </row>
    <row r="11" spans="1:9" ht="15.75" customHeight="1" x14ac:dyDescent="0.25">
      <c r="B11" s="75"/>
      <c r="C11" s="75"/>
      <c r="D11" s="76"/>
      <c r="E11" s="76"/>
      <c r="F11" s="71"/>
      <c r="G11" s="71"/>
      <c r="H11" s="70"/>
      <c r="I11" s="70"/>
    </row>
    <row r="14" spans="1:9" x14ac:dyDescent="0.25">
      <c r="B14" s="8" t="s">
        <v>142</v>
      </c>
      <c r="C14" s="8"/>
      <c r="D14" s="8"/>
    </row>
    <row r="15" spans="1:9" x14ac:dyDescent="0.25">
      <c r="B15" s="42" t="s">
        <v>38</v>
      </c>
      <c r="C15" s="42" t="s">
        <v>143</v>
      </c>
      <c r="D15" s="42" t="s">
        <v>144</v>
      </c>
    </row>
    <row r="16" spans="1:9" x14ac:dyDescent="0.25">
      <c r="B16" s="63" t="s">
        <v>43</v>
      </c>
      <c r="C16" s="51">
        <f>SUMIFS('Journal de caisse'!$F$6:$F$60,'Journal de caisse'!$E$6:$E$60,"Espèces")</f>
        <v>866.05</v>
      </c>
      <c r="D16" s="64">
        <f>IFERROR(C16/$C$21,0)</f>
        <v>0.45157337643715617</v>
      </c>
    </row>
    <row r="17" spans="2:4" x14ac:dyDescent="0.25">
      <c r="B17" s="65" t="s">
        <v>47</v>
      </c>
      <c r="C17" s="59">
        <f>SUMIFS('Journal de caisse'!$F$6:$F$60,'Journal de caisse'!$E$6:$E$60,"Carte bancaire")</f>
        <v>586.59999999999991</v>
      </c>
      <c r="D17" s="66">
        <f>IFERROR(C17/$C$21,0)</f>
        <v>0.30586333654873943</v>
      </c>
    </row>
    <row r="18" spans="2:4" x14ac:dyDescent="0.25">
      <c r="B18" s="63" t="s">
        <v>50</v>
      </c>
      <c r="C18" s="51">
        <f>SUMIFS('Journal de caisse'!$F$6:$F$60,'Journal de caisse'!$E$6:$E$60,"Chèque")</f>
        <v>420</v>
      </c>
      <c r="D18" s="64">
        <f>IFERROR(C18/$C$21,0)</f>
        <v>0.21899522903251037</v>
      </c>
    </row>
    <row r="19" spans="2:4" x14ac:dyDescent="0.25">
      <c r="B19" s="65" t="s">
        <v>53</v>
      </c>
      <c r="C19" s="59">
        <f>SUMIFS('Journal de caisse'!$F$6:$F$60,'Journal de caisse'!$E$6:$E$60,"Ticket restaurant")</f>
        <v>45.2</v>
      </c>
      <c r="D19" s="66">
        <f>IFERROR(C19/$C$21,0)</f>
        <v>2.3568057981593976E-2</v>
      </c>
    </row>
    <row r="20" spans="2:4" x14ac:dyDescent="0.25">
      <c r="B20" s="63" t="s">
        <v>56</v>
      </c>
      <c r="C20" s="51">
        <f>SUMIFS('Journal de caisse'!$F$6:$F$60,'Journal de caisse'!$E$6:$E$60,"Virement")</f>
        <v>0</v>
      </c>
      <c r="D20" s="64">
        <f>IFERROR(C20/$C$21,0)</f>
        <v>0</v>
      </c>
    </row>
    <row r="21" spans="2:4" x14ac:dyDescent="0.25">
      <c r="B21" s="67" t="s">
        <v>145</v>
      </c>
      <c r="C21" s="62">
        <f>SUM(C16:C20)</f>
        <v>1917.85</v>
      </c>
      <c r="D21" s="68">
        <f>IFERROR(C21/C21,0)</f>
        <v>1</v>
      </c>
    </row>
    <row r="24" spans="2:4" x14ac:dyDescent="0.25">
      <c r="B24" s="8" t="s">
        <v>146</v>
      </c>
      <c r="C24" s="8"/>
      <c r="D24" s="8"/>
    </row>
    <row r="25" spans="2:4" ht="36" x14ac:dyDescent="0.25">
      <c r="B25" s="69" t="s">
        <v>69</v>
      </c>
      <c r="C25" s="69" t="s">
        <v>147</v>
      </c>
      <c r="D25" s="69" t="s">
        <v>124</v>
      </c>
    </row>
    <row r="26" spans="2:4" x14ac:dyDescent="0.25">
      <c r="B26" s="43">
        <f>IF('Clôture journalière'!$A$7="","",'Clôture journalière'!$A$7)</f>
        <v>46391</v>
      </c>
      <c r="C26" s="51">
        <f>IF('Clôture journalière'!$A$7="","",'Clôture journalière'!$H$7)</f>
        <v>585.20000000000005</v>
      </c>
      <c r="D26" s="48" t="str">
        <f>IF('Clôture journalière'!$A$7="","",'Clôture journalière'!$M$7)</f>
        <v>Conforme</v>
      </c>
    </row>
    <row r="27" spans="2:4" x14ac:dyDescent="0.25">
      <c r="B27" s="52">
        <f>IF('Clôture journalière'!$A$8="","",'Clôture journalière'!$A$8)</f>
        <v>46392</v>
      </c>
      <c r="C27" s="59">
        <f>IF('Clôture journalière'!$A$8="","",'Clôture journalière'!$H$8)</f>
        <v>760.65</v>
      </c>
      <c r="D27" s="57" t="str">
        <f>IF('Clôture journalière'!$A$8="","",'Clôture journalière'!$M$8)</f>
        <v>Écart toléré</v>
      </c>
    </row>
    <row r="28" spans="2:4" x14ac:dyDescent="0.25">
      <c r="B28" s="43">
        <f>IF('Clôture journalière'!$A$9="","",'Clôture journalière'!$A$9)</f>
        <v>46393</v>
      </c>
      <c r="C28" s="51">
        <f>IF('Clôture journalière'!$A$9="","",'Clôture journalière'!$H$9)</f>
        <v>572</v>
      </c>
      <c r="D28" s="48" t="str">
        <f>IF('Clôture journalière'!$A$9="","",'Clôture journalière'!$M$9)</f>
        <v>À justifier</v>
      </c>
    </row>
    <row r="29" spans="2:4" x14ac:dyDescent="0.25">
      <c r="B29" s="52" t="str">
        <f>IF('Clôture journalière'!$A$10="","",'Clôture journalière'!$A$10)</f>
        <v/>
      </c>
      <c r="C29" s="59" t="str">
        <f>IF('Clôture journalière'!$A$10="","",'Clôture journalière'!$H$10)</f>
        <v/>
      </c>
      <c r="D29" s="57" t="str">
        <f>IF('Clôture journalière'!$A$10="","",'Clôture journalière'!$M$10)</f>
        <v/>
      </c>
    </row>
    <row r="30" spans="2:4" x14ac:dyDescent="0.25">
      <c r="B30" s="43" t="str">
        <f>IF('Clôture journalière'!$A$11="","",'Clôture journalière'!$A$11)</f>
        <v/>
      </c>
      <c r="C30" s="51" t="str">
        <f>IF('Clôture journalière'!$A$11="","",'Clôture journalière'!$H$11)</f>
        <v/>
      </c>
      <c r="D30" s="48" t="str">
        <f>IF('Clôture journalière'!$A$11="","",'Clôture journalière'!$M$11)</f>
        <v/>
      </c>
    </row>
    <row r="31" spans="2:4" x14ac:dyDescent="0.25">
      <c r="B31" s="52" t="str">
        <f>IF('Clôture journalière'!$A$12="","",'Clôture journalière'!$A$12)</f>
        <v/>
      </c>
      <c r="C31" s="59" t="str">
        <f>IF('Clôture journalière'!$A$12="","",'Clôture journalière'!$H$12)</f>
        <v/>
      </c>
      <c r="D31" s="57" t="str">
        <f>IF('Clôture journalière'!$A$12="","",'Clôture journalière'!$M$12)</f>
        <v/>
      </c>
    </row>
    <row r="32" spans="2:4" x14ac:dyDescent="0.25">
      <c r="B32" s="43" t="str">
        <f>IF('Clôture journalière'!$A$13="","",'Clôture journalière'!$A$13)</f>
        <v/>
      </c>
      <c r="C32" s="51" t="str">
        <f>IF('Clôture journalière'!$A$13="","",'Clôture journalière'!$H$13)</f>
        <v/>
      </c>
      <c r="D32" s="48" t="str">
        <f>IF('Clôture journalière'!$A$13="","",'Clôture journalière'!$M$13)</f>
        <v/>
      </c>
    </row>
    <row r="33" spans="2:4" x14ac:dyDescent="0.25">
      <c r="B33" s="52" t="str">
        <f>IF('Clôture journalière'!$A$14="","",'Clôture journalière'!$A$14)</f>
        <v/>
      </c>
      <c r="C33" s="59" t="str">
        <f>IF('Clôture journalière'!$A$14="","",'Clôture journalière'!$H$14)</f>
        <v/>
      </c>
      <c r="D33" s="57" t="str">
        <f>IF('Clôture journalière'!$A$14="","",'Clôture journalière'!$M$14)</f>
        <v/>
      </c>
    </row>
  </sheetData>
  <mergeCells count="20">
    <mergeCell ref="B24:D24"/>
    <mergeCell ref="B10:C11"/>
    <mergeCell ref="D10:E11"/>
    <mergeCell ref="F10:G11"/>
    <mergeCell ref="H10:I11"/>
    <mergeCell ref="B14:D14"/>
    <mergeCell ref="B6:C7"/>
    <mergeCell ref="D6:E7"/>
    <mergeCell ref="F6:G7"/>
    <mergeCell ref="H6:I7"/>
    <mergeCell ref="B9:C9"/>
    <mergeCell ref="D9:E9"/>
    <mergeCell ref="F9:G9"/>
    <mergeCell ref="H9:I9"/>
    <mergeCell ref="A1:H2"/>
    <mergeCell ref="A3:H3"/>
    <mergeCell ref="B5:C5"/>
    <mergeCell ref="D5:E5"/>
    <mergeCell ref="F5:G5"/>
    <mergeCell ref="H5:I5"/>
  </mergeCells>
  <conditionalFormatting sqref="D26:D33">
    <cfRule type="expression" dxfId="2" priority="2">
      <formula>EXACT(D26,"Conforme")</formula>
    </cfRule>
    <cfRule type="expression" dxfId="1" priority="3">
      <formula>EXACT(D26,"Écart toléré")</formula>
    </cfRule>
    <cfRule type="expression" dxfId="0" priority="4">
      <formula>EXACT(D26,"À justifier")</formula>
    </cfRule>
  </conditionalFormatting>
  <pageMargins left="0.75" right="0.75" top="1" bottom="1" header="0.511811023622047" footer="0.511811023622047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6</vt:i4>
      </vt:variant>
    </vt:vector>
  </HeadingPairs>
  <TitlesOfParts>
    <vt:vector size="11" baseType="lpstr">
      <vt:lpstr>Journal de caisse</vt:lpstr>
      <vt:lpstr>Mode d'emploi</vt:lpstr>
      <vt:lpstr>Paramètres</vt:lpstr>
      <vt:lpstr>Clôture journalière</vt:lpstr>
      <vt:lpstr>Tableau de bord</vt:lpstr>
      <vt:lpstr>'Clôture journalière'!Druckbereich</vt:lpstr>
      <vt:lpstr>'Journal de caisse'!Druckbereich</vt:lpstr>
      <vt:lpstr>'Mode d''emploi'!Druckbereich</vt:lpstr>
      <vt:lpstr>Paramètres!Druckbereich</vt:lpstr>
      <vt:lpstr>'Tableau de bord'!Druckbereich</vt:lpstr>
      <vt:lpstr>'Journal de caisse'!Drucktitel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2026-09-24T14:16:01Z</dcterms:created>
  <dcterms:modified xsi:type="dcterms:W3CDTF">2026-09-27T16:52:55Z</dcterms:modified>
  <dc:language>en-US</dc:language>
</cp:coreProperties>
</file>