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911EB4D6-EF2C-488B-A7A3-F89B53473788}" xr6:coauthVersionLast="47" xr6:coauthVersionMax="47" xr10:uidLastSave="{00000000-0000-0000-0000-000000000000}"/>
  <bookViews>
    <workbookView xWindow="1035" yWindow="1035" windowWidth="25500" windowHeight="13500" xr2:uid="{00000000-000D-0000-FFFF-FFFF00000000}"/>
  </bookViews>
  <sheets>
    <sheet name="Synthèse" sheetId="1" r:id="rId1"/>
    <sheet name="Déplacements" sheetId="2" r:id="rId2"/>
    <sheet name="Dépenses" sheetId="3" r:id="rId3"/>
    <sheet name="Entretien" sheetId="4" r:id="rId4"/>
    <sheet name="Relevé mensuel" sheetId="5" r:id="rId5"/>
    <sheet name="Paramètres" sheetId="6" r:id="rId6"/>
    <sheet name="Mode d'emploi" sheetId="7" r:id="rId7"/>
  </sheets>
  <definedNames>
    <definedName name="_xlnm._FilterDatabase" localSheetId="2" hidden="1">Dépenses!$B$8:$V$508</definedName>
    <definedName name="_xlnm._FilterDatabase" localSheetId="1" hidden="1">Déplacements!$B$8:$P$808</definedName>
    <definedName name="AlerteJours">Paramètres!$I$24</definedName>
    <definedName name="AlerteKm">Paramètres!$I$25</definedName>
    <definedName name="AnneeSynth">Synthèse!$Q$2</definedName>
    <definedName name="BaremeCV">Paramètres!$B$37:$B$41</definedName>
    <definedName name="BaremeF2">Paramètres!$E$37:$E$41</definedName>
    <definedName name="BaremeT1">Paramètres!$C$37:$C$41</definedName>
    <definedName name="BaremeT2">Paramètres!$D$37:$D$41</definedName>
    <definedName name="BaremeT3">Paramètres!$F$37:$F$41</definedName>
    <definedName name="Capacite">Paramètres!$C$17</definedName>
    <definedName name="CatGroupe">Paramètres!$J$37:$J$50</definedName>
    <definedName name="CatNoms">Paramètres!$H$37:$H$50</definedName>
    <definedName name="CatTVA">Paramètres!$I$37:$I$50</definedName>
    <definedName name="Centres">Paramètres!$B$46:$B$53</definedName>
    <definedName name="CondActif">Paramètres!$F$23:$F$32</definedName>
    <definedName name="CondNoms">Paramètres!$B$23:$B$32</definedName>
    <definedName name="CondService">Paramètres!$C$23:$C$32</definedName>
    <definedName name="ConsoRef">Paramètres!$I$31</definedName>
    <definedName name="DateMEC">Paramètres!$C$15</definedName>
    <definedName name="DateOuverture">Paramètres!$I$15</definedName>
    <definedName name="DateSituation">Paramètres!$I$18</definedName>
    <definedName name="_xlnm.Print_Area" localSheetId="2">Dépenses!$A$1:$W$508</definedName>
    <definedName name="_xlnm.Print_Area" localSheetId="1">Déplacements!$A$1:$Q$808</definedName>
    <definedName name="_xlnm.Print_Area" localSheetId="3">Entretien!$A$1:$Q$24</definedName>
    <definedName name="_xlnm.Print_Area" localSheetId="6">'Mode d''emploi'!$A$1:$F$66</definedName>
    <definedName name="_xlnm.Print_Area" localSheetId="5">Paramètres!$A$1:$M$53</definedName>
    <definedName name="_xlnm.Print_Area" localSheetId="4">'Relevé mensuel'!$A$1:$H$79</definedName>
    <definedName name="_xlnm.Print_Area" localSheetId="0">Synthèse!$A$1:$S$54</definedName>
    <definedName name="_xlnm.Print_Titles" localSheetId="2">Dépenses!$8:$8</definedName>
    <definedName name="_xlnm.Print_Titles" localSheetId="1">Déplacements!$8:$8</definedName>
    <definedName name="Energie">Paramètres!$C$13</definedName>
    <definedName name="Gestionnaire">Paramètres!$I$12</definedName>
    <definedName name="Immatriculation">Paramètres!$C$10</definedName>
    <definedName name="InclureDT">Paramètres!$I$28</definedName>
    <definedName name="KmActuel">Paramètres!$I$17</definedName>
    <definedName name="KmOuverture">Paramètres!$I$16</definedName>
    <definedName name="ListeCategories">OFFSET(Paramètres!$H$37,0,0,MAX(1,COUNTIF(Paramètres!$H$37:$H$50,"?*")),1)</definedName>
    <definedName name="ListeCentres">OFFSET(Paramètres!$B$46,0,0,MAX(1,COUNTIF(Paramètres!$B$46:$B$53,"?*")),1)</definedName>
    <definedName name="ListeConducteurs">OFFSET(Paramètres!$B$23,0,0,MAX(1,COUNTIF(Paramètres!$B$23:$B$32,"?*")),1)</definedName>
    <definedName name="ListeEnergies">OFFSET(Paramètres!$O$11,0,0,MAX(1,COUNTIF(Paramètres!$O$11:$O$27,"?*")),1)</definedName>
    <definedName name="ListeEnergiesPlage">Paramètres!$O$11:$O$27</definedName>
    <definedName name="ListeMois">OFFSET(Paramètres!$U$11,0,0,MAX(1,COUNTIF(Paramètres!$U$11:$U$27,"?*")),1)</definedName>
    <definedName name="ListeMoisPlage">Paramètres!$U$11:$U$27</definedName>
    <definedName name="ListeNature">OFFSET(Paramètres!$N$11,0,0,MAX(1,COUNTIF(Paramètres!$N$11:$N$27,"?*")),1)</definedName>
    <definedName name="ListeNaturePlage">Paramètres!$N$11:$N$27</definedName>
    <definedName name="ListeOperations">OFFSET(Paramètres!$R$11,0,0,MAX(1,COUNTIF(Paramètres!$R$11:$R$27,"?*")),1)</definedName>
    <definedName name="ListeOperationsPlage">Paramètres!$R$11:$R$27</definedName>
    <definedName name="ListePeriodes">OFFSET(Paramètres!$V$11,0,0,MAX(1,COUNTIF(Paramètres!$V$11:$V$27,"?*")),1)</definedName>
    <definedName name="ListePeriodesPlage">Paramètres!$V$11:$V$27</definedName>
    <definedName name="ListeReglements">OFFSET(Paramètres!$Q$11,0,0,MAX(1,COUNTIF(Paramètres!$Q$11:$Q$27,"?*")),1)</definedName>
    <definedName name="ListeReglementsPlage">Paramètres!$Q$11:$Q$27</definedName>
    <definedName name="ListeRegroupements">OFFSET(Paramètres!$S$11,0,0,MAX(1,COUNTIF(Paramètres!$S$11:$S$27,"?*")),1)</definedName>
    <definedName name="ListeRegroupementsPlage">Paramètres!$S$11:$S$27</definedName>
    <definedName name="ListeStatuts">OFFSET(Paramètres!$P$11,0,0,MAX(1,COUNTIF(Paramètres!$P$11:$P$27,"?*")),1)</definedName>
    <definedName name="ListeStatutsPlage">Paramètres!$P$11:$P$27</definedName>
    <definedName name="ListeTVA">OFFSET(Paramètres!$T$11,0,0,MAX(1,COUNTIF(Paramètres!$T$11:$T$27,"&gt;-1")),1)</definedName>
    <definedName name="ListeTVAPlage">Paramètres!$T$11:$T$27</definedName>
    <definedName name="MajorationElec">Paramètres!$I$29</definedName>
    <definedName name="Marque">Paramètres!$C$11</definedName>
    <definedName name="Modele">Paramètres!$C$12</definedName>
    <definedName name="PerDebut">Synthèse!$V$6</definedName>
    <definedName name="PerFin">Synthèse!$V$7</definedName>
    <definedName name="Periode">Synthèse!$Q$3</definedName>
    <definedName name="PuissanceCV">Paramètres!$C$14</definedName>
    <definedName name="RelAnnee">'Relevé mensuel'!$F$6</definedName>
    <definedName name="RelConducteur">'Relevé mensuel'!$B$6</definedName>
    <definedName name="RelDebut">'Relevé mensuel'!$J$6</definedName>
    <definedName name="RelFin">'Relevé mensuel'!$J$7</definedName>
    <definedName name="RelMois">'Relevé mensuel'!$E$6</definedName>
    <definedName name="SeuilConso">Paramètres!$I$27</definedName>
    <definedName name="Statut">Paramètres!$C$18</definedName>
    <definedName name="TitulaireVehicule">Paramètres!$I$10</definedName>
    <definedName name="ToleranceKm">Paramètres!$I$26</definedName>
    <definedName name="UniteQte">Paramètres!$I$30</definedName>
    <definedName name="UsagePrive">Paramètres!$I$23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7" l="1"/>
  <c r="I30" i="6"/>
  <c r="I18" i="6"/>
  <c r="I17" i="6"/>
  <c r="H5" i="6"/>
  <c r="D5" i="6"/>
  <c r="B5" i="6"/>
  <c r="B1" i="6"/>
  <c r="B71" i="5"/>
  <c r="F15" i="5"/>
  <c r="F12" i="5"/>
  <c r="D12" i="5"/>
  <c r="F10" i="5"/>
  <c r="D10" i="5"/>
  <c r="F9" i="5"/>
  <c r="D9" i="5"/>
  <c r="J5" i="5"/>
  <c r="B1" i="5"/>
  <c r="B24" i="4"/>
  <c r="S22" i="4"/>
  <c r="R22" i="4"/>
  <c r="O22" i="4"/>
  <c r="N22" i="4"/>
  <c r="G22" i="4"/>
  <c r="J22" i="4" s="1"/>
  <c r="L22" i="4" s="1"/>
  <c r="S21" i="4"/>
  <c r="R21" i="4"/>
  <c r="O21" i="4"/>
  <c r="N21" i="4"/>
  <c r="K21" i="4"/>
  <c r="M21" i="4" s="1"/>
  <c r="I21" i="4"/>
  <c r="H21" i="4"/>
  <c r="G21" i="4"/>
  <c r="J21" i="4" s="1"/>
  <c r="L21" i="4" s="1"/>
  <c r="S20" i="4"/>
  <c r="R20" i="4"/>
  <c r="O20" i="4"/>
  <c r="N20" i="4"/>
  <c r="H20" i="4"/>
  <c r="K20" i="4" s="1"/>
  <c r="M20" i="4" s="1"/>
  <c r="G20" i="4"/>
  <c r="S19" i="4"/>
  <c r="R19" i="4"/>
  <c r="O19" i="4"/>
  <c r="G19" i="4"/>
  <c r="S18" i="4"/>
  <c r="R18" i="4"/>
  <c r="O18" i="4"/>
  <c r="G18" i="4"/>
  <c r="S17" i="4"/>
  <c r="R17" i="4"/>
  <c r="O17" i="4"/>
  <c r="G17" i="4"/>
  <c r="N17" i="4" s="1"/>
  <c r="S16" i="4"/>
  <c r="R16" i="4"/>
  <c r="G16" i="4" s="1"/>
  <c r="L16" i="4"/>
  <c r="J16" i="4"/>
  <c r="I16" i="4"/>
  <c r="S15" i="4"/>
  <c r="R15" i="4"/>
  <c r="J15" i="4"/>
  <c r="L15" i="4" s="1"/>
  <c r="I15" i="4"/>
  <c r="G15" i="4"/>
  <c r="S14" i="4"/>
  <c r="R14" i="4"/>
  <c r="G14" i="4"/>
  <c r="S13" i="4"/>
  <c r="R13" i="4"/>
  <c r="G13" i="4"/>
  <c r="S12" i="4"/>
  <c r="R12" i="4"/>
  <c r="J12" i="4"/>
  <c r="L12" i="4" s="1"/>
  <c r="I12" i="4"/>
  <c r="H12" i="4"/>
  <c r="K12" i="4" s="1"/>
  <c r="M12" i="4" s="1"/>
  <c r="G12" i="4"/>
  <c r="S11" i="4"/>
  <c r="R11" i="4"/>
  <c r="G11" i="4"/>
  <c r="S10" i="4"/>
  <c r="R10" i="4"/>
  <c r="G10" i="4" s="1"/>
  <c r="S9" i="4"/>
  <c r="R9" i="4"/>
  <c r="G9" i="4"/>
  <c r="B5" i="4"/>
  <c r="P2" i="4"/>
  <c r="B1" i="4"/>
  <c r="AB508" i="3"/>
  <c r="Y508" i="3"/>
  <c r="X508" i="3"/>
  <c r="V508" i="3"/>
  <c r="T508" i="3"/>
  <c r="O508" i="3"/>
  <c r="N508" i="3"/>
  <c r="B508" i="3"/>
  <c r="AB507" i="3"/>
  <c r="X507" i="3"/>
  <c r="Y507" i="3" s="1"/>
  <c r="V507" i="3"/>
  <c r="T507" i="3"/>
  <c r="O507" i="3"/>
  <c r="N507" i="3"/>
  <c r="B507" i="3"/>
  <c r="AB506" i="3"/>
  <c r="X506" i="3"/>
  <c r="Y506" i="3" s="1"/>
  <c r="V506" i="3"/>
  <c r="T506" i="3"/>
  <c r="O506" i="3"/>
  <c r="N506" i="3"/>
  <c r="B506" i="3"/>
  <c r="AB505" i="3"/>
  <c r="Y505" i="3"/>
  <c r="X505" i="3"/>
  <c r="V505" i="3"/>
  <c r="T505" i="3"/>
  <c r="O505" i="3"/>
  <c r="N505" i="3"/>
  <c r="B505" i="3"/>
  <c r="AB504" i="3"/>
  <c r="Y504" i="3"/>
  <c r="X504" i="3"/>
  <c r="V504" i="3"/>
  <c r="T504" i="3"/>
  <c r="P504" i="3"/>
  <c r="O504" i="3"/>
  <c r="N504" i="3"/>
  <c r="B504" i="3"/>
  <c r="AB503" i="3"/>
  <c r="X503" i="3"/>
  <c r="Y503" i="3" s="1"/>
  <c r="V503" i="3"/>
  <c r="T503" i="3"/>
  <c r="O503" i="3"/>
  <c r="N503" i="3"/>
  <c r="B503" i="3"/>
  <c r="AB502" i="3"/>
  <c r="X502" i="3"/>
  <c r="Y502" i="3" s="1"/>
  <c r="V502" i="3"/>
  <c r="T502" i="3"/>
  <c r="P502" i="3"/>
  <c r="O502" i="3"/>
  <c r="N502" i="3"/>
  <c r="B502" i="3"/>
  <c r="AB501" i="3"/>
  <c r="Y501" i="3"/>
  <c r="X501" i="3"/>
  <c r="V501" i="3"/>
  <c r="T501" i="3"/>
  <c r="P501" i="3"/>
  <c r="O501" i="3"/>
  <c r="N501" i="3"/>
  <c r="B501" i="3"/>
  <c r="AB500" i="3"/>
  <c r="Y500" i="3"/>
  <c r="X500" i="3"/>
  <c r="V500" i="3"/>
  <c r="T500" i="3"/>
  <c r="P500" i="3"/>
  <c r="O500" i="3"/>
  <c r="N500" i="3"/>
  <c r="B500" i="3"/>
  <c r="AB499" i="3"/>
  <c r="Y499" i="3"/>
  <c r="X499" i="3"/>
  <c r="V499" i="3"/>
  <c r="T499" i="3"/>
  <c r="O499" i="3"/>
  <c r="N499" i="3"/>
  <c r="B499" i="3"/>
  <c r="AB498" i="3"/>
  <c r="Y498" i="3"/>
  <c r="X498" i="3"/>
  <c r="V498" i="3"/>
  <c r="T498" i="3"/>
  <c r="P498" i="3"/>
  <c r="O498" i="3"/>
  <c r="N498" i="3"/>
  <c r="B498" i="3"/>
  <c r="AB497" i="3"/>
  <c r="Y497" i="3"/>
  <c r="X497" i="3"/>
  <c r="V497" i="3"/>
  <c r="T497" i="3"/>
  <c r="P497" i="3"/>
  <c r="O497" i="3"/>
  <c r="N497" i="3"/>
  <c r="B497" i="3"/>
  <c r="AB496" i="3"/>
  <c r="Y496" i="3"/>
  <c r="X496" i="3"/>
  <c r="V496" i="3"/>
  <c r="T496" i="3"/>
  <c r="O496" i="3"/>
  <c r="N496" i="3"/>
  <c r="B496" i="3"/>
  <c r="AB495" i="3"/>
  <c r="Y495" i="3"/>
  <c r="X495" i="3"/>
  <c r="V495" i="3"/>
  <c r="T495" i="3"/>
  <c r="P495" i="3"/>
  <c r="O495" i="3"/>
  <c r="N495" i="3"/>
  <c r="B495" i="3"/>
  <c r="AB494" i="3"/>
  <c r="X494" i="3"/>
  <c r="Y494" i="3" s="1"/>
  <c r="V494" i="3"/>
  <c r="T494" i="3"/>
  <c r="P494" i="3"/>
  <c r="O494" i="3"/>
  <c r="N494" i="3"/>
  <c r="B494" i="3"/>
  <c r="AB493" i="3"/>
  <c r="X493" i="3"/>
  <c r="Y493" i="3" s="1"/>
  <c r="V493" i="3"/>
  <c r="T493" i="3"/>
  <c r="O493" i="3"/>
  <c r="N493" i="3"/>
  <c r="B493" i="3"/>
  <c r="AB492" i="3"/>
  <c r="Y492" i="3"/>
  <c r="X492" i="3"/>
  <c r="V492" i="3"/>
  <c r="T492" i="3"/>
  <c r="O492" i="3"/>
  <c r="N492" i="3"/>
  <c r="B492" i="3"/>
  <c r="AB491" i="3"/>
  <c r="Y491" i="3"/>
  <c r="X491" i="3"/>
  <c r="V491" i="3"/>
  <c r="T491" i="3"/>
  <c r="O491" i="3"/>
  <c r="N491" i="3"/>
  <c r="B491" i="3"/>
  <c r="AB490" i="3"/>
  <c r="Y490" i="3"/>
  <c r="X490" i="3"/>
  <c r="V490" i="3"/>
  <c r="T490" i="3"/>
  <c r="O490" i="3"/>
  <c r="N490" i="3"/>
  <c r="B490" i="3"/>
  <c r="AB489" i="3"/>
  <c r="Y489" i="3"/>
  <c r="X489" i="3"/>
  <c r="V489" i="3"/>
  <c r="T489" i="3"/>
  <c r="O489" i="3"/>
  <c r="N489" i="3"/>
  <c r="B489" i="3"/>
  <c r="AB488" i="3"/>
  <c r="Y488" i="3"/>
  <c r="X488" i="3"/>
  <c r="V488" i="3"/>
  <c r="T488" i="3"/>
  <c r="O488" i="3"/>
  <c r="N488" i="3"/>
  <c r="B488" i="3"/>
  <c r="AB487" i="3"/>
  <c r="Y487" i="3"/>
  <c r="X487" i="3"/>
  <c r="V487" i="3"/>
  <c r="T487" i="3"/>
  <c r="O487" i="3"/>
  <c r="N487" i="3"/>
  <c r="B487" i="3"/>
  <c r="AB486" i="3"/>
  <c r="Y486" i="3"/>
  <c r="X486" i="3"/>
  <c r="V486" i="3"/>
  <c r="T486" i="3"/>
  <c r="O486" i="3"/>
  <c r="N486" i="3"/>
  <c r="B486" i="3"/>
  <c r="AB485" i="3"/>
  <c r="X485" i="3"/>
  <c r="Y485" i="3" s="1"/>
  <c r="V485" i="3"/>
  <c r="T485" i="3"/>
  <c r="O485" i="3"/>
  <c r="N485" i="3"/>
  <c r="B485" i="3"/>
  <c r="AB484" i="3"/>
  <c r="Y484" i="3"/>
  <c r="X484" i="3"/>
  <c r="V484" i="3"/>
  <c r="T484" i="3"/>
  <c r="O484" i="3"/>
  <c r="N484" i="3"/>
  <c r="B484" i="3"/>
  <c r="AB483" i="3"/>
  <c r="Y483" i="3"/>
  <c r="X483" i="3"/>
  <c r="V483" i="3"/>
  <c r="T483" i="3"/>
  <c r="P483" i="3"/>
  <c r="O483" i="3"/>
  <c r="N483" i="3"/>
  <c r="B483" i="3"/>
  <c r="AB482" i="3"/>
  <c r="X482" i="3"/>
  <c r="Y482" i="3" s="1"/>
  <c r="V482" i="3"/>
  <c r="T482" i="3"/>
  <c r="O482" i="3"/>
  <c r="N482" i="3"/>
  <c r="B482" i="3"/>
  <c r="AB481" i="3"/>
  <c r="Y481" i="3"/>
  <c r="X481" i="3"/>
  <c r="V481" i="3"/>
  <c r="T481" i="3"/>
  <c r="O481" i="3"/>
  <c r="N481" i="3"/>
  <c r="B481" i="3"/>
  <c r="AB480" i="3"/>
  <c r="Y480" i="3"/>
  <c r="X480" i="3"/>
  <c r="V480" i="3"/>
  <c r="T480" i="3"/>
  <c r="O480" i="3"/>
  <c r="N480" i="3"/>
  <c r="B480" i="3"/>
  <c r="AB479" i="3"/>
  <c r="Y479" i="3"/>
  <c r="X479" i="3"/>
  <c r="V479" i="3"/>
  <c r="T479" i="3"/>
  <c r="O479" i="3"/>
  <c r="N479" i="3"/>
  <c r="B479" i="3"/>
  <c r="AB478" i="3"/>
  <c r="X478" i="3"/>
  <c r="Y478" i="3" s="1"/>
  <c r="V478" i="3"/>
  <c r="T478" i="3"/>
  <c r="O478" i="3"/>
  <c r="N478" i="3"/>
  <c r="B478" i="3"/>
  <c r="AB477" i="3"/>
  <c r="Y477" i="3"/>
  <c r="X477" i="3"/>
  <c r="V477" i="3"/>
  <c r="T477" i="3"/>
  <c r="O477" i="3"/>
  <c r="N477" i="3"/>
  <c r="B477" i="3"/>
  <c r="AB476" i="3"/>
  <c r="Y476" i="3"/>
  <c r="X476" i="3"/>
  <c r="V476" i="3"/>
  <c r="T476" i="3"/>
  <c r="P476" i="3"/>
  <c r="O476" i="3"/>
  <c r="N476" i="3"/>
  <c r="B476" i="3"/>
  <c r="AB475" i="3"/>
  <c r="Y475" i="3"/>
  <c r="X475" i="3"/>
  <c r="V475" i="3"/>
  <c r="T475" i="3"/>
  <c r="O475" i="3"/>
  <c r="N475" i="3"/>
  <c r="B475" i="3"/>
  <c r="AB474" i="3"/>
  <c r="X474" i="3"/>
  <c r="Y474" i="3" s="1"/>
  <c r="V474" i="3"/>
  <c r="T474" i="3"/>
  <c r="P474" i="3"/>
  <c r="O474" i="3"/>
  <c r="N474" i="3"/>
  <c r="B474" i="3"/>
  <c r="AB473" i="3"/>
  <c r="X473" i="3"/>
  <c r="Y473" i="3" s="1"/>
  <c r="V473" i="3"/>
  <c r="T473" i="3"/>
  <c r="O473" i="3"/>
  <c r="N473" i="3"/>
  <c r="B473" i="3"/>
  <c r="AB472" i="3"/>
  <c r="Y472" i="3"/>
  <c r="X472" i="3"/>
  <c r="V472" i="3"/>
  <c r="T472" i="3"/>
  <c r="P472" i="3"/>
  <c r="O472" i="3"/>
  <c r="N472" i="3"/>
  <c r="B472" i="3"/>
  <c r="AB471" i="3"/>
  <c r="X471" i="3"/>
  <c r="Y471" i="3" s="1"/>
  <c r="V471" i="3"/>
  <c r="T471" i="3"/>
  <c r="P471" i="3"/>
  <c r="O471" i="3"/>
  <c r="N471" i="3"/>
  <c r="B471" i="3"/>
  <c r="AB470" i="3"/>
  <c r="Y470" i="3"/>
  <c r="X470" i="3"/>
  <c r="V470" i="3"/>
  <c r="T470" i="3"/>
  <c r="O470" i="3"/>
  <c r="N470" i="3"/>
  <c r="B470" i="3"/>
  <c r="AB469" i="3"/>
  <c r="X469" i="3"/>
  <c r="Y469" i="3" s="1"/>
  <c r="V469" i="3"/>
  <c r="T469" i="3"/>
  <c r="P469" i="3"/>
  <c r="O469" i="3"/>
  <c r="N469" i="3"/>
  <c r="B469" i="3"/>
  <c r="AB468" i="3"/>
  <c r="Y468" i="3"/>
  <c r="X468" i="3"/>
  <c r="V468" i="3"/>
  <c r="T468" i="3"/>
  <c r="O468" i="3"/>
  <c r="N468" i="3"/>
  <c r="B468" i="3"/>
  <c r="AB467" i="3"/>
  <c r="X467" i="3"/>
  <c r="Y467" i="3" s="1"/>
  <c r="V467" i="3"/>
  <c r="T467" i="3"/>
  <c r="O467" i="3"/>
  <c r="N467" i="3"/>
  <c r="B467" i="3"/>
  <c r="AB466" i="3"/>
  <c r="X466" i="3"/>
  <c r="Y466" i="3" s="1"/>
  <c r="V466" i="3"/>
  <c r="T466" i="3"/>
  <c r="P466" i="3"/>
  <c r="O466" i="3"/>
  <c r="N466" i="3"/>
  <c r="B466" i="3"/>
  <c r="AB465" i="3"/>
  <c r="X465" i="3"/>
  <c r="Y465" i="3" s="1"/>
  <c r="V465" i="3"/>
  <c r="T465" i="3"/>
  <c r="O465" i="3"/>
  <c r="N465" i="3"/>
  <c r="B465" i="3"/>
  <c r="AB464" i="3"/>
  <c r="Y464" i="3"/>
  <c r="X464" i="3"/>
  <c r="V464" i="3"/>
  <c r="T464" i="3"/>
  <c r="P464" i="3"/>
  <c r="O464" i="3"/>
  <c r="N464" i="3"/>
  <c r="B464" i="3"/>
  <c r="AB463" i="3"/>
  <c r="Y463" i="3"/>
  <c r="X463" i="3"/>
  <c r="V463" i="3"/>
  <c r="T463" i="3"/>
  <c r="O463" i="3"/>
  <c r="N463" i="3"/>
  <c r="B463" i="3"/>
  <c r="AB462" i="3"/>
  <c r="Y462" i="3"/>
  <c r="X462" i="3"/>
  <c r="V462" i="3"/>
  <c r="T462" i="3"/>
  <c r="P462" i="3"/>
  <c r="O462" i="3"/>
  <c r="N462" i="3"/>
  <c r="B462" i="3"/>
  <c r="AB461" i="3"/>
  <c r="X461" i="3"/>
  <c r="Y461" i="3" s="1"/>
  <c r="V461" i="3"/>
  <c r="T461" i="3"/>
  <c r="P461" i="3"/>
  <c r="O461" i="3"/>
  <c r="N461" i="3"/>
  <c r="B461" i="3"/>
  <c r="AB460" i="3"/>
  <c r="Y460" i="3"/>
  <c r="X460" i="3"/>
  <c r="V460" i="3"/>
  <c r="T460" i="3"/>
  <c r="O460" i="3"/>
  <c r="N460" i="3"/>
  <c r="B460" i="3"/>
  <c r="AB459" i="3"/>
  <c r="X459" i="3"/>
  <c r="Y459" i="3" s="1"/>
  <c r="V459" i="3"/>
  <c r="T459" i="3"/>
  <c r="P459" i="3"/>
  <c r="O459" i="3"/>
  <c r="N459" i="3"/>
  <c r="B459" i="3"/>
  <c r="AB458" i="3"/>
  <c r="X458" i="3"/>
  <c r="Y458" i="3" s="1"/>
  <c r="V458" i="3"/>
  <c r="T458" i="3"/>
  <c r="O458" i="3"/>
  <c r="N458" i="3"/>
  <c r="B458" i="3"/>
  <c r="AB457" i="3"/>
  <c r="X457" i="3"/>
  <c r="Y457" i="3" s="1"/>
  <c r="V457" i="3"/>
  <c r="T457" i="3"/>
  <c r="O457" i="3"/>
  <c r="N457" i="3"/>
  <c r="B457" i="3"/>
  <c r="AB456" i="3"/>
  <c r="Y456" i="3"/>
  <c r="X456" i="3"/>
  <c r="V456" i="3"/>
  <c r="T456" i="3"/>
  <c r="P456" i="3"/>
  <c r="O456" i="3"/>
  <c r="N456" i="3"/>
  <c r="B456" i="3"/>
  <c r="AB455" i="3"/>
  <c r="X455" i="3"/>
  <c r="Y455" i="3" s="1"/>
  <c r="V455" i="3"/>
  <c r="T455" i="3"/>
  <c r="O455" i="3"/>
  <c r="N455" i="3"/>
  <c r="B455" i="3"/>
  <c r="AB454" i="3"/>
  <c r="X454" i="3"/>
  <c r="Y454" i="3" s="1"/>
  <c r="V454" i="3"/>
  <c r="T454" i="3"/>
  <c r="P454" i="3"/>
  <c r="O454" i="3"/>
  <c r="N454" i="3"/>
  <c r="B454" i="3"/>
  <c r="AB453" i="3"/>
  <c r="Y453" i="3"/>
  <c r="X453" i="3"/>
  <c r="V453" i="3"/>
  <c r="T453" i="3"/>
  <c r="P453" i="3"/>
  <c r="O453" i="3"/>
  <c r="N453" i="3"/>
  <c r="B453" i="3"/>
  <c r="AB452" i="3"/>
  <c r="Y452" i="3"/>
  <c r="X452" i="3"/>
  <c r="V452" i="3"/>
  <c r="T452" i="3"/>
  <c r="P452" i="3"/>
  <c r="O452" i="3"/>
  <c r="N452" i="3"/>
  <c r="B452" i="3"/>
  <c r="AB451" i="3"/>
  <c r="Y451" i="3"/>
  <c r="X451" i="3"/>
  <c r="V451" i="3"/>
  <c r="T451" i="3"/>
  <c r="O451" i="3"/>
  <c r="N451" i="3"/>
  <c r="B451" i="3"/>
  <c r="AB450" i="3"/>
  <c r="Y450" i="3"/>
  <c r="X450" i="3"/>
  <c r="V450" i="3"/>
  <c r="T450" i="3"/>
  <c r="O450" i="3"/>
  <c r="N450" i="3"/>
  <c r="B450" i="3"/>
  <c r="AB449" i="3"/>
  <c r="X449" i="3"/>
  <c r="Y449" i="3" s="1"/>
  <c r="V449" i="3"/>
  <c r="T449" i="3"/>
  <c r="P449" i="3"/>
  <c r="O449" i="3"/>
  <c r="N449" i="3"/>
  <c r="B449" i="3"/>
  <c r="AB448" i="3"/>
  <c r="X448" i="3"/>
  <c r="Y448" i="3" s="1"/>
  <c r="V448" i="3"/>
  <c r="T448" i="3"/>
  <c r="P448" i="3"/>
  <c r="O448" i="3"/>
  <c r="N448" i="3"/>
  <c r="B448" i="3"/>
  <c r="AB447" i="3"/>
  <c r="Y447" i="3"/>
  <c r="X447" i="3"/>
  <c r="V447" i="3"/>
  <c r="T447" i="3"/>
  <c r="O447" i="3"/>
  <c r="N447" i="3"/>
  <c r="B447" i="3"/>
  <c r="AB446" i="3"/>
  <c r="Y446" i="3"/>
  <c r="X446" i="3"/>
  <c r="V446" i="3"/>
  <c r="T446" i="3"/>
  <c r="P446" i="3"/>
  <c r="O446" i="3"/>
  <c r="N446" i="3"/>
  <c r="B446" i="3"/>
  <c r="AB445" i="3"/>
  <c r="Y445" i="3"/>
  <c r="X445" i="3"/>
  <c r="V445" i="3"/>
  <c r="T445" i="3"/>
  <c r="P445" i="3"/>
  <c r="O445" i="3"/>
  <c r="N445" i="3"/>
  <c r="B445" i="3"/>
  <c r="AB444" i="3"/>
  <c r="Y444" i="3"/>
  <c r="X444" i="3"/>
  <c r="V444" i="3"/>
  <c r="T444" i="3"/>
  <c r="O444" i="3"/>
  <c r="N444" i="3"/>
  <c r="B444" i="3"/>
  <c r="AB443" i="3"/>
  <c r="X443" i="3"/>
  <c r="Y443" i="3" s="1"/>
  <c r="V443" i="3"/>
  <c r="T443" i="3"/>
  <c r="O443" i="3"/>
  <c r="N443" i="3"/>
  <c r="B443" i="3"/>
  <c r="AB442" i="3"/>
  <c r="X442" i="3"/>
  <c r="Y442" i="3" s="1"/>
  <c r="V442" i="3"/>
  <c r="T442" i="3"/>
  <c r="P442" i="3"/>
  <c r="O442" i="3"/>
  <c r="N442" i="3"/>
  <c r="B442" i="3"/>
  <c r="AB441" i="3"/>
  <c r="Y441" i="3"/>
  <c r="X441" i="3"/>
  <c r="V441" i="3"/>
  <c r="T441" i="3"/>
  <c r="O441" i="3"/>
  <c r="N441" i="3"/>
  <c r="B441" i="3"/>
  <c r="AB440" i="3"/>
  <c r="Y440" i="3"/>
  <c r="X440" i="3"/>
  <c r="V440" i="3"/>
  <c r="T440" i="3"/>
  <c r="P440" i="3"/>
  <c r="O440" i="3"/>
  <c r="N440" i="3"/>
  <c r="B440" i="3"/>
  <c r="AB439" i="3"/>
  <c r="X439" i="3"/>
  <c r="Y439" i="3" s="1"/>
  <c r="V439" i="3"/>
  <c r="T439" i="3"/>
  <c r="O439" i="3"/>
  <c r="N439" i="3"/>
  <c r="B439" i="3"/>
  <c r="AB438" i="3"/>
  <c r="Y438" i="3"/>
  <c r="X438" i="3"/>
  <c r="V438" i="3"/>
  <c r="T438" i="3"/>
  <c r="O438" i="3"/>
  <c r="N438" i="3"/>
  <c r="B438" i="3"/>
  <c r="AB437" i="3"/>
  <c r="Y437" i="3"/>
  <c r="X437" i="3"/>
  <c r="V437" i="3"/>
  <c r="T437" i="3"/>
  <c r="O437" i="3"/>
  <c r="N437" i="3"/>
  <c r="B437" i="3"/>
  <c r="AB436" i="3"/>
  <c r="Y436" i="3"/>
  <c r="X436" i="3"/>
  <c r="V436" i="3"/>
  <c r="T436" i="3"/>
  <c r="O436" i="3"/>
  <c r="N436" i="3"/>
  <c r="B436" i="3"/>
  <c r="AB435" i="3"/>
  <c r="X435" i="3"/>
  <c r="Y435" i="3" s="1"/>
  <c r="V435" i="3"/>
  <c r="T435" i="3"/>
  <c r="P435" i="3"/>
  <c r="O435" i="3"/>
  <c r="N435" i="3"/>
  <c r="B435" i="3"/>
  <c r="AB434" i="3"/>
  <c r="X434" i="3"/>
  <c r="Y434" i="3" s="1"/>
  <c r="V434" i="3"/>
  <c r="T434" i="3"/>
  <c r="O434" i="3"/>
  <c r="N434" i="3"/>
  <c r="B434" i="3"/>
  <c r="AB433" i="3"/>
  <c r="Y433" i="3"/>
  <c r="X433" i="3"/>
  <c r="V433" i="3"/>
  <c r="T433" i="3"/>
  <c r="P433" i="3"/>
  <c r="O433" i="3"/>
  <c r="N433" i="3"/>
  <c r="B433" i="3"/>
  <c r="AB432" i="3"/>
  <c r="Y432" i="3"/>
  <c r="P432" i="3" s="1"/>
  <c r="X432" i="3"/>
  <c r="V432" i="3"/>
  <c r="T432" i="3"/>
  <c r="O432" i="3"/>
  <c r="N432" i="3"/>
  <c r="B432" i="3"/>
  <c r="AB431" i="3"/>
  <c r="Y431" i="3"/>
  <c r="X431" i="3"/>
  <c r="V431" i="3"/>
  <c r="T431" i="3"/>
  <c r="P431" i="3"/>
  <c r="O431" i="3"/>
  <c r="N431" i="3"/>
  <c r="B431" i="3"/>
  <c r="AB430" i="3"/>
  <c r="X430" i="3"/>
  <c r="Y430" i="3" s="1"/>
  <c r="V430" i="3"/>
  <c r="T430" i="3"/>
  <c r="O430" i="3"/>
  <c r="N430" i="3"/>
  <c r="B430" i="3"/>
  <c r="AB429" i="3"/>
  <c r="Y429" i="3"/>
  <c r="X429" i="3"/>
  <c r="V429" i="3"/>
  <c r="T429" i="3"/>
  <c r="O429" i="3"/>
  <c r="N429" i="3"/>
  <c r="B429" i="3"/>
  <c r="AB428" i="3"/>
  <c r="Y428" i="3"/>
  <c r="X428" i="3"/>
  <c r="V428" i="3"/>
  <c r="T428" i="3"/>
  <c r="P428" i="3"/>
  <c r="O428" i="3"/>
  <c r="N428" i="3"/>
  <c r="B428" i="3"/>
  <c r="AB427" i="3"/>
  <c r="X427" i="3"/>
  <c r="Y427" i="3" s="1"/>
  <c r="V427" i="3"/>
  <c r="T427" i="3"/>
  <c r="O427" i="3"/>
  <c r="N427" i="3"/>
  <c r="B427" i="3"/>
  <c r="AB426" i="3"/>
  <c r="Y426" i="3"/>
  <c r="X426" i="3"/>
  <c r="V426" i="3"/>
  <c r="T426" i="3"/>
  <c r="O426" i="3"/>
  <c r="N426" i="3"/>
  <c r="B426" i="3"/>
  <c r="AB425" i="3"/>
  <c r="X425" i="3"/>
  <c r="Y425" i="3" s="1"/>
  <c r="V425" i="3"/>
  <c r="T425" i="3"/>
  <c r="O425" i="3"/>
  <c r="N425" i="3"/>
  <c r="B425" i="3"/>
  <c r="AB424" i="3"/>
  <c r="X424" i="3"/>
  <c r="Y424" i="3" s="1"/>
  <c r="V424" i="3"/>
  <c r="T424" i="3"/>
  <c r="P424" i="3"/>
  <c r="O424" i="3"/>
  <c r="N424" i="3"/>
  <c r="B424" i="3"/>
  <c r="AB423" i="3"/>
  <c r="Y423" i="3"/>
  <c r="X423" i="3"/>
  <c r="V423" i="3"/>
  <c r="T423" i="3"/>
  <c r="O423" i="3"/>
  <c r="N423" i="3"/>
  <c r="B423" i="3"/>
  <c r="AB422" i="3"/>
  <c r="Y422" i="3"/>
  <c r="X422" i="3"/>
  <c r="V422" i="3"/>
  <c r="T422" i="3"/>
  <c r="O422" i="3"/>
  <c r="N422" i="3"/>
  <c r="B422" i="3"/>
  <c r="AB421" i="3"/>
  <c r="Y421" i="3"/>
  <c r="X421" i="3"/>
  <c r="V421" i="3"/>
  <c r="T421" i="3"/>
  <c r="P421" i="3"/>
  <c r="O421" i="3"/>
  <c r="N421" i="3"/>
  <c r="B421" i="3"/>
  <c r="AB420" i="3"/>
  <c r="X420" i="3"/>
  <c r="Y420" i="3" s="1"/>
  <c r="V420" i="3"/>
  <c r="T420" i="3"/>
  <c r="P420" i="3"/>
  <c r="O420" i="3"/>
  <c r="N420" i="3"/>
  <c r="B420" i="3"/>
  <c r="AB419" i="3"/>
  <c r="Y419" i="3"/>
  <c r="X419" i="3"/>
  <c r="V419" i="3"/>
  <c r="T419" i="3"/>
  <c r="O419" i="3"/>
  <c r="N419" i="3"/>
  <c r="B419" i="3"/>
  <c r="AB418" i="3"/>
  <c r="Y418" i="3"/>
  <c r="X418" i="3"/>
  <c r="V418" i="3"/>
  <c r="T418" i="3"/>
  <c r="O418" i="3"/>
  <c r="N418" i="3"/>
  <c r="B418" i="3"/>
  <c r="AB417" i="3"/>
  <c r="X417" i="3"/>
  <c r="Y417" i="3" s="1"/>
  <c r="V417" i="3"/>
  <c r="T417" i="3"/>
  <c r="P417" i="3"/>
  <c r="O417" i="3"/>
  <c r="N417" i="3"/>
  <c r="B417" i="3"/>
  <c r="AB416" i="3"/>
  <c r="X416" i="3"/>
  <c r="Y416" i="3" s="1"/>
  <c r="V416" i="3"/>
  <c r="T416" i="3"/>
  <c r="O416" i="3"/>
  <c r="N416" i="3"/>
  <c r="B416" i="3"/>
  <c r="AB415" i="3"/>
  <c r="X415" i="3"/>
  <c r="Y415" i="3" s="1"/>
  <c r="V415" i="3"/>
  <c r="T415" i="3"/>
  <c r="O415" i="3"/>
  <c r="N415" i="3"/>
  <c r="B415" i="3"/>
  <c r="AB414" i="3"/>
  <c r="Y414" i="3"/>
  <c r="X414" i="3"/>
  <c r="V414" i="3"/>
  <c r="T414" i="3"/>
  <c r="P414" i="3"/>
  <c r="O414" i="3"/>
  <c r="N414" i="3"/>
  <c r="B414" i="3"/>
  <c r="AB413" i="3"/>
  <c r="Y413" i="3"/>
  <c r="X413" i="3"/>
  <c r="V413" i="3"/>
  <c r="T413" i="3"/>
  <c r="O413" i="3"/>
  <c r="N413" i="3"/>
  <c r="B413" i="3"/>
  <c r="AB412" i="3"/>
  <c r="X412" i="3"/>
  <c r="Y412" i="3" s="1"/>
  <c r="V412" i="3"/>
  <c r="T412" i="3"/>
  <c r="P412" i="3"/>
  <c r="O412" i="3"/>
  <c r="N412" i="3"/>
  <c r="B412" i="3"/>
  <c r="AB411" i="3"/>
  <c r="X411" i="3"/>
  <c r="Y411" i="3" s="1"/>
  <c r="V411" i="3"/>
  <c r="T411" i="3"/>
  <c r="O411" i="3"/>
  <c r="N411" i="3"/>
  <c r="B411" i="3"/>
  <c r="AB410" i="3"/>
  <c r="Y410" i="3"/>
  <c r="X410" i="3"/>
  <c r="V410" i="3"/>
  <c r="T410" i="3"/>
  <c r="O410" i="3"/>
  <c r="N410" i="3"/>
  <c r="B410" i="3"/>
  <c r="AB409" i="3"/>
  <c r="X409" i="3"/>
  <c r="Y409" i="3" s="1"/>
  <c r="V409" i="3"/>
  <c r="T409" i="3"/>
  <c r="P409" i="3"/>
  <c r="O409" i="3"/>
  <c r="N409" i="3"/>
  <c r="B409" i="3"/>
  <c r="AB408" i="3"/>
  <c r="X408" i="3"/>
  <c r="Y408" i="3" s="1"/>
  <c r="V408" i="3"/>
  <c r="T408" i="3"/>
  <c r="O408" i="3"/>
  <c r="N408" i="3"/>
  <c r="B408" i="3"/>
  <c r="AB407" i="3"/>
  <c r="X407" i="3"/>
  <c r="Y407" i="3" s="1"/>
  <c r="V407" i="3"/>
  <c r="T407" i="3"/>
  <c r="O407" i="3"/>
  <c r="N407" i="3"/>
  <c r="B407" i="3"/>
  <c r="AB406" i="3"/>
  <c r="Y406" i="3"/>
  <c r="X406" i="3"/>
  <c r="V406" i="3"/>
  <c r="T406" i="3"/>
  <c r="P406" i="3"/>
  <c r="O406" i="3"/>
  <c r="N406" i="3"/>
  <c r="B406" i="3"/>
  <c r="AB405" i="3"/>
  <c r="Y405" i="3"/>
  <c r="X405" i="3"/>
  <c r="V405" i="3"/>
  <c r="T405" i="3"/>
  <c r="O405" i="3"/>
  <c r="N405" i="3"/>
  <c r="B405" i="3"/>
  <c r="AB404" i="3"/>
  <c r="X404" i="3"/>
  <c r="Y404" i="3" s="1"/>
  <c r="V404" i="3"/>
  <c r="T404" i="3"/>
  <c r="O404" i="3"/>
  <c r="N404" i="3"/>
  <c r="B404" i="3"/>
  <c r="AB403" i="3"/>
  <c r="X403" i="3"/>
  <c r="Y403" i="3" s="1"/>
  <c r="V403" i="3"/>
  <c r="T403" i="3"/>
  <c r="O403" i="3"/>
  <c r="N403" i="3"/>
  <c r="B403" i="3"/>
  <c r="AB402" i="3"/>
  <c r="Y402" i="3"/>
  <c r="X402" i="3"/>
  <c r="V402" i="3"/>
  <c r="T402" i="3"/>
  <c r="O402" i="3"/>
  <c r="N402" i="3"/>
  <c r="B402" i="3"/>
  <c r="AB401" i="3"/>
  <c r="X401" i="3"/>
  <c r="Y401" i="3" s="1"/>
  <c r="V401" i="3"/>
  <c r="T401" i="3"/>
  <c r="O401" i="3"/>
  <c r="N401" i="3"/>
  <c r="B401" i="3"/>
  <c r="AB400" i="3"/>
  <c r="X400" i="3"/>
  <c r="Y400" i="3" s="1"/>
  <c r="V400" i="3"/>
  <c r="T400" i="3"/>
  <c r="P400" i="3"/>
  <c r="O400" i="3"/>
  <c r="N400" i="3"/>
  <c r="B400" i="3"/>
  <c r="AB399" i="3"/>
  <c r="Y399" i="3"/>
  <c r="X399" i="3"/>
  <c r="V399" i="3"/>
  <c r="T399" i="3"/>
  <c r="O399" i="3"/>
  <c r="N399" i="3"/>
  <c r="B399" i="3"/>
  <c r="AB398" i="3"/>
  <c r="Y398" i="3"/>
  <c r="X398" i="3"/>
  <c r="V398" i="3"/>
  <c r="T398" i="3"/>
  <c r="P398" i="3"/>
  <c r="O398" i="3"/>
  <c r="N398" i="3"/>
  <c r="B398" i="3"/>
  <c r="AB397" i="3"/>
  <c r="Y397" i="3"/>
  <c r="X397" i="3"/>
  <c r="V397" i="3"/>
  <c r="T397" i="3"/>
  <c r="O397" i="3"/>
  <c r="N397" i="3"/>
  <c r="B397" i="3"/>
  <c r="AB396" i="3"/>
  <c r="X396" i="3"/>
  <c r="Y396" i="3" s="1"/>
  <c r="V396" i="3"/>
  <c r="T396" i="3"/>
  <c r="O396" i="3"/>
  <c r="N396" i="3"/>
  <c r="B396" i="3"/>
  <c r="AB395" i="3"/>
  <c r="X395" i="3"/>
  <c r="Y395" i="3" s="1"/>
  <c r="V395" i="3"/>
  <c r="T395" i="3"/>
  <c r="O395" i="3"/>
  <c r="N395" i="3"/>
  <c r="B395" i="3"/>
  <c r="AB394" i="3"/>
  <c r="Y394" i="3"/>
  <c r="X394" i="3"/>
  <c r="V394" i="3"/>
  <c r="T394" i="3"/>
  <c r="P394" i="3"/>
  <c r="O394" i="3"/>
  <c r="N394" i="3"/>
  <c r="B394" i="3"/>
  <c r="AB393" i="3"/>
  <c r="X393" i="3"/>
  <c r="Y393" i="3" s="1"/>
  <c r="V393" i="3"/>
  <c r="T393" i="3"/>
  <c r="O393" i="3"/>
  <c r="N393" i="3"/>
  <c r="B393" i="3"/>
  <c r="AB392" i="3"/>
  <c r="X392" i="3"/>
  <c r="Y392" i="3" s="1"/>
  <c r="V392" i="3"/>
  <c r="T392" i="3"/>
  <c r="O392" i="3"/>
  <c r="N392" i="3"/>
  <c r="B392" i="3"/>
  <c r="AB391" i="3"/>
  <c r="X391" i="3"/>
  <c r="Y391" i="3" s="1"/>
  <c r="P391" i="3" s="1"/>
  <c r="V391" i="3"/>
  <c r="T391" i="3"/>
  <c r="O391" i="3"/>
  <c r="N391" i="3"/>
  <c r="B391" i="3"/>
  <c r="AB390" i="3"/>
  <c r="Y390" i="3"/>
  <c r="X390" i="3"/>
  <c r="V390" i="3"/>
  <c r="T390" i="3"/>
  <c r="P390" i="3"/>
  <c r="O390" i="3"/>
  <c r="N390" i="3"/>
  <c r="B390" i="3"/>
  <c r="AB389" i="3"/>
  <c r="Y389" i="3"/>
  <c r="X389" i="3"/>
  <c r="V389" i="3"/>
  <c r="T389" i="3"/>
  <c r="P389" i="3"/>
  <c r="O389" i="3"/>
  <c r="N389" i="3"/>
  <c r="B389" i="3"/>
  <c r="AB388" i="3"/>
  <c r="X388" i="3"/>
  <c r="Y388" i="3" s="1"/>
  <c r="V388" i="3"/>
  <c r="T388" i="3"/>
  <c r="P388" i="3"/>
  <c r="O388" i="3"/>
  <c r="N388" i="3"/>
  <c r="B388" i="3"/>
  <c r="AB387" i="3"/>
  <c r="X387" i="3"/>
  <c r="Y387" i="3" s="1"/>
  <c r="V387" i="3"/>
  <c r="T387" i="3"/>
  <c r="O387" i="3"/>
  <c r="N387" i="3"/>
  <c r="B387" i="3"/>
  <c r="AB386" i="3"/>
  <c r="Y386" i="3"/>
  <c r="X386" i="3"/>
  <c r="V386" i="3"/>
  <c r="T386" i="3"/>
  <c r="P386" i="3"/>
  <c r="O386" i="3"/>
  <c r="N386" i="3"/>
  <c r="B386" i="3"/>
  <c r="AB385" i="3"/>
  <c r="Y385" i="3"/>
  <c r="X385" i="3"/>
  <c r="V385" i="3"/>
  <c r="T385" i="3"/>
  <c r="O385" i="3"/>
  <c r="N385" i="3"/>
  <c r="B385" i="3"/>
  <c r="AB384" i="3"/>
  <c r="X384" i="3"/>
  <c r="Y384" i="3" s="1"/>
  <c r="V384" i="3"/>
  <c r="T384" i="3"/>
  <c r="P384" i="3"/>
  <c r="O384" i="3"/>
  <c r="N384" i="3"/>
  <c r="B384" i="3"/>
  <c r="AB383" i="3"/>
  <c r="Y383" i="3"/>
  <c r="X383" i="3"/>
  <c r="V383" i="3"/>
  <c r="T383" i="3"/>
  <c r="O383" i="3"/>
  <c r="N383" i="3"/>
  <c r="B383" i="3"/>
  <c r="AB382" i="3"/>
  <c r="Y382" i="3"/>
  <c r="X382" i="3"/>
  <c r="V382" i="3"/>
  <c r="T382" i="3"/>
  <c r="O382" i="3"/>
  <c r="N382" i="3"/>
  <c r="B382" i="3"/>
  <c r="AB381" i="3"/>
  <c r="X381" i="3"/>
  <c r="Y381" i="3" s="1"/>
  <c r="V381" i="3"/>
  <c r="T381" i="3"/>
  <c r="P381" i="3"/>
  <c r="O381" i="3"/>
  <c r="N381" i="3"/>
  <c r="B381" i="3"/>
  <c r="AB380" i="3"/>
  <c r="X380" i="3"/>
  <c r="Y380" i="3" s="1"/>
  <c r="V380" i="3"/>
  <c r="T380" i="3"/>
  <c r="O380" i="3"/>
  <c r="N380" i="3"/>
  <c r="B380" i="3"/>
  <c r="AB379" i="3"/>
  <c r="Y379" i="3"/>
  <c r="X379" i="3"/>
  <c r="V379" i="3"/>
  <c r="T379" i="3"/>
  <c r="O379" i="3"/>
  <c r="N379" i="3"/>
  <c r="B379" i="3"/>
  <c r="AB378" i="3"/>
  <c r="Y378" i="3"/>
  <c r="X378" i="3"/>
  <c r="V378" i="3"/>
  <c r="T378" i="3"/>
  <c r="O378" i="3"/>
  <c r="N378" i="3"/>
  <c r="B378" i="3"/>
  <c r="AB377" i="3"/>
  <c r="X377" i="3"/>
  <c r="Y377" i="3" s="1"/>
  <c r="V377" i="3"/>
  <c r="T377" i="3"/>
  <c r="O377" i="3"/>
  <c r="N377" i="3"/>
  <c r="B377" i="3"/>
  <c r="AB376" i="3"/>
  <c r="Y376" i="3"/>
  <c r="X376" i="3"/>
  <c r="V376" i="3"/>
  <c r="T376" i="3"/>
  <c r="O376" i="3"/>
  <c r="N376" i="3"/>
  <c r="B376" i="3"/>
  <c r="AB375" i="3"/>
  <c r="Y375" i="3"/>
  <c r="X375" i="3"/>
  <c r="V375" i="3"/>
  <c r="T375" i="3"/>
  <c r="P375" i="3"/>
  <c r="O375" i="3"/>
  <c r="N375" i="3"/>
  <c r="B375" i="3"/>
  <c r="AB374" i="3"/>
  <c r="Y374" i="3"/>
  <c r="X374" i="3"/>
  <c r="V374" i="3"/>
  <c r="T374" i="3"/>
  <c r="P374" i="3"/>
  <c r="O374" i="3"/>
  <c r="N374" i="3"/>
  <c r="B374" i="3"/>
  <c r="AB373" i="3"/>
  <c r="Y373" i="3"/>
  <c r="X373" i="3"/>
  <c r="V373" i="3"/>
  <c r="T373" i="3"/>
  <c r="O373" i="3"/>
  <c r="N373" i="3"/>
  <c r="B373" i="3"/>
  <c r="AB372" i="3"/>
  <c r="Y372" i="3"/>
  <c r="X372" i="3"/>
  <c r="V372" i="3"/>
  <c r="T372" i="3"/>
  <c r="O372" i="3"/>
  <c r="N372" i="3"/>
  <c r="B372" i="3"/>
  <c r="AB371" i="3"/>
  <c r="X371" i="3"/>
  <c r="Y371" i="3" s="1"/>
  <c r="V371" i="3"/>
  <c r="T371" i="3"/>
  <c r="O371" i="3"/>
  <c r="N371" i="3"/>
  <c r="B371" i="3"/>
  <c r="AB370" i="3"/>
  <c r="Y370" i="3"/>
  <c r="X370" i="3"/>
  <c r="V370" i="3"/>
  <c r="T370" i="3"/>
  <c r="O370" i="3"/>
  <c r="N370" i="3"/>
  <c r="B370" i="3"/>
  <c r="AB369" i="3"/>
  <c r="X369" i="3"/>
  <c r="Y369" i="3" s="1"/>
  <c r="V369" i="3"/>
  <c r="T369" i="3"/>
  <c r="O369" i="3"/>
  <c r="N369" i="3"/>
  <c r="B369" i="3"/>
  <c r="AB368" i="3"/>
  <c r="X368" i="3"/>
  <c r="Y368" i="3" s="1"/>
  <c r="V368" i="3"/>
  <c r="T368" i="3"/>
  <c r="O368" i="3"/>
  <c r="N368" i="3"/>
  <c r="B368" i="3"/>
  <c r="AB367" i="3"/>
  <c r="X367" i="3"/>
  <c r="Y367" i="3" s="1"/>
  <c r="V367" i="3"/>
  <c r="T367" i="3"/>
  <c r="P367" i="3"/>
  <c r="O367" i="3"/>
  <c r="N367" i="3"/>
  <c r="B367" i="3"/>
  <c r="AB366" i="3"/>
  <c r="Y366" i="3"/>
  <c r="X366" i="3"/>
  <c r="V366" i="3"/>
  <c r="T366" i="3"/>
  <c r="O366" i="3"/>
  <c r="N366" i="3"/>
  <c r="B366" i="3"/>
  <c r="AB365" i="3"/>
  <c r="Y365" i="3"/>
  <c r="X365" i="3"/>
  <c r="V365" i="3"/>
  <c r="T365" i="3"/>
  <c r="O365" i="3"/>
  <c r="N365" i="3"/>
  <c r="B365" i="3"/>
  <c r="AB364" i="3"/>
  <c r="X364" i="3"/>
  <c r="Y364" i="3" s="1"/>
  <c r="V364" i="3"/>
  <c r="T364" i="3"/>
  <c r="O364" i="3"/>
  <c r="N364" i="3"/>
  <c r="B364" i="3"/>
  <c r="AB363" i="3"/>
  <c r="Y363" i="3"/>
  <c r="X363" i="3"/>
  <c r="V363" i="3"/>
  <c r="T363" i="3"/>
  <c r="O363" i="3"/>
  <c r="N363" i="3"/>
  <c r="B363" i="3"/>
  <c r="AB362" i="3"/>
  <c r="Y362" i="3"/>
  <c r="X362" i="3"/>
  <c r="V362" i="3"/>
  <c r="T362" i="3"/>
  <c r="O362" i="3"/>
  <c r="N362" i="3"/>
  <c r="B362" i="3"/>
  <c r="AB361" i="3"/>
  <c r="Y361" i="3"/>
  <c r="X361" i="3"/>
  <c r="V361" i="3"/>
  <c r="T361" i="3"/>
  <c r="P361" i="3"/>
  <c r="O361" i="3"/>
  <c r="N361" i="3"/>
  <c r="B361" i="3"/>
  <c r="AB360" i="3"/>
  <c r="X360" i="3"/>
  <c r="Y360" i="3" s="1"/>
  <c r="V360" i="3"/>
  <c r="T360" i="3"/>
  <c r="O360" i="3"/>
  <c r="N360" i="3"/>
  <c r="B360" i="3"/>
  <c r="AB359" i="3"/>
  <c r="X359" i="3"/>
  <c r="Y359" i="3" s="1"/>
  <c r="V359" i="3"/>
  <c r="T359" i="3"/>
  <c r="O359" i="3"/>
  <c r="N359" i="3"/>
  <c r="B359" i="3"/>
  <c r="AB358" i="3"/>
  <c r="Y358" i="3"/>
  <c r="X358" i="3"/>
  <c r="V358" i="3"/>
  <c r="T358" i="3"/>
  <c r="O358" i="3"/>
  <c r="N358" i="3"/>
  <c r="B358" i="3"/>
  <c r="AB357" i="3"/>
  <c r="X357" i="3"/>
  <c r="Y357" i="3" s="1"/>
  <c r="V357" i="3"/>
  <c r="T357" i="3"/>
  <c r="O357" i="3"/>
  <c r="N357" i="3"/>
  <c r="B357" i="3"/>
  <c r="AB356" i="3"/>
  <c r="Y356" i="3"/>
  <c r="P356" i="3" s="1"/>
  <c r="X356" i="3"/>
  <c r="V356" i="3"/>
  <c r="T356" i="3"/>
  <c r="O356" i="3"/>
  <c r="N356" i="3"/>
  <c r="B356" i="3"/>
  <c r="AB355" i="3"/>
  <c r="X355" i="3"/>
  <c r="Y355" i="3" s="1"/>
  <c r="V355" i="3"/>
  <c r="T355" i="3"/>
  <c r="P355" i="3"/>
  <c r="O355" i="3"/>
  <c r="N355" i="3"/>
  <c r="B355" i="3"/>
  <c r="AB354" i="3"/>
  <c r="Y354" i="3"/>
  <c r="X354" i="3"/>
  <c r="V354" i="3"/>
  <c r="T354" i="3"/>
  <c r="O354" i="3"/>
  <c r="N354" i="3"/>
  <c r="B354" i="3"/>
  <c r="AB353" i="3"/>
  <c r="Y353" i="3"/>
  <c r="X353" i="3"/>
  <c r="V353" i="3"/>
  <c r="T353" i="3"/>
  <c r="O353" i="3"/>
  <c r="N353" i="3"/>
  <c r="B353" i="3"/>
  <c r="AB352" i="3"/>
  <c r="Y352" i="3"/>
  <c r="X352" i="3"/>
  <c r="V352" i="3"/>
  <c r="T352" i="3"/>
  <c r="O352" i="3"/>
  <c r="N352" i="3"/>
  <c r="B352" i="3"/>
  <c r="AB351" i="3"/>
  <c r="X351" i="3"/>
  <c r="Y351" i="3" s="1"/>
  <c r="V351" i="3"/>
  <c r="T351" i="3"/>
  <c r="O351" i="3"/>
  <c r="N351" i="3"/>
  <c r="B351" i="3"/>
  <c r="AB350" i="3"/>
  <c r="Y350" i="3"/>
  <c r="X350" i="3"/>
  <c r="V350" i="3"/>
  <c r="T350" i="3"/>
  <c r="O350" i="3"/>
  <c r="N350" i="3"/>
  <c r="B350" i="3"/>
  <c r="AB349" i="3"/>
  <c r="X349" i="3"/>
  <c r="Y349" i="3" s="1"/>
  <c r="V349" i="3"/>
  <c r="T349" i="3"/>
  <c r="O349" i="3"/>
  <c r="N349" i="3"/>
  <c r="B349" i="3"/>
  <c r="AB348" i="3"/>
  <c r="Y348" i="3"/>
  <c r="X348" i="3"/>
  <c r="V348" i="3"/>
  <c r="T348" i="3"/>
  <c r="O348" i="3"/>
  <c r="N348" i="3"/>
  <c r="B348" i="3"/>
  <c r="AB347" i="3"/>
  <c r="X347" i="3"/>
  <c r="Y347" i="3" s="1"/>
  <c r="V347" i="3"/>
  <c r="T347" i="3"/>
  <c r="O347" i="3"/>
  <c r="N347" i="3"/>
  <c r="B347" i="3"/>
  <c r="AB346" i="3"/>
  <c r="X346" i="3"/>
  <c r="Y346" i="3" s="1"/>
  <c r="V346" i="3"/>
  <c r="T346" i="3"/>
  <c r="O346" i="3"/>
  <c r="N346" i="3"/>
  <c r="B346" i="3"/>
  <c r="AB345" i="3"/>
  <c r="X345" i="3"/>
  <c r="Y345" i="3" s="1"/>
  <c r="V345" i="3"/>
  <c r="T345" i="3"/>
  <c r="O345" i="3"/>
  <c r="N345" i="3"/>
  <c r="B345" i="3"/>
  <c r="AB344" i="3"/>
  <c r="Y344" i="3"/>
  <c r="X344" i="3"/>
  <c r="V344" i="3"/>
  <c r="T344" i="3"/>
  <c r="P344" i="3"/>
  <c r="O344" i="3"/>
  <c r="N344" i="3"/>
  <c r="B344" i="3"/>
  <c r="AB343" i="3"/>
  <c r="X343" i="3"/>
  <c r="Y343" i="3" s="1"/>
  <c r="V343" i="3"/>
  <c r="T343" i="3"/>
  <c r="O343" i="3"/>
  <c r="N343" i="3"/>
  <c r="B343" i="3"/>
  <c r="AB342" i="3"/>
  <c r="X342" i="3"/>
  <c r="Y342" i="3" s="1"/>
  <c r="V342" i="3"/>
  <c r="T342" i="3"/>
  <c r="O342" i="3"/>
  <c r="N342" i="3"/>
  <c r="B342" i="3"/>
  <c r="AB341" i="3"/>
  <c r="X341" i="3"/>
  <c r="Y341" i="3" s="1"/>
  <c r="V341" i="3"/>
  <c r="T341" i="3"/>
  <c r="P341" i="3"/>
  <c r="O341" i="3"/>
  <c r="N341" i="3"/>
  <c r="B341" i="3"/>
  <c r="AB340" i="3"/>
  <c r="X340" i="3"/>
  <c r="Y340" i="3" s="1"/>
  <c r="V340" i="3"/>
  <c r="T340" i="3"/>
  <c r="O340" i="3"/>
  <c r="N340" i="3"/>
  <c r="B340" i="3"/>
  <c r="AB339" i="3"/>
  <c r="X339" i="3"/>
  <c r="Y339" i="3" s="1"/>
  <c r="P339" i="3" s="1"/>
  <c r="V339" i="3"/>
  <c r="T339" i="3"/>
  <c r="O339" i="3"/>
  <c r="N339" i="3"/>
  <c r="B339" i="3"/>
  <c r="AB338" i="3"/>
  <c r="X338" i="3"/>
  <c r="Y338" i="3" s="1"/>
  <c r="V338" i="3"/>
  <c r="T338" i="3"/>
  <c r="O338" i="3"/>
  <c r="N338" i="3"/>
  <c r="B338" i="3"/>
  <c r="AB337" i="3"/>
  <c r="Y337" i="3"/>
  <c r="X337" i="3"/>
  <c r="V337" i="3"/>
  <c r="T337" i="3"/>
  <c r="P337" i="3"/>
  <c r="O337" i="3"/>
  <c r="N337" i="3"/>
  <c r="B337" i="3"/>
  <c r="AB336" i="3"/>
  <c r="X336" i="3"/>
  <c r="Y336" i="3" s="1"/>
  <c r="V336" i="3"/>
  <c r="T336" i="3"/>
  <c r="O336" i="3"/>
  <c r="N336" i="3"/>
  <c r="B336" i="3"/>
  <c r="AB335" i="3"/>
  <c r="X335" i="3"/>
  <c r="Y335" i="3" s="1"/>
  <c r="V335" i="3"/>
  <c r="T335" i="3"/>
  <c r="O335" i="3"/>
  <c r="N335" i="3"/>
  <c r="B335" i="3"/>
  <c r="AB334" i="3"/>
  <c r="X334" i="3"/>
  <c r="Y334" i="3" s="1"/>
  <c r="V334" i="3"/>
  <c r="T334" i="3"/>
  <c r="O334" i="3"/>
  <c r="N334" i="3"/>
  <c r="B334" i="3"/>
  <c r="AB333" i="3"/>
  <c r="Y333" i="3"/>
  <c r="X333" i="3"/>
  <c r="V333" i="3"/>
  <c r="T333" i="3"/>
  <c r="O333" i="3"/>
  <c r="N333" i="3"/>
  <c r="B333" i="3"/>
  <c r="AB332" i="3"/>
  <c r="X332" i="3"/>
  <c r="Y332" i="3" s="1"/>
  <c r="V332" i="3"/>
  <c r="T332" i="3"/>
  <c r="P332" i="3"/>
  <c r="O332" i="3"/>
  <c r="N332" i="3"/>
  <c r="B332" i="3"/>
  <c r="AB331" i="3"/>
  <c r="X331" i="3"/>
  <c r="Y331" i="3" s="1"/>
  <c r="V331" i="3"/>
  <c r="T331" i="3"/>
  <c r="P331" i="3"/>
  <c r="O331" i="3"/>
  <c r="N331" i="3"/>
  <c r="B331" i="3"/>
  <c r="AB330" i="3"/>
  <c r="Y330" i="3"/>
  <c r="X330" i="3"/>
  <c r="V330" i="3"/>
  <c r="T330" i="3"/>
  <c r="O330" i="3"/>
  <c r="N330" i="3"/>
  <c r="B330" i="3"/>
  <c r="AB329" i="3"/>
  <c r="Y329" i="3"/>
  <c r="X329" i="3"/>
  <c r="V329" i="3"/>
  <c r="T329" i="3"/>
  <c r="P329" i="3"/>
  <c r="O329" i="3"/>
  <c r="N329" i="3"/>
  <c r="B329" i="3"/>
  <c r="AB328" i="3"/>
  <c r="Y328" i="3"/>
  <c r="X328" i="3"/>
  <c r="V328" i="3"/>
  <c r="T328" i="3"/>
  <c r="P328" i="3"/>
  <c r="O328" i="3"/>
  <c r="N328" i="3"/>
  <c r="B328" i="3"/>
  <c r="AB327" i="3"/>
  <c r="X327" i="3"/>
  <c r="Y327" i="3" s="1"/>
  <c r="V327" i="3"/>
  <c r="T327" i="3"/>
  <c r="O327" i="3"/>
  <c r="N327" i="3"/>
  <c r="B327" i="3"/>
  <c r="AB326" i="3"/>
  <c r="X326" i="3"/>
  <c r="Y326" i="3" s="1"/>
  <c r="V326" i="3"/>
  <c r="T326" i="3"/>
  <c r="O326" i="3"/>
  <c r="N326" i="3"/>
  <c r="B326" i="3"/>
  <c r="AB325" i="3"/>
  <c r="Y325" i="3"/>
  <c r="X325" i="3"/>
  <c r="V325" i="3"/>
  <c r="T325" i="3"/>
  <c r="O325" i="3"/>
  <c r="N325" i="3"/>
  <c r="B325" i="3"/>
  <c r="AB324" i="3"/>
  <c r="X324" i="3"/>
  <c r="Y324" i="3" s="1"/>
  <c r="V324" i="3"/>
  <c r="T324" i="3"/>
  <c r="O324" i="3"/>
  <c r="N324" i="3"/>
  <c r="B324" i="3"/>
  <c r="AB323" i="3"/>
  <c r="X323" i="3"/>
  <c r="Y323" i="3" s="1"/>
  <c r="V323" i="3"/>
  <c r="T323" i="3"/>
  <c r="O323" i="3"/>
  <c r="N323" i="3"/>
  <c r="B323" i="3"/>
  <c r="AB322" i="3"/>
  <c r="X322" i="3"/>
  <c r="Y322" i="3" s="1"/>
  <c r="V322" i="3"/>
  <c r="T322" i="3"/>
  <c r="O322" i="3"/>
  <c r="N322" i="3"/>
  <c r="B322" i="3"/>
  <c r="AB321" i="3"/>
  <c r="Y321" i="3"/>
  <c r="X321" i="3"/>
  <c r="V321" i="3"/>
  <c r="T321" i="3"/>
  <c r="O321" i="3"/>
  <c r="N321" i="3"/>
  <c r="B321" i="3"/>
  <c r="AB320" i="3"/>
  <c r="X320" i="3"/>
  <c r="Y320" i="3" s="1"/>
  <c r="V320" i="3"/>
  <c r="T320" i="3"/>
  <c r="P320" i="3"/>
  <c r="O320" i="3"/>
  <c r="N320" i="3"/>
  <c r="B320" i="3"/>
  <c r="AB319" i="3"/>
  <c r="X319" i="3"/>
  <c r="Y319" i="3" s="1"/>
  <c r="V319" i="3"/>
  <c r="T319" i="3"/>
  <c r="O319" i="3"/>
  <c r="N319" i="3"/>
  <c r="B319" i="3"/>
  <c r="AB318" i="3"/>
  <c r="Y318" i="3"/>
  <c r="X318" i="3"/>
  <c r="V318" i="3"/>
  <c r="T318" i="3"/>
  <c r="O318" i="3"/>
  <c r="N318" i="3"/>
  <c r="B318" i="3"/>
  <c r="AB317" i="3"/>
  <c r="Y317" i="3"/>
  <c r="X317" i="3"/>
  <c r="V317" i="3"/>
  <c r="T317" i="3"/>
  <c r="O317" i="3"/>
  <c r="N317" i="3"/>
  <c r="B317" i="3"/>
  <c r="AB316" i="3"/>
  <c r="Y316" i="3"/>
  <c r="X316" i="3"/>
  <c r="V316" i="3"/>
  <c r="T316" i="3"/>
  <c r="P316" i="3"/>
  <c r="O316" i="3"/>
  <c r="N316" i="3"/>
  <c r="B316" i="3"/>
  <c r="AB315" i="3"/>
  <c r="X315" i="3"/>
  <c r="Y315" i="3" s="1"/>
  <c r="V315" i="3"/>
  <c r="T315" i="3"/>
  <c r="P315" i="3"/>
  <c r="O315" i="3"/>
  <c r="N315" i="3"/>
  <c r="B315" i="3"/>
  <c r="AB314" i="3"/>
  <c r="Y314" i="3"/>
  <c r="X314" i="3"/>
  <c r="V314" i="3"/>
  <c r="T314" i="3"/>
  <c r="O314" i="3"/>
  <c r="N314" i="3"/>
  <c r="B314" i="3"/>
  <c r="AB313" i="3"/>
  <c r="X313" i="3"/>
  <c r="Y313" i="3" s="1"/>
  <c r="V313" i="3"/>
  <c r="T313" i="3"/>
  <c r="P313" i="3"/>
  <c r="O313" i="3"/>
  <c r="N313" i="3"/>
  <c r="B313" i="3"/>
  <c r="AB312" i="3"/>
  <c r="Y312" i="3"/>
  <c r="P312" i="3" s="1"/>
  <c r="X312" i="3"/>
  <c r="V312" i="3"/>
  <c r="T312" i="3"/>
  <c r="O312" i="3"/>
  <c r="N312" i="3"/>
  <c r="B312" i="3"/>
  <c r="AB311" i="3"/>
  <c r="X311" i="3"/>
  <c r="Y311" i="3" s="1"/>
  <c r="V311" i="3"/>
  <c r="T311" i="3"/>
  <c r="O311" i="3"/>
  <c r="N311" i="3"/>
  <c r="B311" i="3"/>
  <c r="AB310" i="3"/>
  <c r="Y310" i="3"/>
  <c r="X310" i="3"/>
  <c r="V310" i="3"/>
  <c r="T310" i="3"/>
  <c r="O310" i="3"/>
  <c r="N310" i="3"/>
  <c r="B310" i="3"/>
  <c r="AB309" i="3"/>
  <c r="Y309" i="3"/>
  <c r="X309" i="3"/>
  <c r="V309" i="3"/>
  <c r="T309" i="3"/>
  <c r="P309" i="3"/>
  <c r="O309" i="3"/>
  <c r="N309" i="3"/>
  <c r="B309" i="3"/>
  <c r="AB308" i="3"/>
  <c r="Y308" i="3"/>
  <c r="X308" i="3"/>
  <c r="V308" i="3"/>
  <c r="T308" i="3"/>
  <c r="O308" i="3"/>
  <c r="N308" i="3"/>
  <c r="B308" i="3"/>
  <c r="AB307" i="3"/>
  <c r="X307" i="3"/>
  <c r="Y307" i="3" s="1"/>
  <c r="V307" i="3"/>
  <c r="T307" i="3"/>
  <c r="O307" i="3"/>
  <c r="N307" i="3"/>
  <c r="B307" i="3"/>
  <c r="AB306" i="3"/>
  <c r="X306" i="3"/>
  <c r="Y306" i="3" s="1"/>
  <c r="V306" i="3"/>
  <c r="T306" i="3"/>
  <c r="P306" i="3"/>
  <c r="O306" i="3"/>
  <c r="N306" i="3"/>
  <c r="B306" i="3"/>
  <c r="AB305" i="3"/>
  <c r="Y305" i="3"/>
  <c r="X305" i="3"/>
  <c r="V305" i="3"/>
  <c r="T305" i="3"/>
  <c r="P305" i="3"/>
  <c r="O305" i="3"/>
  <c r="N305" i="3"/>
  <c r="B305" i="3"/>
  <c r="AB304" i="3"/>
  <c r="Y304" i="3"/>
  <c r="X304" i="3"/>
  <c r="V304" i="3"/>
  <c r="T304" i="3"/>
  <c r="O304" i="3"/>
  <c r="N304" i="3"/>
  <c r="B304" i="3"/>
  <c r="AB303" i="3"/>
  <c r="Y303" i="3"/>
  <c r="X303" i="3"/>
  <c r="V303" i="3"/>
  <c r="T303" i="3"/>
  <c r="O303" i="3"/>
  <c r="N303" i="3"/>
  <c r="B303" i="3"/>
  <c r="AB302" i="3"/>
  <c r="X302" i="3"/>
  <c r="Y302" i="3" s="1"/>
  <c r="V302" i="3"/>
  <c r="T302" i="3"/>
  <c r="O302" i="3"/>
  <c r="N302" i="3"/>
  <c r="B302" i="3"/>
  <c r="AB301" i="3"/>
  <c r="Y301" i="3"/>
  <c r="X301" i="3"/>
  <c r="V301" i="3"/>
  <c r="T301" i="3"/>
  <c r="P301" i="3"/>
  <c r="O301" i="3"/>
  <c r="N301" i="3"/>
  <c r="B301" i="3"/>
  <c r="AB300" i="3"/>
  <c r="Y300" i="3"/>
  <c r="X300" i="3"/>
  <c r="V300" i="3"/>
  <c r="T300" i="3"/>
  <c r="O300" i="3"/>
  <c r="N300" i="3"/>
  <c r="B300" i="3"/>
  <c r="AB299" i="3"/>
  <c r="X299" i="3"/>
  <c r="Y299" i="3" s="1"/>
  <c r="P299" i="3" s="1"/>
  <c r="V299" i="3"/>
  <c r="T299" i="3"/>
  <c r="O299" i="3"/>
  <c r="N299" i="3"/>
  <c r="B299" i="3"/>
  <c r="AB298" i="3"/>
  <c r="X298" i="3"/>
  <c r="Y298" i="3" s="1"/>
  <c r="V298" i="3"/>
  <c r="T298" i="3"/>
  <c r="O298" i="3"/>
  <c r="N298" i="3"/>
  <c r="B298" i="3"/>
  <c r="AB297" i="3"/>
  <c r="Y297" i="3"/>
  <c r="X297" i="3"/>
  <c r="V297" i="3"/>
  <c r="T297" i="3"/>
  <c r="P297" i="3"/>
  <c r="O297" i="3"/>
  <c r="N297" i="3"/>
  <c r="B297" i="3"/>
  <c r="AB296" i="3"/>
  <c r="Y296" i="3"/>
  <c r="P296" i="3" s="1"/>
  <c r="X296" i="3"/>
  <c r="V296" i="3"/>
  <c r="T296" i="3"/>
  <c r="O296" i="3"/>
  <c r="N296" i="3"/>
  <c r="B296" i="3"/>
  <c r="AB295" i="3"/>
  <c r="X295" i="3"/>
  <c r="Y295" i="3" s="1"/>
  <c r="V295" i="3"/>
  <c r="T295" i="3"/>
  <c r="P295" i="3"/>
  <c r="O295" i="3"/>
  <c r="N295" i="3"/>
  <c r="B295" i="3"/>
  <c r="AB294" i="3"/>
  <c r="Y294" i="3"/>
  <c r="X294" i="3"/>
  <c r="V294" i="3"/>
  <c r="T294" i="3"/>
  <c r="O294" i="3"/>
  <c r="N294" i="3"/>
  <c r="B294" i="3"/>
  <c r="AB293" i="3"/>
  <c r="Y293" i="3"/>
  <c r="X293" i="3"/>
  <c r="V293" i="3"/>
  <c r="T293" i="3"/>
  <c r="P293" i="3"/>
  <c r="O293" i="3"/>
  <c r="N293" i="3"/>
  <c r="B293" i="3"/>
  <c r="AB292" i="3"/>
  <c r="X292" i="3"/>
  <c r="Y292" i="3" s="1"/>
  <c r="V292" i="3"/>
  <c r="T292" i="3"/>
  <c r="O292" i="3"/>
  <c r="N292" i="3"/>
  <c r="B292" i="3"/>
  <c r="AB291" i="3"/>
  <c r="X291" i="3"/>
  <c r="Y291" i="3" s="1"/>
  <c r="V291" i="3"/>
  <c r="T291" i="3"/>
  <c r="P291" i="3"/>
  <c r="O291" i="3"/>
  <c r="N291" i="3"/>
  <c r="B291" i="3"/>
  <c r="AB290" i="3"/>
  <c r="X290" i="3"/>
  <c r="Y290" i="3" s="1"/>
  <c r="V290" i="3"/>
  <c r="T290" i="3"/>
  <c r="P290" i="3"/>
  <c r="O290" i="3"/>
  <c r="N290" i="3"/>
  <c r="B290" i="3"/>
  <c r="AB289" i="3"/>
  <c r="Y289" i="3"/>
  <c r="X289" i="3"/>
  <c r="V289" i="3"/>
  <c r="T289" i="3"/>
  <c r="P289" i="3"/>
  <c r="O289" i="3"/>
  <c r="N289" i="3"/>
  <c r="B289" i="3"/>
  <c r="AB288" i="3"/>
  <c r="X288" i="3"/>
  <c r="Y288" i="3" s="1"/>
  <c r="V288" i="3"/>
  <c r="T288" i="3"/>
  <c r="O288" i="3"/>
  <c r="N288" i="3"/>
  <c r="B288" i="3"/>
  <c r="AB287" i="3"/>
  <c r="X287" i="3"/>
  <c r="Y287" i="3" s="1"/>
  <c r="V287" i="3"/>
  <c r="T287" i="3"/>
  <c r="O287" i="3"/>
  <c r="N287" i="3"/>
  <c r="B287" i="3"/>
  <c r="AB286" i="3"/>
  <c r="X286" i="3"/>
  <c r="Y286" i="3" s="1"/>
  <c r="V286" i="3"/>
  <c r="T286" i="3"/>
  <c r="O286" i="3"/>
  <c r="N286" i="3"/>
  <c r="B286" i="3"/>
  <c r="AB285" i="3"/>
  <c r="Y285" i="3"/>
  <c r="X285" i="3"/>
  <c r="V285" i="3"/>
  <c r="T285" i="3"/>
  <c r="P285" i="3"/>
  <c r="O285" i="3"/>
  <c r="N285" i="3"/>
  <c r="B285" i="3"/>
  <c r="AB284" i="3"/>
  <c r="Y284" i="3"/>
  <c r="P284" i="3" s="1"/>
  <c r="X284" i="3"/>
  <c r="V284" i="3"/>
  <c r="T284" i="3"/>
  <c r="O284" i="3"/>
  <c r="N284" i="3"/>
  <c r="B284" i="3"/>
  <c r="AB283" i="3"/>
  <c r="X283" i="3"/>
  <c r="Y283" i="3" s="1"/>
  <c r="V283" i="3"/>
  <c r="T283" i="3"/>
  <c r="O283" i="3"/>
  <c r="N283" i="3"/>
  <c r="B283" i="3"/>
  <c r="AB282" i="3"/>
  <c r="X282" i="3"/>
  <c r="Y282" i="3" s="1"/>
  <c r="V282" i="3"/>
  <c r="T282" i="3"/>
  <c r="O282" i="3"/>
  <c r="N282" i="3"/>
  <c r="B282" i="3"/>
  <c r="AB281" i="3"/>
  <c r="Y281" i="3"/>
  <c r="X281" i="3"/>
  <c r="V281" i="3"/>
  <c r="T281" i="3"/>
  <c r="P281" i="3"/>
  <c r="O281" i="3"/>
  <c r="N281" i="3"/>
  <c r="B281" i="3"/>
  <c r="AB280" i="3"/>
  <c r="Y280" i="3"/>
  <c r="X280" i="3"/>
  <c r="V280" i="3"/>
  <c r="T280" i="3"/>
  <c r="O280" i="3"/>
  <c r="N280" i="3"/>
  <c r="B280" i="3"/>
  <c r="AB279" i="3"/>
  <c r="X279" i="3"/>
  <c r="Y279" i="3" s="1"/>
  <c r="V279" i="3"/>
  <c r="T279" i="3"/>
  <c r="O279" i="3"/>
  <c r="N279" i="3"/>
  <c r="B279" i="3"/>
  <c r="AB278" i="3"/>
  <c r="X278" i="3"/>
  <c r="Y278" i="3" s="1"/>
  <c r="V278" i="3"/>
  <c r="T278" i="3"/>
  <c r="P278" i="3"/>
  <c r="O278" i="3"/>
  <c r="N278" i="3"/>
  <c r="B278" i="3"/>
  <c r="AB277" i="3"/>
  <c r="Y277" i="3"/>
  <c r="X277" i="3"/>
  <c r="V277" i="3"/>
  <c r="T277" i="3"/>
  <c r="P277" i="3"/>
  <c r="O277" i="3"/>
  <c r="N277" i="3"/>
  <c r="B277" i="3"/>
  <c r="AB276" i="3"/>
  <c r="X276" i="3"/>
  <c r="Y276" i="3" s="1"/>
  <c r="V276" i="3"/>
  <c r="T276" i="3"/>
  <c r="O276" i="3"/>
  <c r="N276" i="3"/>
  <c r="B276" i="3"/>
  <c r="AB275" i="3"/>
  <c r="Y275" i="3"/>
  <c r="X275" i="3"/>
  <c r="V275" i="3"/>
  <c r="T275" i="3"/>
  <c r="O275" i="3"/>
  <c r="N275" i="3"/>
  <c r="B275" i="3"/>
  <c r="AB274" i="3"/>
  <c r="Y274" i="3"/>
  <c r="X274" i="3"/>
  <c r="V274" i="3"/>
  <c r="T274" i="3"/>
  <c r="O274" i="3"/>
  <c r="N274" i="3"/>
  <c r="B274" i="3"/>
  <c r="AB273" i="3"/>
  <c r="Y273" i="3"/>
  <c r="X273" i="3"/>
  <c r="V273" i="3"/>
  <c r="T273" i="3"/>
  <c r="P273" i="3"/>
  <c r="O273" i="3"/>
  <c r="N273" i="3"/>
  <c r="B273" i="3"/>
  <c r="AB272" i="3"/>
  <c r="X272" i="3"/>
  <c r="Y272" i="3" s="1"/>
  <c r="P272" i="3" s="1"/>
  <c r="V272" i="3"/>
  <c r="T272" i="3"/>
  <c r="O272" i="3"/>
  <c r="N272" i="3"/>
  <c r="B272" i="3"/>
  <c r="AB271" i="3"/>
  <c r="Y271" i="3"/>
  <c r="X271" i="3"/>
  <c r="V271" i="3"/>
  <c r="T271" i="3"/>
  <c r="P271" i="3"/>
  <c r="O271" i="3"/>
  <c r="N271" i="3"/>
  <c r="B271" i="3"/>
  <c r="AB270" i="3"/>
  <c r="X270" i="3"/>
  <c r="Y270" i="3" s="1"/>
  <c r="V270" i="3"/>
  <c r="T270" i="3"/>
  <c r="O270" i="3"/>
  <c r="N270" i="3"/>
  <c r="B270" i="3"/>
  <c r="AB269" i="3"/>
  <c r="Y269" i="3"/>
  <c r="X269" i="3"/>
  <c r="V269" i="3"/>
  <c r="T269" i="3"/>
  <c r="P269" i="3"/>
  <c r="O269" i="3"/>
  <c r="N269" i="3"/>
  <c r="B269" i="3"/>
  <c r="AB268" i="3"/>
  <c r="X268" i="3"/>
  <c r="Y268" i="3" s="1"/>
  <c r="V268" i="3"/>
  <c r="T268" i="3"/>
  <c r="O268" i="3"/>
  <c r="N268" i="3"/>
  <c r="B268" i="3"/>
  <c r="AB267" i="3"/>
  <c r="X267" i="3"/>
  <c r="Y267" i="3" s="1"/>
  <c r="V267" i="3"/>
  <c r="T267" i="3"/>
  <c r="P267" i="3"/>
  <c r="O267" i="3"/>
  <c r="N267" i="3"/>
  <c r="B267" i="3"/>
  <c r="AB266" i="3"/>
  <c r="X266" i="3"/>
  <c r="Y266" i="3" s="1"/>
  <c r="V266" i="3"/>
  <c r="T266" i="3"/>
  <c r="O266" i="3"/>
  <c r="N266" i="3"/>
  <c r="B266" i="3"/>
  <c r="AB265" i="3"/>
  <c r="Y265" i="3"/>
  <c r="X265" i="3"/>
  <c r="V265" i="3"/>
  <c r="T265" i="3"/>
  <c r="P265" i="3"/>
  <c r="O265" i="3"/>
  <c r="N265" i="3"/>
  <c r="B265" i="3"/>
  <c r="AB264" i="3"/>
  <c r="Y264" i="3"/>
  <c r="X264" i="3"/>
  <c r="V264" i="3"/>
  <c r="T264" i="3"/>
  <c r="O264" i="3"/>
  <c r="N264" i="3"/>
  <c r="B264" i="3"/>
  <c r="AB263" i="3"/>
  <c r="X263" i="3"/>
  <c r="Y263" i="3" s="1"/>
  <c r="V263" i="3"/>
  <c r="T263" i="3"/>
  <c r="O263" i="3"/>
  <c r="N263" i="3"/>
  <c r="B263" i="3"/>
  <c r="AB262" i="3"/>
  <c r="X262" i="3"/>
  <c r="Y262" i="3" s="1"/>
  <c r="V262" i="3"/>
  <c r="T262" i="3"/>
  <c r="O262" i="3"/>
  <c r="N262" i="3"/>
  <c r="B262" i="3"/>
  <c r="AB261" i="3"/>
  <c r="Y261" i="3"/>
  <c r="X261" i="3"/>
  <c r="V261" i="3"/>
  <c r="T261" i="3"/>
  <c r="O261" i="3"/>
  <c r="N261" i="3"/>
  <c r="B261" i="3"/>
  <c r="AB260" i="3"/>
  <c r="X260" i="3"/>
  <c r="Y260" i="3" s="1"/>
  <c r="V260" i="3"/>
  <c r="T260" i="3"/>
  <c r="P260" i="3"/>
  <c r="O260" i="3"/>
  <c r="N260" i="3"/>
  <c r="B260" i="3"/>
  <c r="AB259" i="3"/>
  <c r="Y259" i="3"/>
  <c r="X259" i="3"/>
  <c r="V259" i="3"/>
  <c r="T259" i="3"/>
  <c r="P259" i="3"/>
  <c r="O259" i="3"/>
  <c r="N259" i="3"/>
  <c r="B259" i="3"/>
  <c r="AB258" i="3"/>
  <c r="Y258" i="3"/>
  <c r="P258" i="3" s="1"/>
  <c r="X258" i="3"/>
  <c r="V258" i="3"/>
  <c r="T258" i="3"/>
  <c r="O258" i="3"/>
  <c r="N258" i="3"/>
  <c r="B258" i="3"/>
  <c r="AB257" i="3"/>
  <c r="Y257" i="3"/>
  <c r="X257" i="3"/>
  <c r="V257" i="3"/>
  <c r="T257" i="3"/>
  <c r="O257" i="3"/>
  <c r="N257" i="3"/>
  <c r="B257" i="3"/>
  <c r="AB256" i="3"/>
  <c r="X256" i="3"/>
  <c r="Y256" i="3" s="1"/>
  <c r="V256" i="3"/>
  <c r="T256" i="3"/>
  <c r="P256" i="3"/>
  <c r="O256" i="3"/>
  <c r="N256" i="3"/>
  <c r="B256" i="3"/>
  <c r="AB255" i="3"/>
  <c r="X255" i="3"/>
  <c r="Y255" i="3" s="1"/>
  <c r="V255" i="3"/>
  <c r="T255" i="3"/>
  <c r="O255" i="3"/>
  <c r="N255" i="3"/>
  <c r="B255" i="3"/>
  <c r="AB254" i="3"/>
  <c r="X254" i="3"/>
  <c r="Y254" i="3" s="1"/>
  <c r="V254" i="3"/>
  <c r="T254" i="3"/>
  <c r="P254" i="3"/>
  <c r="O254" i="3"/>
  <c r="N254" i="3"/>
  <c r="B254" i="3"/>
  <c r="AB253" i="3"/>
  <c r="Y253" i="3"/>
  <c r="X253" i="3"/>
  <c r="V253" i="3"/>
  <c r="T253" i="3"/>
  <c r="O253" i="3"/>
  <c r="N253" i="3"/>
  <c r="B253" i="3"/>
  <c r="AB252" i="3"/>
  <c r="X252" i="3"/>
  <c r="Y252" i="3" s="1"/>
  <c r="V252" i="3"/>
  <c r="T252" i="3"/>
  <c r="P252" i="3"/>
  <c r="O252" i="3"/>
  <c r="N252" i="3"/>
  <c r="B252" i="3"/>
  <c r="AB251" i="3"/>
  <c r="X251" i="3"/>
  <c r="Y251" i="3" s="1"/>
  <c r="V251" i="3"/>
  <c r="T251" i="3"/>
  <c r="O251" i="3"/>
  <c r="N251" i="3"/>
  <c r="B251" i="3"/>
  <c r="AB250" i="3"/>
  <c r="Y250" i="3"/>
  <c r="X250" i="3"/>
  <c r="V250" i="3"/>
  <c r="T250" i="3"/>
  <c r="O250" i="3"/>
  <c r="N250" i="3"/>
  <c r="B250" i="3"/>
  <c r="AB249" i="3"/>
  <c r="Y249" i="3"/>
  <c r="X249" i="3"/>
  <c r="V249" i="3"/>
  <c r="T249" i="3"/>
  <c r="P249" i="3"/>
  <c r="O249" i="3"/>
  <c r="N249" i="3"/>
  <c r="B249" i="3"/>
  <c r="AB248" i="3"/>
  <c r="Y248" i="3"/>
  <c r="X248" i="3"/>
  <c r="V248" i="3"/>
  <c r="T248" i="3"/>
  <c r="O248" i="3"/>
  <c r="N248" i="3"/>
  <c r="B248" i="3"/>
  <c r="AB247" i="3"/>
  <c r="X247" i="3"/>
  <c r="Y247" i="3" s="1"/>
  <c r="V247" i="3"/>
  <c r="T247" i="3"/>
  <c r="O247" i="3"/>
  <c r="N247" i="3"/>
  <c r="B247" i="3"/>
  <c r="AB246" i="3"/>
  <c r="Y246" i="3"/>
  <c r="X246" i="3"/>
  <c r="V246" i="3"/>
  <c r="T246" i="3"/>
  <c r="O246" i="3"/>
  <c r="N246" i="3"/>
  <c r="B246" i="3"/>
  <c r="AB245" i="3"/>
  <c r="X245" i="3"/>
  <c r="Y245" i="3" s="1"/>
  <c r="V245" i="3"/>
  <c r="T245" i="3"/>
  <c r="O245" i="3"/>
  <c r="N245" i="3"/>
  <c r="B245" i="3"/>
  <c r="AB244" i="3"/>
  <c r="Y244" i="3"/>
  <c r="P244" i="3" s="1"/>
  <c r="X244" i="3"/>
  <c r="V244" i="3"/>
  <c r="T244" i="3"/>
  <c r="O244" i="3"/>
  <c r="N244" i="3"/>
  <c r="B244" i="3"/>
  <c r="AB243" i="3"/>
  <c r="X243" i="3"/>
  <c r="Y243" i="3" s="1"/>
  <c r="V243" i="3"/>
  <c r="T243" i="3"/>
  <c r="P243" i="3"/>
  <c r="O243" i="3"/>
  <c r="N243" i="3"/>
  <c r="B243" i="3"/>
  <c r="AB242" i="3"/>
  <c r="X242" i="3"/>
  <c r="Y242" i="3" s="1"/>
  <c r="V242" i="3"/>
  <c r="T242" i="3"/>
  <c r="O242" i="3"/>
  <c r="N242" i="3"/>
  <c r="B242" i="3"/>
  <c r="AB241" i="3"/>
  <c r="Y241" i="3"/>
  <c r="X241" i="3"/>
  <c r="V241" i="3"/>
  <c r="T241" i="3"/>
  <c r="O241" i="3"/>
  <c r="N241" i="3"/>
  <c r="B241" i="3"/>
  <c r="AB240" i="3"/>
  <c r="Y240" i="3"/>
  <c r="X240" i="3"/>
  <c r="V240" i="3"/>
  <c r="T240" i="3"/>
  <c r="P240" i="3"/>
  <c r="O240" i="3"/>
  <c r="N240" i="3"/>
  <c r="B240" i="3"/>
  <c r="AB239" i="3"/>
  <c r="X239" i="3"/>
  <c r="Y239" i="3" s="1"/>
  <c r="V239" i="3"/>
  <c r="T239" i="3"/>
  <c r="O239" i="3"/>
  <c r="N239" i="3"/>
  <c r="B239" i="3"/>
  <c r="AB238" i="3"/>
  <c r="X238" i="3"/>
  <c r="Y238" i="3" s="1"/>
  <c r="V238" i="3"/>
  <c r="T238" i="3"/>
  <c r="O238" i="3"/>
  <c r="N238" i="3"/>
  <c r="B238" i="3"/>
  <c r="AB237" i="3"/>
  <c r="X237" i="3"/>
  <c r="Y237" i="3" s="1"/>
  <c r="V237" i="3"/>
  <c r="T237" i="3"/>
  <c r="O237" i="3"/>
  <c r="N237" i="3"/>
  <c r="B237" i="3"/>
  <c r="AB236" i="3"/>
  <c r="Y236" i="3"/>
  <c r="X236" i="3"/>
  <c r="V236" i="3"/>
  <c r="T236" i="3"/>
  <c r="P236" i="3"/>
  <c r="O236" i="3"/>
  <c r="N236" i="3"/>
  <c r="B236" i="3"/>
  <c r="AB235" i="3"/>
  <c r="X235" i="3"/>
  <c r="Y235" i="3" s="1"/>
  <c r="V235" i="3"/>
  <c r="T235" i="3"/>
  <c r="O235" i="3"/>
  <c r="N235" i="3"/>
  <c r="B235" i="3"/>
  <c r="AB234" i="3"/>
  <c r="Y234" i="3"/>
  <c r="X234" i="3"/>
  <c r="V234" i="3"/>
  <c r="T234" i="3"/>
  <c r="P234" i="3"/>
  <c r="O234" i="3"/>
  <c r="N234" i="3"/>
  <c r="B234" i="3"/>
  <c r="AB233" i="3"/>
  <c r="X233" i="3"/>
  <c r="Y233" i="3" s="1"/>
  <c r="V233" i="3"/>
  <c r="T233" i="3"/>
  <c r="O233" i="3"/>
  <c r="N233" i="3"/>
  <c r="B233" i="3"/>
  <c r="AB232" i="3"/>
  <c r="Y232" i="3"/>
  <c r="X232" i="3"/>
  <c r="V232" i="3"/>
  <c r="T232" i="3"/>
  <c r="O232" i="3"/>
  <c r="N232" i="3"/>
  <c r="B232" i="3"/>
  <c r="AB231" i="3"/>
  <c r="Y231" i="3"/>
  <c r="X231" i="3"/>
  <c r="V231" i="3"/>
  <c r="T231" i="3"/>
  <c r="P231" i="3"/>
  <c r="O231" i="3"/>
  <c r="N231" i="3"/>
  <c r="B231" i="3"/>
  <c r="AB230" i="3"/>
  <c r="X230" i="3"/>
  <c r="Y230" i="3" s="1"/>
  <c r="V230" i="3"/>
  <c r="T230" i="3"/>
  <c r="P230" i="3"/>
  <c r="O230" i="3"/>
  <c r="N230" i="3"/>
  <c r="B230" i="3"/>
  <c r="AB229" i="3"/>
  <c r="X229" i="3"/>
  <c r="Y229" i="3" s="1"/>
  <c r="V229" i="3"/>
  <c r="T229" i="3"/>
  <c r="O229" i="3"/>
  <c r="N229" i="3"/>
  <c r="B229" i="3"/>
  <c r="AB228" i="3"/>
  <c r="Y228" i="3"/>
  <c r="X228" i="3"/>
  <c r="V228" i="3"/>
  <c r="T228" i="3"/>
  <c r="O228" i="3"/>
  <c r="N228" i="3"/>
  <c r="B228" i="3"/>
  <c r="AB227" i="3"/>
  <c r="X227" i="3"/>
  <c r="Y227" i="3" s="1"/>
  <c r="V227" i="3"/>
  <c r="T227" i="3"/>
  <c r="O227" i="3"/>
  <c r="N227" i="3"/>
  <c r="B227" i="3"/>
  <c r="AB226" i="3"/>
  <c r="Y226" i="3"/>
  <c r="X226" i="3"/>
  <c r="V226" i="3"/>
  <c r="T226" i="3"/>
  <c r="P226" i="3"/>
  <c r="O226" i="3"/>
  <c r="N226" i="3"/>
  <c r="B226" i="3"/>
  <c r="AB225" i="3"/>
  <c r="X225" i="3"/>
  <c r="Y225" i="3" s="1"/>
  <c r="V225" i="3"/>
  <c r="T225" i="3"/>
  <c r="O225" i="3"/>
  <c r="N225" i="3"/>
  <c r="B225" i="3"/>
  <c r="AB224" i="3"/>
  <c r="Y224" i="3"/>
  <c r="X224" i="3"/>
  <c r="V224" i="3"/>
  <c r="T224" i="3"/>
  <c r="P224" i="3"/>
  <c r="O224" i="3"/>
  <c r="N224" i="3"/>
  <c r="B224" i="3"/>
  <c r="AB223" i="3"/>
  <c r="X223" i="3"/>
  <c r="Y223" i="3" s="1"/>
  <c r="V223" i="3"/>
  <c r="T223" i="3"/>
  <c r="O223" i="3"/>
  <c r="N223" i="3"/>
  <c r="B223" i="3"/>
  <c r="AB222" i="3"/>
  <c r="X222" i="3"/>
  <c r="Y222" i="3" s="1"/>
  <c r="V222" i="3"/>
  <c r="T222" i="3"/>
  <c r="O222" i="3"/>
  <c r="N222" i="3"/>
  <c r="B222" i="3"/>
  <c r="AB221" i="3"/>
  <c r="Y221" i="3"/>
  <c r="X221" i="3"/>
  <c r="V221" i="3"/>
  <c r="T221" i="3"/>
  <c r="P221" i="3"/>
  <c r="O221" i="3"/>
  <c r="N221" i="3"/>
  <c r="B221" i="3"/>
  <c r="AB220" i="3"/>
  <c r="Y220" i="3"/>
  <c r="X220" i="3"/>
  <c r="V220" i="3"/>
  <c r="T220" i="3"/>
  <c r="P220" i="3"/>
  <c r="O220" i="3"/>
  <c r="N220" i="3"/>
  <c r="B220" i="3"/>
  <c r="AB219" i="3"/>
  <c r="X219" i="3"/>
  <c r="Y219" i="3" s="1"/>
  <c r="V219" i="3"/>
  <c r="T219" i="3"/>
  <c r="P219" i="3"/>
  <c r="O219" i="3"/>
  <c r="N219" i="3"/>
  <c r="B219" i="3"/>
  <c r="AB218" i="3"/>
  <c r="Y218" i="3"/>
  <c r="X218" i="3"/>
  <c r="V218" i="3"/>
  <c r="T218" i="3"/>
  <c r="O218" i="3"/>
  <c r="N218" i="3"/>
  <c r="B218" i="3"/>
  <c r="AB217" i="3"/>
  <c r="X217" i="3"/>
  <c r="Y217" i="3" s="1"/>
  <c r="V217" i="3"/>
  <c r="T217" i="3"/>
  <c r="O217" i="3"/>
  <c r="N217" i="3"/>
  <c r="B217" i="3"/>
  <c r="AB216" i="3"/>
  <c r="Y216" i="3"/>
  <c r="P216" i="3" s="1"/>
  <c r="X216" i="3"/>
  <c r="V216" i="3"/>
  <c r="T216" i="3"/>
  <c r="O216" i="3"/>
  <c r="N216" i="3"/>
  <c r="B216" i="3"/>
  <c r="AB215" i="3"/>
  <c r="Y215" i="3"/>
  <c r="X215" i="3"/>
  <c r="V215" i="3"/>
  <c r="T215" i="3"/>
  <c r="P215" i="3"/>
  <c r="O215" i="3"/>
  <c r="N215" i="3"/>
  <c r="B215" i="3"/>
  <c r="AB214" i="3"/>
  <c r="Y214" i="3"/>
  <c r="X214" i="3"/>
  <c r="V214" i="3"/>
  <c r="T214" i="3"/>
  <c r="O214" i="3"/>
  <c r="N214" i="3"/>
  <c r="B214" i="3"/>
  <c r="AB213" i="3"/>
  <c r="Y213" i="3"/>
  <c r="X213" i="3"/>
  <c r="V213" i="3"/>
  <c r="T213" i="3"/>
  <c r="O213" i="3"/>
  <c r="N213" i="3"/>
  <c r="B213" i="3"/>
  <c r="AB212" i="3"/>
  <c r="Y212" i="3"/>
  <c r="X212" i="3"/>
  <c r="V212" i="3"/>
  <c r="T212" i="3"/>
  <c r="O212" i="3"/>
  <c r="N212" i="3"/>
  <c r="B212" i="3"/>
  <c r="AB211" i="3"/>
  <c r="X211" i="3"/>
  <c r="Y211" i="3" s="1"/>
  <c r="V211" i="3"/>
  <c r="T211" i="3"/>
  <c r="P211" i="3"/>
  <c r="O211" i="3"/>
  <c r="N211" i="3"/>
  <c r="B211" i="3"/>
  <c r="AB210" i="3"/>
  <c r="X210" i="3"/>
  <c r="Y210" i="3" s="1"/>
  <c r="V210" i="3"/>
  <c r="T210" i="3"/>
  <c r="O210" i="3"/>
  <c r="N210" i="3"/>
  <c r="B210" i="3"/>
  <c r="AB209" i="3"/>
  <c r="Y209" i="3"/>
  <c r="P209" i="3" s="1"/>
  <c r="X209" i="3"/>
  <c r="V209" i="3"/>
  <c r="T209" i="3"/>
  <c r="O209" i="3"/>
  <c r="N209" i="3"/>
  <c r="B209" i="3"/>
  <c r="AB208" i="3"/>
  <c r="Y208" i="3"/>
  <c r="X208" i="3"/>
  <c r="V208" i="3"/>
  <c r="T208" i="3"/>
  <c r="P208" i="3"/>
  <c r="O208" i="3"/>
  <c r="N208" i="3"/>
  <c r="B208" i="3"/>
  <c r="AB207" i="3"/>
  <c r="Y207" i="3"/>
  <c r="X207" i="3"/>
  <c r="V207" i="3"/>
  <c r="T207" i="3"/>
  <c r="P207" i="3"/>
  <c r="O207" i="3"/>
  <c r="N207" i="3"/>
  <c r="B207" i="3"/>
  <c r="AB206" i="3"/>
  <c r="X206" i="3"/>
  <c r="Y206" i="3" s="1"/>
  <c r="V206" i="3"/>
  <c r="T206" i="3"/>
  <c r="O206" i="3"/>
  <c r="N206" i="3"/>
  <c r="B206" i="3"/>
  <c r="AB205" i="3"/>
  <c r="X205" i="3"/>
  <c r="Y205" i="3" s="1"/>
  <c r="V205" i="3"/>
  <c r="T205" i="3"/>
  <c r="O205" i="3"/>
  <c r="N205" i="3"/>
  <c r="B205" i="3"/>
  <c r="AB204" i="3"/>
  <c r="Y204" i="3"/>
  <c r="X204" i="3"/>
  <c r="V204" i="3"/>
  <c r="T204" i="3"/>
  <c r="O204" i="3"/>
  <c r="N204" i="3"/>
  <c r="B204" i="3"/>
  <c r="AB203" i="3"/>
  <c r="X203" i="3"/>
  <c r="Y203" i="3" s="1"/>
  <c r="V203" i="3"/>
  <c r="T203" i="3"/>
  <c r="O203" i="3"/>
  <c r="N203" i="3"/>
  <c r="B203" i="3"/>
  <c r="AB202" i="3"/>
  <c r="X202" i="3"/>
  <c r="Y202" i="3" s="1"/>
  <c r="P202" i="3" s="1"/>
  <c r="V202" i="3"/>
  <c r="T202" i="3"/>
  <c r="O202" i="3"/>
  <c r="N202" i="3"/>
  <c r="B202" i="3"/>
  <c r="AB201" i="3"/>
  <c r="X201" i="3"/>
  <c r="Y201" i="3" s="1"/>
  <c r="V201" i="3"/>
  <c r="T201" i="3"/>
  <c r="O201" i="3"/>
  <c r="N201" i="3"/>
  <c r="B201" i="3"/>
  <c r="AB200" i="3"/>
  <c r="Y200" i="3"/>
  <c r="X200" i="3"/>
  <c r="V200" i="3"/>
  <c r="T200" i="3"/>
  <c r="P200" i="3"/>
  <c r="O200" i="3"/>
  <c r="N200" i="3"/>
  <c r="B200" i="3"/>
  <c r="AB199" i="3"/>
  <c r="Y199" i="3"/>
  <c r="P199" i="3" s="1"/>
  <c r="X199" i="3"/>
  <c r="V199" i="3"/>
  <c r="T199" i="3"/>
  <c r="O199" i="3"/>
  <c r="N199" i="3"/>
  <c r="B199" i="3"/>
  <c r="AB198" i="3"/>
  <c r="X198" i="3"/>
  <c r="Y198" i="3" s="1"/>
  <c r="V198" i="3"/>
  <c r="T198" i="3"/>
  <c r="O198" i="3"/>
  <c r="N198" i="3"/>
  <c r="B198" i="3"/>
  <c r="AB197" i="3"/>
  <c r="X197" i="3"/>
  <c r="Y197" i="3" s="1"/>
  <c r="V197" i="3"/>
  <c r="T197" i="3"/>
  <c r="P197" i="3"/>
  <c r="O197" i="3"/>
  <c r="N197" i="3"/>
  <c r="B197" i="3"/>
  <c r="AB196" i="3"/>
  <c r="Y196" i="3"/>
  <c r="X196" i="3"/>
  <c r="V196" i="3"/>
  <c r="T196" i="3"/>
  <c r="P196" i="3"/>
  <c r="O196" i="3"/>
  <c r="N196" i="3"/>
  <c r="B196" i="3"/>
  <c r="AB195" i="3"/>
  <c r="Y195" i="3"/>
  <c r="X195" i="3"/>
  <c r="V195" i="3"/>
  <c r="T195" i="3"/>
  <c r="P195" i="3"/>
  <c r="O195" i="3"/>
  <c r="N195" i="3"/>
  <c r="B195" i="3"/>
  <c r="AB194" i="3"/>
  <c r="Y194" i="3"/>
  <c r="X194" i="3"/>
  <c r="V194" i="3"/>
  <c r="T194" i="3"/>
  <c r="P194" i="3"/>
  <c r="O194" i="3"/>
  <c r="N194" i="3"/>
  <c r="B194" i="3"/>
  <c r="AB193" i="3"/>
  <c r="Y193" i="3"/>
  <c r="X193" i="3"/>
  <c r="V193" i="3"/>
  <c r="T193" i="3"/>
  <c r="O193" i="3"/>
  <c r="N193" i="3"/>
  <c r="B193" i="3"/>
  <c r="AB192" i="3"/>
  <c r="Y192" i="3"/>
  <c r="X192" i="3"/>
  <c r="V192" i="3"/>
  <c r="T192" i="3"/>
  <c r="P192" i="3"/>
  <c r="O192" i="3"/>
  <c r="N192" i="3"/>
  <c r="B192" i="3"/>
  <c r="AB191" i="3"/>
  <c r="X191" i="3"/>
  <c r="Y191" i="3" s="1"/>
  <c r="V191" i="3"/>
  <c r="T191" i="3"/>
  <c r="O191" i="3"/>
  <c r="N191" i="3"/>
  <c r="B191" i="3"/>
  <c r="AB190" i="3"/>
  <c r="X190" i="3"/>
  <c r="Y190" i="3" s="1"/>
  <c r="V190" i="3"/>
  <c r="T190" i="3"/>
  <c r="P190" i="3"/>
  <c r="O190" i="3"/>
  <c r="N190" i="3"/>
  <c r="B190" i="3"/>
  <c r="AB189" i="3"/>
  <c r="Y189" i="3"/>
  <c r="X189" i="3"/>
  <c r="V189" i="3"/>
  <c r="T189" i="3"/>
  <c r="P189" i="3"/>
  <c r="O189" i="3"/>
  <c r="N189" i="3"/>
  <c r="B189" i="3"/>
  <c r="AB188" i="3"/>
  <c r="Y188" i="3"/>
  <c r="X188" i="3"/>
  <c r="V188" i="3"/>
  <c r="T188" i="3"/>
  <c r="P188" i="3"/>
  <c r="O188" i="3"/>
  <c r="N188" i="3"/>
  <c r="B188" i="3"/>
  <c r="AB187" i="3"/>
  <c r="Y187" i="3"/>
  <c r="X187" i="3"/>
  <c r="V187" i="3"/>
  <c r="T187" i="3"/>
  <c r="O187" i="3"/>
  <c r="N187" i="3"/>
  <c r="B187" i="3"/>
  <c r="AB186" i="3"/>
  <c r="X186" i="3"/>
  <c r="Y186" i="3" s="1"/>
  <c r="V186" i="3"/>
  <c r="T186" i="3"/>
  <c r="O186" i="3"/>
  <c r="N186" i="3"/>
  <c r="B186" i="3"/>
  <c r="AB185" i="3"/>
  <c r="Y185" i="3"/>
  <c r="X185" i="3"/>
  <c r="V185" i="3"/>
  <c r="T185" i="3"/>
  <c r="P185" i="3"/>
  <c r="O185" i="3"/>
  <c r="N185" i="3"/>
  <c r="B185" i="3"/>
  <c r="AB184" i="3"/>
  <c r="Y184" i="3"/>
  <c r="X184" i="3"/>
  <c r="V184" i="3"/>
  <c r="T184" i="3"/>
  <c r="P184" i="3"/>
  <c r="O184" i="3"/>
  <c r="N184" i="3"/>
  <c r="B184" i="3"/>
  <c r="AB183" i="3"/>
  <c r="Y183" i="3"/>
  <c r="X183" i="3"/>
  <c r="V183" i="3"/>
  <c r="T183" i="3"/>
  <c r="O183" i="3"/>
  <c r="N183" i="3"/>
  <c r="B183" i="3"/>
  <c r="AB182" i="3"/>
  <c r="Y182" i="3"/>
  <c r="X182" i="3"/>
  <c r="V182" i="3"/>
  <c r="T182" i="3"/>
  <c r="P182" i="3"/>
  <c r="O182" i="3"/>
  <c r="N182" i="3"/>
  <c r="B182" i="3"/>
  <c r="AB181" i="3"/>
  <c r="X181" i="3"/>
  <c r="Y181" i="3" s="1"/>
  <c r="V181" i="3"/>
  <c r="T181" i="3"/>
  <c r="P181" i="3"/>
  <c r="O181" i="3"/>
  <c r="N181" i="3"/>
  <c r="B181" i="3"/>
  <c r="AB180" i="3"/>
  <c r="Y180" i="3"/>
  <c r="P180" i="3" s="1"/>
  <c r="X180" i="3"/>
  <c r="V180" i="3"/>
  <c r="T180" i="3"/>
  <c r="O180" i="3"/>
  <c r="N180" i="3"/>
  <c r="B180" i="3"/>
  <c r="AB179" i="3"/>
  <c r="Y179" i="3"/>
  <c r="X179" i="3"/>
  <c r="V179" i="3"/>
  <c r="T179" i="3"/>
  <c r="P179" i="3"/>
  <c r="O179" i="3"/>
  <c r="N179" i="3"/>
  <c r="B179" i="3"/>
  <c r="AB178" i="3"/>
  <c r="Y178" i="3"/>
  <c r="X178" i="3"/>
  <c r="V178" i="3"/>
  <c r="T178" i="3"/>
  <c r="O178" i="3"/>
  <c r="N178" i="3"/>
  <c r="B178" i="3"/>
  <c r="AB177" i="3"/>
  <c r="Y177" i="3"/>
  <c r="X177" i="3"/>
  <c r="V177" i="3"/>
  <c r="T177" i="3"/>
  <c r="O177" i="3"/>
  <c r="N177" i="3"/>
  <c r="B177" i="3"/>
  <c r="AB176" i="3"/>
  <c r="X176" i="3"/>
  <c r="Y176" i="3" s="1"/>
  <c r="V176" i="3"/>
  <c r="T176" i="3"/>
  <c r="O176" i="3"/>
  <c r="N176" i="3"/>
  <c r="B176" i="3"/>
  <c r="AB175" i="3"/>
  <c r="X175" i="3"/>
  <c r="Y175" i="3" s="1"/>
  <c r="V175" i="3"/>
  <c r="T175" i="3"/>
  <c r="O175" i="3"/>
  <c r="N175" i="3"/>
  <c r="B175" i="3"/>
  <c r="AB174" i="3"/>
  <c r="X174" i="3"/>
  <c r="Y174" i="3" s="1"/>
  <c r="V174" i="3"/>
  <c r="T174" i="3"/>
  <c r="O174" i="3"/>
  <c r="N174" i="3"/>
  <c r="B174" i="3"/>
  <c r="AB173" i="3"/>
  <c r="Y173" i="3"/>
  <c r="X173" i="3"/>
  <c r="V173" i="3"/>
  <c r="T173" i="3"/>
  <c r="P173" i="3"/>
  <c r="O173" i="3"/>
  <c r="N173" i="3"/>
  <c r="B173" i="3"/>
  <c r="AB172" i="3"/>
  <c r="Y172" i="3"/>
  <c r="X172" i="3"/>
  <c r="V172" i="3"/>
  <c r="T172" i="3"/>
  <c r="O172" i="3"/>
  <c r="N172" i="3"/>
  <c r="B172" i="3"/>
  <c r="AB171" i="3"/>
  <c r="Y171" i="3"/>
  <c r="X171" i="3"/>
  <c r="V171" i="3"/>
  <c r="T171" i="3"/>
  <c r="P171" i="3"/>
  <c r="O171" i="3"/>
  <c r="N171" i="3"/>
  <c r="B171" i="3"/>
  <c r="AB170" i="3"/>
  <c r="Y170" i="3"/>
  <c r="X170" i="3"/>
  <c r="V170" i="3"/>
  <c r="T170" i="3"/>
  <c r="P170" i="3"/>
  <c r="O170" i="3"/>
  <c r="N170" i="3"/>
  <c r="B170" i="3"/>
  <c r="AB169" i="3"/>
  <c r="Y169" i="3"/>
  <c r="X169" i="3"/>
  <c r="V169" i="3"/>
  <c r="T169" i="3"/>
  <c r="O169" i="3"/>
  <c r="N169" i="3"/>
  <c r="B169" i="3"/>
  <c r="AB168" i="3"/>
  <c r="X168" i="3"/>
  <c r="Y168" i="3" s="1"/>
  <c r="V168" i="3"/>
  <c r="T168" i="3"/>
  <c r="P168" i="3"/>
  <c r="O168" i="3"/>
  <c r="N168" i="3"/>
  <c r="B168" i="3"/>
  <c r="AB167" i="3"/>
  <c r="X167" i="3"/>
  <c r="Y167" i="3" s="1"/>
  <c r="V167" i="3"/>
  <c r="T167" i="3"/>
  <c r="O167" i="3"/>
  <c r="N167" i="3"/>
  <c r="B167" i="3"/>
  <c r="AB166" i="3"/>
  <c r="Y166" i="3"/>
  <c r="X166" i="3"/>
  <c r="V166" i="3"/>
  <c r="T166" i="3"/>
  <c r="O166" i="3"/>
  <c r="N166" i="3"/>
  <c r="B166" i="3"/>
  <c r="AB165" i="3"/>
  <c r="Y165" i="3"/>
  <c r="X165" i="3"/>
  <c r="V165" i="3"/>
  <c r="T165" i="3"/>
  <c r="P165" i="3"/>
  <c r="O165" i="3"/>
  <c r="N165" i="3"/>
  <c r="B165" i="3"/>
  <c r="AB164" i="3"/>
  <c r="Y164" i="3"/>
  <c r="X164" i="3"/>
  <c r="V164" i="3"/>
  <c r="T164" i="3"/>
  <c r="P164" i="3"/>
  <c r="O164" i="3"/>
  <c r="N164" i="3"/>
  <c r="B164" i="3"/>
  <c r="AB163" i="3"/>
  <c r="Y163" i="3"/>
  <c r="X163" i="3"/>
  <c r="V163" i="3"/>
  <c r="T163" i="3"/>
  <c r="P163" i="3"/>
  <c r="O163" i="3"/>
  <c r="N163" i="3"/>
  <c r="B163" i="3"/>
  <c r="AB162" i="3"/>
  <c r="Y162" i="3"/>
  <c r="X162" i="3"/>
  <c r="V162" i="3"/>
  <c r="T162" i="3"/>
  <c r="O162" i="3"/>
  <c r="N162" i="3"/>
  <c r="B162" i="3"/>
  <c r="AB161" i="3"/>
  <c r="Y161" i="3"/>
  <c r="X161" i="3"/>
  <c r="V161" i="3"/>
  <c r="T161" i="3"/>
  <c r="O161" i="3"/>
  <c r="N161" i="3"/>
  <c r="B161" i="3"/>
  <c r="AB160" i="3"/>
  <c r="X160" i="3"/>
  <c r="Y160" i="3" s="1"/>
  <c r="V160" i="3"/>
  <c r="T160" i="3"/>
  <c r="O160" i="3"/>
  <c r="N160" i="3"/>
  <c r="B160" i="3"/>
  <c r="AB159" i="3"/>
  <c r="X159" i="3"/>
  <c r="Y159" i="3" s="1"/>
  <c r="V159" i="3"/>
  <c r="T159" i="3"/>
  <c r="O159" i="3"/>
  <c r="N159" i="3"/>
  <c r="B159" i="3"/>
  <c r="AB158" i="3"/>
  <c r="X158" i="3"/>
  <c r="Y158" i="3" s="1"/>
  <c r="V158" i="3"/>
  <c r="T158" i="3"/>
  <c r="P158" i="3"/>
  <c r="O158" i="3"/>
  <c r="N158" i="3"/>
  <c r="B158" i="3"/>
  <c r="AB157" i="3"/>
  <c r="Y157" i="3"/>
  <c r="X157" i="3"/>
  <c r="V157" i="3"/>
  <c r="T157" i="3"/>
  <c r="P157" i="3"/>
  <c r="O157" i="3"/>
  <c r="N157" i="3"/>
  <c r="B157" i="3"/>
  <c r="AB156" i="3"/>
  <c r="X156" i="3"/>
  <c r="Y156" i="3" s="1"/>
  <c r="V156" i="3"/>
  <c r="T156" i="3"/>
  <c r="O156" i="3"/>
  <c r="N156" i="3"/>
  <c r="B156" i="3"/>
  <c r="AB155" i="3"/>
  <c r="N155" i="3" s="1"/>
  <c r="O155" i="3" s="1"/>
  <c r="Y155" i="3"/>
  <c r="X155" i="3"/>
  <c r="T155" i="3"/>
  <c r="B155" i="3"/>
  <c r="AB154" i="3"/>
  <c r="N154" i="3" s="1"/>
  <c r="O154" i="3" s="1"/>
  <c r="X154" i="3"/>
  <c r="T154" i="3"/>
  <c r="B154" i="3"/>
  <c r="AB153" i="3"/>
  <c r="Y153" i="3"/>
  <c r="X153" i="3"/>
  <c r="T153" i="3"/>
  <c r="P153" i="3"/>
  <c r="N153" i="3"/>
  <c r="O153" i="3" s="1"/>
  <c r="B153" i="3"/>
  <c r="AB152" i="3"/>
  <c r="Y152" i="3"/>
  <c r="X152" i="3"/>
  <c r="T152" i="3"/>
  <c r="P152" i="3"/>
  <c r="N152" i="3"/>
  <c r="O152" i="3" s="1"/>
  <c r="B152" i="3"/>
  <c r="AB151" i="3"/>
  <c r="N151" i="3" s="1"/>
  <c r="O151" i="3" s="1"/>
  <c r="X151" i="3"/>
  <c r="Y151" i="3" s="1"/>
  <c r="T151" i="3"/>
  <c r="P151" i="3"/>
  <c r="B151" i="3"/>
  <c r="AB150" i="3"/>
  <c r="X150" i="3"/>
  <c r="T150" i="3"/>
  <c r="N150" i="3"/>
  <c r="O150" i="3" s="1"/>
  <c r="B150" i="3"/>
  <c r="AB149" i="3"/>
  <c r="Y149" i="3"/>
  <c r="X149" i="3"/>
  <c r="T149" i="3"/>
  <c r="N149" i="3"/>
  <c r="O149" i="3" s="1"/>
  <c r="B149" i="3"/>
  <c r="AB148" i="3"/>
  <c r="X148" i="3"/>
  <c r="T148" i="3"/>
  <c r="N148" i="3"/>
  <c r="O148" i="3" s="1"/>
  <c r="B148" i="3"/>
  <c r="AB147" i="3"/>
  <c r="X147" i="3"/>
  <c r="T147" i="3"/>
  <c r="N147" i="3"/>
  <c r="O147" i="3" s="1"/>
  <c r="B147" i="3"/>
  <c r="AB146" i="3"/>
  <c r="N146" i="3" s="1"/>
  <c r="O146" i="3" s="1"/>
  <c r="X146" i="3"/>
  <c r="T146" i="3"/>
  <c r="B146" i="3"/>
  <c r="AB145" i="3"/>
  <c r="N145" i="3" s="1"/>
  <c r="O145" i="3" s="1"/>
  <c r="Y145" i="3"/>
  <c r="X145" i="3"/>
  <c r="T145" i="3"/>
  <c r="B145" i="3"/>
  <c r="AB144" i="3"/>
  <c r="X144" i="3"/>
  <c r="Y144" i="3" s="1"/>
  <c r="T144" i="3"/>
  <c r="N144" i="3"/>
  <c r="O144" i="3" s="1"/>
  <c r="B144" i="3"/>
  <c r="AB143" i="3"/>
  <c r="N143" i="3" s="1"/>
  <c r="O143" i="3" s="1"/>
  <c r="X143" i="3"/>
  <c r="Y143" i="3" s="1"/>
  <c r="T143" i="3"/>
  <c r="P143" i="3"/>
  <c r="B143" i="3"/>
  <c r="AB142" i="3"/>
  <c r="X142" i="3"/>
  <c r="T142" i="3"/>
  <c r="N142" i="3"/>
  <c r="O142" i="3" s="1"/>
  <c r="B142" i="3"/>
  <c r="AB141" i="3"/>
  <c r="X141" i="3"/>
  <c r="Y141" i="3" s="1"/>
  <c r="T141" i="3"/>
  <c r="O141" i="3"/>
  <c r="N141" i="3"/>
  <c r="B141" i="3"/>
  <c r="AB140" i="3"/>
  <c r="X140" i="3"/>
  <c r="T140" i="3"/>
  <c r="O140" i="3"/>
  <c r="N140" i="3"/>
  <c r="B140" i="3"/>
  <c r="AB139" i="3"/>
  <c r="N139" i="3" s="1"/>
  <c r="O139" i="3" s="1"/>
  <c r="X139" i="3"/>
  <c r="Y139" i="3" s="1"/>
  <c r="P139" i="3" s="1"/>
  <c r="T139" i="3"/>
  <c r="B139" i="3"/>
  <c r="AB138" i="3"/>
  <c r="X138" i="3"/>
  <c r="Y138" i="3" s="1"/>
  <c r="T138" i="3"/>
  <c r="N138" i="3"/>
  <c r="O138" i="3" s="1"/>
  <c r="B138" i="3"/>
  <c r="AB137" i="3"/>
  <c r="Y137" i="3"/>
  <c r="X137" i="3"/>
  <c r="T137" i="3"/>
  <c r="P137" i="3"/>
  <c r="N137" i="3"/>
  <c r="O137" i="3" s="1"/>
  <c r="B137" i="3"/>
  <c r="AB136" i="3"/>
  <c r="N136" i="3" s="1"/>
  <c r="O136" i="3" s="1"/>
  <c r="X136" i="3"/>
  <c r="Y136" i="3" s="1"/>
  <c r="T136" i="3"/>
  <c r="B136" i="3"/>
  <c r="AB135" i="3"/>
  <c r="N135" i="3" s="1"/>
  <c r="O135" i="3" s="1"/>
  <c r="Y135" i="3"/>
  <c r="X135" i="3"/>
  <c r="T135" i="3"/>
  <c r="P135" i="3"/>
  <c r="B135" i="3"/>
  <c r="AB134" i="3"/>
  <c r="N134" i="3" s="1"/>
  <c r="Y134" i="3"/>
  <c r="X134" i="3"/>
  <c r="T134" i="3"/>
  <c r="P134" i="3"/>
  <c r="O134" i="3"/>
  <c r="B134" i="3"/>
  <c r="AB133" i="3"/>
  <c r="N133" i="3" s="1"/>
  <c r="O133" i="3" s="1"/>
  <c r="Y133" i="3"/>
  <c r="X133" i="3"/>
  <c r="T133" i="3"/>
  <c r="B133" i="3"/>
  <c r="AB132" i="3"/>
  <c r="N132" i="3" s="1"/>
  <c r="X132" i="3"/>
  <c r="Y132" i="3" s="1"/>
  <c r="T132" i="3"/>
  <c r="P132" i="3"/>
  <c r="O132" i="3"/>
  <c r="B132" i="3"/>
  <c r="AB131" i="3"/>
  <c r="N131" i="3" s="1"/>
  <c r="O131" i="3" s="1"/>
  <c r="X131" i="3"/>
  <c r="Y131" i="3" s="1"/>
  <c r="Z131" i="3" s="1"/>
  <c r="T131" i="3"/>
  <c r="B131" i="3"/>
  <c r="AB130" i="3"/>
  <c r="Y130" i="3"/>
  <c r="X130" i="3"/>
  <c r="T130" i="3"/>
  <c r="P130" i="3"/>
  <c r="N130" i="3"/>
  <c r="O130" i="3" s="1"/>
  <c r="B130" i="3"/>
  <c r="AB129" i="3"/>
  <c r="N129" i="3" s="1"/>
  <c r="O129" i="3" s="1"/>
  <c r="Y129" i="3"/>
  <c r="X129" i="3"/>
  <c r="T129" i="3"/>
  <c r="P129" i="3"/>
  <c r="B129" i="3"/>
  <c r="AB128" i="3"/>
  <c r="X128" i="3"/>
  <c r="T128" i="3"/>
  <c r="O128" i="3"/>
  <c r="N128" i="3"/>
  <c r="B128" i="3"/>
  <c r="AB127" i="3"/>
  <c r="Y127" i="3"/>
  <c r="X127" i="3"/>
  <c r="T127" i="3"/>
  <c r="N127" i="3"/>
  <c r="O127" i="3" s="1"/>
  <c r="B127" i="3"/>
  <c r="AB126" i="3"/>
  <c r="X126" i="3"/>
  <c r="Y126" i="3" s="1"/>
  <c r="T126" i="3"/>
  <c r="N126" i="3"/>
  <c r="O126" i="3" s="1"/>
  <c r="B126" i="3"/>
  <c r="AB125" i="3"/>
  <c r="X125" i="3"/>
  <c r="Y125" i="3" s="1"/>
  <c r="T125" i="3"/>
  <c r="P125" i="3"/>
  <c r="N125" i="3"/>
  <c r="O125" i="3" s="1"/>
  <c r="B125" i="3"/>
  <c r="AB124" i="3"/>
  <c r="N124" i="3" s="1"/>
  <c r="O124" i="3" s="1"/>
  <c r="X124" i="3"/>
  <c r="T124" i="3"/>
  <c r="B124" i="3"/>
  <c r="AB123" i="3"/>
  <c r="Y123" i="3"/>
  <c r="X123" i="3"/>
  <c r="T123" i="3"/>
  <c r="P123" i="3"/>
  <c r="N123" i="3"/>
  <c r="O123" i="3" s="1"/>
  <c r="B123" i="3"/>
  <c r="AB122" i="3"/>
  <c r="X122" i="3"/>
  <c r="Y122" i="3" s="1"/>
  <c r="T122" i="3"/>
  <c r="O122" i="3"/>
  <c r="N122" i="3"/>
  <c r="B122" i="3"/>
  <c r="AB121" i="3"/>
  <c r="Y121" i="3"/>
  <c r="X121" i="3"/>
  <c r="T121" i="3"/>
  <c r="O121" i="3"/>
  <c r="N121" i="3"/>
  <c r="B121" i="3"/>
  <c r="AB120" i="3"/>
  <c r="X120" i="3"/>
  <c r="Y120" i="3" s="1"/>
  <c r="T120" i="3"/>
  <c r="N120" i="3"/>
  <c r="O120" i="3" s="1"/>
  <c r="B120" i="3"/>
  <c r="AB119" i="3"/>
  <c r="X119" i="3"/>
  <c r="Y119" i="3" s="1"/>
  <c r="T119" i="3"/>
  <c r="N119" i="3"/>
  <c r="O119" i="3" s="1"/>
  <c r="B119" i="3"/>
  <c r="AB118" i="3"/>
  <c r="N118" i="3" s="1"/>
  <c r="O118" i="3" s="1"/>
  <c r="X118" i="3"/>
  <c r="Y118" i="3" s="1"/>
  <c r="T118" i="3"/>
  <c r="B118" i="3"/>
  <c r="AB117" i="3"/>
  <c r="N117" i="3" s="1"/>
  <c r="O117" i="3" s="1"/>
  <c r="Y117" i="3"/>
  <c r="X117" i="3"/>
  <c r="T117" i="3"/>
  <c r="B117" i="3"/>
  <c r="AB116" i="3"/>
  <c r="Y116" i="3"/>
  <c r="X116" i="3"/>
  <c r="T116" i="3"/>
  <c r="P116" i="3"/>
  <c r="N116" i="3"/>
  <c r="O116" i="3" s="1"/>
  <c r="B116" i="3"/>
  <c r="AB115" i="3"/>
  <c r="X115" i="3"/>
  <c r="Y115" i="3" s="1"/>
  <c r="T115" i="3"/>
  <c r="O115" i="3"/>
  <c r="N115" i="3"/>
  <c r="B115" i="3"/>
  <c r="AB114" i="3"/>
  <c r="N114" i="3" s="1"/>
  <c r="X114" i="3"/>
  <c r="Y114" i="3" s="1"/>
  <c r="T114" i="3"/>
  <c r="O114" i="3"/>
  <c r="B114" i="3"/>
  <c r="AB113" i="3"/>
  <c r="N113" i="3" s="1"/>
  <c r="X113" i="3"/>
  <c r="Y113" i="3" s="1"/>
  <c r="T113" i="3"/>
  <c r="O113" i="3"/>
  <c r="B113" i="3"/>
  <c r="AB112" i="3"/>
  <c r="N112" i="3" s="1"/>
  <c r="O112" i="3" s="1"/>
  <c r="X112" i="3"/>
  <c r="Y112" i="3" s="1"/>
  <c r="T112" i="3"/>
  <c r="B112" i="3"/>
  <c r="AB111" i="3"/>
  <c r="N111" i="3" s="1"/>
  <c r="O111" i="3" s="1"/>
  <c r="X111" i="3"/>
  <c r="Y111" i="3" s="1"/>
  <c r="T111" i="3"/>
  <c r="P111" i="3"/>
  <c r="B111" i="3"/>
  <c r="AB110" i="3"/>
  <c r="X110" i="3"/>
  <c r="T110" i="3"/>
  <c r="N110" i="3"/>
  <c r="O110" i="3" s="1"/>
  <c r="B110" i="3"/>
  <c r="AB109" i="3"/>
  <c r="Y109" i="3"/>
  <c r="X109" i="3"/>
  <c r="T109" i="3"/>
  <c r="N109" i="3"/>
  <c r="O109" i="3" s="1"/>
  <c r="B109" i="3"/>
  <c r="AB108" i="3"/>
  <c r="Y108" i="3"/>
  <c r="X108" i="3"/>
  <c r="T108" i="3"/>
  <c r="O108" i="3"/>
  <c r="N108" i="3"/>
  <c r="B108" i="3"/>
  <c r="AB107" i="3"/>
  <c r="Y107" i="3"/>
  <c r="X107" i="3"/>
  <c r="T107" i="3"/>
  <c r="N107" i="3"/>
  <c r="O107" i="3" s="1"/>
  <c r="B107" i="3"/>
  <c r="AB106" i="3"/>
  <c r="X106" i="3"/>
  <c r="Y106" i="3" s="1"/>
  <c r="T106" i="3"/>
  <c r="N106" i="3"/>
  <c r="O106" i="3" s="1"/>
  <c r="B106" i="3"/>
  <c r="AB105" i="3"/>
  <c r="N105" i="3" s="1"/>
  <c r="O105" i="3" s="1"/>
  <c r="Y105" i="3"/>
  <c r="X105" i="3"/>
  <c r="T105" i="3"/>
  <c r="B105" i="3"/>
  <c r="AB104" i="3"/>
  <c r="X104" i="3"/>
  <c r="Y104" i="3" s="1"/>
  <c r="T104" i="3"/>
  <c r="P104" i="3"/>
  <c r="N104" i="3"/>
  <c r="O104" i="3" s="1"/>
  <c r="B104" i="3"/>
  <c r="AB103" i="3"/>
  <c r="Y103" i="3"/>
  <c r="X103" i="3"/>
  <c r="T103" i="3"/>
  <c r="P103" i="3"/>
  <c r="N103" i="3"/>
  <c r="O103" i="3" s="1"/>
  <c r="B103" i="3"/>
  <c r="AB102" i="3"/>
  <c r="Y102" i="3"/>
  <c r="X102" i="3"/>
  <c r="T102" i="3"/>
  <c r="O102" i="3"/>
  <c r="N102" i="3"/>
  <c r="B102" i="3"/>
  <c r="AB101" i="3"/>
  <c r="X101" i="3"/>
  <c r="Y101" i="3" s="1"/>
  <c r="T101" i="3"/>
  <c r="N101" i="3"/>
  <c r="O101" i="3" s="1"/>
  <c r="B101" i="3"/>
  <c r="AB100" i="3"/>
  <c r="Y100" i="3"/>
  <c r="X100" i="3"/>
  <c r="T100" i="3"/>
  <c r="N100" i="3"/>
  <c r="O100" i="3" s="1"/>
  <c r="B100" i="3"/>
  <c r="AB99" i="3"/>
  <c r="X99" i="3"/>
  <c r="T99" i="3"/>
  <c r="O99" i="3"/>
  <c r="N99" i="3"/>
  <c r="B99" i="3"/>
  <c r="AB98" i="3"/>
  <c r="Y98" i="3"/>
  <c r="X98" i="3"/>
  <c r="T98" i="3"/>
  <c r="P98" i="3"/>
  <c r="N98" i="3"/>
  <c r="O98" i="3" s="1"/>
  <c r="B98" i="3"/>
  <c r="AB97" i="3"/>
  <c r="N97" i="3" s="1"/>
  <c r="O97" i="3" s="1"/>
  <c r="Y97" i="3"/>
  <c r="X97" i="3"/>
  <c r="T97" i="3"/>
  <c r="P97" i="3"/>
  <c r="B97" i="3"/>
  <c r="AB96" i="3"/>
  <c r="N96" i="3" s="1"/>
  <c r="O96" i="3" s="1"/>
  <c r="X96" i="3"/>
  <c r="Y96" i="3" s="1"/>
  <c r="T96" i="3"/>
  <c r="P96" i="3"/>
  <c r="B96" i="3"/>
  <c r="AB95" i="3"/>
  <c r="N95" i="3" s="1"/>
  <c r="Y95" i="3"/>
  <c r="X95" i="3"/>
  <c r="T95" i="3"/>
  <c r="O95" i="3"/>
  <c r="B95" i="3"/>
  <c r="AB94" i="3"/>
  <c r="N94" i="3" s="1"/>
  <c r="O94" i="3" s="1"/>
  <c r="X94" i="3"/>
  <c r="Y94" i="3" s="1"/>
  <c r="T94" i="3"/>
  <c r="B94" i="3"/>
  <c r="AB93" i="3"/>
  <c r="AA93" i="3"/>
  <c r="Y93" i="3"/>
  <c r="X93" i="3"/>
  <c r="T93" i="3"/>
  <c r="N93" i="3"/>
  <c r="O93" i="3" s="1"/>
  <c r="B93" i="3"/>
  <c r="AB92" i="3"/>
  <c r="N92" i="3" s="1"/>
  <c r="O92" i="3" s="1"/>
  <c r="X92" i="3"/>
  <c r="Y92" i="3" s="1"/>
  <c r="P92" i="3" s="1"/>
  <c r="T92" i="3"/>
  <c r="B92" i="3"/>
  <c r="AB91" i="3"/>
  <c r="X91" i="3"/>
  <c r="Y91" i="3" s="1"/>
  <c r="T91" i="3"/>
  <c r="N91" i="3"/>
  <c r="O91" i="3" s="1"/>
  <c r="B91" i="3"/>
  <c r="AB90" i="3"/>
  <c r="Y90" i="3"/>
  <c r="X90" i="3"/>
  <c r="T90" i="3"/>
  <c r="N90" i="3"/>
  <c r="O90" i="3" s="1"/>
  <c r="B90" i="3"/>
  <c r="AB89" i="3"/>
  <c r="N89" i="3" s="1"/>
  <c r="O89" i="3" s="1"/>
  <c r="X89" i="3"/>
  <c r="Y89" i="3" s="1"/>
  <c r="T89" i="3"/>
  <c r="P89" i="3"/>
  <c r="B89" i="3"/>
  <c r="AB88" i="3"/>
  <c r="Y88" i="3"/>
  <c r="X88" i="3"/>
  <c r="T88" i="3"/>
  <c r="N88" i="3"/>
  <c r="O88" i="3" s="1"/>
  <c r="B88" i="3"/>
  <c r="AB87" i="3"/>
  <c r="N87" i="3" s="1"/>
  <c r="O87" i="3" s="1"/>
  <c r="X87" i="3"/>
  <c r="Y87" i="3" s="1"/>
  <c r="T87" i="3"/>
  <c r="P87" i="3"/>
  <c r="B87" i="3"/>
  <c r="AB86" i="3"/>
  <c r="N86" i="3" s="1"/>
  <c r="O86" i="3" s="1"/>
  <c r="X86" i="3"/>
  <c r="T86" i="3"/>
  <c r="B86" i="3"/>
  <c r="AB85" i="3"/>
  <c r="N85" i="3" s="1"/>
  <c r="O85" i="3" s="1"/>
  <c r="Y85" i="3"/>
  <c r="X85" i="3"/>
  <c r="T85" i="3"/>
  <c r="B85" i="3"/>
  <c r="AB84" i="3"/>
  <c r="N84" i="3" s="1"/>
  <c r="X84" i="3"/>
  <c r="T84" i="3"/>
  <c r="O84" i="3"/>
  <c r="B84" i="3"/>
  <c r="AB83" i="3"/>
  <c r="N83" i="3" s="1"/>
  <c r="Y83" i="3"/>
  <c r="X83" i="3"/>
  <c r="T83" i="3"/>
  <c r="P83" i="3"/>
  <c r="O83" i="3"/>
  <c r="B83" i="3"/>
  <c r="AB82" i="3"/>
  <c r="N82" i="3" s="1"/>
  <c r="Y82" i="3"/>
  <c r="X82" i="3"/>
  <c r="T82" i="3"/>
  <c r="P82" i="3"/>
  <c r="O82" i="3"/>
  <c r="B82" i="3"/>
  <c r="AB81" i="3"/>
  <c r="N81" i="3" s="1"/>
  <c r="O81" i="3" s="1"/>
  <c r="Y81" i="3"/>
  <c r="X81" i="3"/>
  <c r="T81" i="3"/>
  <c r="B81" i="3"/>
  <c r="AB80" i="3"/>
  <c r="X80" i="3"/>
  <c r="Y80" i="3" s="1"/>
  <c r="T80" i="3"/>
  <c r="N80" i="3"/>
  <c r="O80" i="3" s="1"/>
  <c r="B80" i="3"/>
  <c r="AB79" i="3"/>
  <c r="X79" i="3"/>
  <c r="Y79" i="3" s="1"/>
  <c r="T79" i="3"/>
  <c r="O79" i="3"/>
  <c r="N79" i="3"/>
  <c r="B79" i="3"/>
  <c r="AB78" i="3"/>
  <c r="N78" i="3" s="1"/>
  <c r="Y78" i="3"/>
  <c r="X78" i="3"/>
  <c r="T78" i="3"/>
  <c r="O78" i="3"/>
  <c r="B78" i="3"/>
  <c r="AB77" i="3"/>
  <c r="X77" i="3"/>
  <c r="Y77" i="3" s="1"/>
  <c r="T77" i="3"/>
  <c r="R36" i="1" s="1"/>
  <c r="Q77" i="3"/>
  <c r="N77" i="3"/>
  <c r="O77" i="3" s="1"/>
  <c r="B77" i="3"/>
  <c r="AB76" i="3"/>
  <c r="Z76" i="3"/>
  <c r="X76" i="3"/>
  <c r="Y76" i="3" s="1"/>
  <c r="AA76" i="3" s="1"/>
  <c r="T76" i="3"/>
  <c r="P76" i="3"/>
  <c r="O76" i="3"/>
  <c r="N76" i="3"/>
  <c r="B76" i="3"/>
  <c r="AB75" i="3"/>
  <c r="N75" i="3" s="1"/>
  <c r="O75" i="3" s="1"/>
  <c r="X75" i="3"/>
  <c r="T75" i="3"/>
  <c r="B75" i="3"/>
  <c r="AB74" i="3"/>
  <c r="Y74" i="3"/>
  <c r="X74" i="3"/>
  <c r="T74" i="3"/>
  <c r="P74" i="3"/>
  <c r="N74" i="3"/>
  <c r="O74" i="3" s="1"/>
  <c r="B74" i="3"/>
  <c r="AB73" i="3"/>
  <c r="N73" i="3" s="1"/>
  <c r="O73" i="3" s="1"/>
  <c r="Y73" i="3"/>
  <c r="X73" i="3"/>
  <c r="T73" i="3"/>
  <c r="B73" i="3"/>
  <c r="AB72" i="3"/>
  <c r="N72" i="3" s="1"/>
  <c r="O72" i="3" s="1"/>
  <c r="X72" i="3"/>
  <c r="Y72" i="3" s="1"/>
  <c r="P72" i="3" s="1"/>
  <c r="T72" i="3"/>
  <c r="B72" i="3"/>
  <c r="AB71" i="3"/>
  <c r="N71" i="3" s="1"/>
  <c r="O71" i="3" s="1"/>
  <c r="X71" i="3"/>
  <c r="T71" i="3"/>
  <c r="B71" i="3"/>
  <c r="AB70" i="3"/>
  <c r="Y70" i="3"/>
  <c r="X70" i="3"/>
  <c r="T70" i="3"/>
  <c r="P70" i="3"/>
  <c r="N70" i="3"/>
  <c r="O70" i="3" s="1"/>
  <c r="B70" i="3"/>
  <c r="AB69" i="3"/>
  <c r="N69" i="3" s="1"/>
  <c r="O69" i="3" s="1"/>
  <c r="Y69" i="3"/>
  <c r="X69" i="3"/>
  <c r="T69" i="3"/>
  <c r="B69" i="3"/>
  <c r="AB68" i="3"/>
  <c r="N68" i="3" s="1"/>
  <c r="O68" i="3" s="1"/>
  <c r="X68" i="3"/>
  <c r="Y68" i="3" s="1"/>
  <c r="T68" i="3"/>
  <c r="P68" i="3"/>
  <c r="B68" i="3"/>
  <c r="AB67" i="3"/>
  <c r="Y67" i="3"/>
  <c r="X67" i="3"/>
  <c r="T67" i="3"/>
  <c r="N67" i="3"/>
  <c r="O67" i="3" s="1"/>
  <c r="B67" i="3"/>
  <c r="AB66" i="3"/>
  <c r="N66" i="3" s="1"/>
  <c r="O66" i="3" s="1"/>
  <c r="Y66" i="3"/>
  <c r="X66" i="3"/>
  <c r="T66" i="3"/>
  <c r="B66" i="3"/>
  <c r="AB65" i="3"/>
  <c r="Z65" i="3"/>
  <c r="Y65" i="3"/>
  <c r="X65" i="3"/>
  <c r="T65" i="3"/>
  <c r="N65" i="3"/>
  <c r="O65" i="3" s="1"/>
  <c r="B65" i="3"/>
  <c r="AB64" i="3"/>
  <c r="X64" i="3"/>
  <c r="T64" i="3"/>
  <c r="O64" i="3"/>
  <c r="N64" i="3"/>
  <c r="B64" i="3"/>
  <c r="AB63" i="3"/>
  <c r="AA63" i="3"/>
  <c r="Y63" i="3"/>
  <c r="X63" i="3"/>
  <c r="T63" i="3"/>
  <c r="O63" i="3"/>
  <c r="N63" i="3"/>
  <c r="B63" i="3"/>
  <c r="AB62" i="3"/>
  <c r="N62" i="3" s="1"/>
  <c r="O62" i="3" s="1"/>
  <c r="AA62" i="3"/>
  <c r="Y62" i="3"/>
  <c r="Z62" i="3" s="1"/>
  <c r="Z63" i="3" s="1"/>
  <c r="X62" i="3"/>
  <c r="T62" i="3"/>
  <c r="P62" i="3"/>
  <c r="B62" i="3"/>
  <c r="AB61" i="3"/>
  <c r="X61" i="3"/>
  <c r="T61" i="3"/>
  <c r="N61" i="3"/>
  <c r="O61" i="3" s="1"/>
  <c r="B61" i="3"/>
  <c r="AB60" i="3"/>
  <c r="N60" i="3" s="1"/>
  <c r="O60" i="3" s="1"/>
  <c r="X60" i="3"/>
  <c r="Y60" i="3" s="1"/>
  <c r="T60" i="3"/>
  <c r="P60" i="3"/>
  <c r="B60" i="3"/>
  <c r="AB59" i="3"/>
  <c r="N59" i="3" s="1"/>
  <c r="O59" i="3" s="1"/>
  <c r="X59" i="3"/>
  <c r="Y59" i="3" s="1"/>
  <c r="T59" i="3"/>
  <c r="B59" i="3"/>
  <c r="AB58" i="3"/>
  <c r="Y58" i="3"/>
  <c r="X58" i="3"/>
  <c r="T58" i="3"/>
  <c r="O58" i="3"/>
  <c r="N58" i="3"/>
  <c r="B58" i="3"/>
  <c r="AB57" i="3"/>
  <c r="N57" i="3" s="1"/>
  <c r="O57" i="3" s="1"/>
  <c r="Y57" i="3"/>
  <c r="X57" i="3"/>
  <c r="T57" i="3"/>
  <c r="P57" i="3"/>
  <c r="B57" i="3"/>
  <c r="AB56" i="3"/>
  <c r="X56" i="3"/>
  <c r="T56" i="3"/>
  <c r="N56" i="3"/>
  <c r="O56" i="3" s="1"/>
  <c r="B56" i="3"/>
  <c r="AB55" i="3"/>
  <c r="X55" i="3"/>
  <c r="T55" i="3"/>
  <c r="N55" i="3"/>
  <c r="O55" i="3" s="1"/>
  <c r="B55" i="3"/>
  <c r="AB54" i="3"/>
  <c r="Y54" i="3"/>
  <c r="X54" i="3"/>
  <c r="T54" i="3"/>
  <c r="P54" i="3"/>
  <c r="N54" i="3"/>
  <c r="O54" i="3" s="1"/>
  <c r="B54" i="3"/>
  <c r="AB53" i="3"/>
  <c r="N53" i="3" s="1"/>
  <c r="O53" i="3" s="1"/>
  <c r="X53" i="3"/>
  <c r="Y53" i="3" s="1"/>
  <c r="T53" i="3"/>
  <c r="P53" i="3"/>
  <c r="B53" i="3"/>
  <c r="AB52" i="3"/>
  <c r="X52" i="3"/>
  <c r="Y52" i="3" s="1"/>
  <c r="T52" i="3"/>
  <c r="P52" i="3"/>
  <c r="N52" i="3"/>
  <c r="O52" i="3" s="1"/>
  <c r="B52" i="3"/>
  <c r="AB51" i="3"/>
  <c r="Y51" i="3"/>
  <c r="X51" i="3"/>
  <c r="T51" i="3"/>
  <c r="N51" i="3"/>
  <c r="O51" i="3" s="1"/>
  <c r="B51" i="3"/>
  <c r="AB50" i="3"/>
  <c r="N50" i="3" s="1"/>
  <c r="O50" i="3" s="1"/>
  <c r="Y50" i="3"/>
  <c r="X50" i="3"/>
  <c r="T50" i="3"/>
  <c r="B50" i="3"/>
  <c r="AB49" i="3"/>
  <c r="AA49" i="3"/>
  <c r="AA50" i="3" s="1"/>
  <c r="Y49" i="3"/>
  <c r="X49" i="3"/>
  <c r="T49" i="3"/>
  <c r="N49" i="3"/>
  <c r="O49" i="3" s="1"/>
  <c r="B49" i="3"/>
  <c r="AB48" i="3"/>
  <c r="X48" i="3"/>
  <c r="Y48" i="3" s="1"/>
  <c r="T48" i="3"/>
  <c r="P48" i="3"/>
  <c r="N48" i="3"/>
  <c r="O48" i="3" s="1"/>
  <c r="B48" i="3"/>
  <c r="AB47" i="3"/>
  <c r="N47" i="3" s="1"/>
  <c r="O47" i="3" s="1"/>
  <c r="Y47" i="3"/>
  <c r="X47" i="3"/>
  <c r="T47" i="3"/>
  <c r="B47" i="3"/>
  <c r="AB46" i="3"/>
  <c r="N46" i="3" s="1"/>
  <c r="Y46" i="3"/>
  <c r="X46" i="3"/>
  <c r="T46" i="3"/>
  <c r="P46" i="3"/>
  <c r="O46" i="3"/>
  <c r="B46" i="3"/>
  <c r="AB45" i="3"/>
  <c r="N45" i="3" s="1"/>
  <c r="O45" i="3" s="1"/>
  <c r="Y45" i="3"/>
  <c r="X45" i="3"/>
  <c r="T45" i="3"/>
  <c r="B45" i="3"/>
  <c r="AB44" i="3"/>
  <c r="N44" i="3" s="1"/>
  <c r="O44" i="3" s="1"/>
  <c r="X44" i="3"/>
  <c r="Y44" i="3" s="1"/>
  <c r="T44" i="3"/>
  <c r="P44" i="3"/>
  <c r="B44" i="3"/>
  <c r="AB43" i="3"/>
  <c r="N43" i="3" s="1"/>
  <c r="O43" i="3" s="1"/>
  <c r="Y43" i="3"/>
  <c r="X43" i="3"/>
  <c r="T43" i="3"/>
  <c r="B43" i="3"/>
  <c r="AB42" i="3"/>
  <c r="N42" i="3" s="1"/>
  <c r="O42" i="3" s="1"/>
  <c r="Y42" i="3"/>
  <c r="X42" i="3"/>
  <c r="T42" i="3"/>
  <c r="B42" i="3"/>
  <c r="AB41" i="3"/>
  <c r="Y41" i="3"/>
  <c r="X41" i="3"/>
  <c r="T41" i="3"/>
  <c r="P41" i="3"/>
  <c r="N41" i="3"/>
  <c r="O41" i="3" s="1"/>
  <c r="B41" i="3"/>
  <c r="AB40" i="3"/>
  <c r="N40" i="3" s="1"/>
  <c r="O40" i="3" s="1"/>
  <c r="AA40" i="3"/>
  <c r="X40" i="3"/>
  <c r="Y40" i="3" s="1"/>
  <c r="P40" i="3" s="1"/>
  <c r="T40" i="3"/>
  <c r="B40" i="3"/>
  <c r="AB39" i="3"/>
  <c r="N39" i="3" s="1"/>
  <c r="O39" i="3" s="1"/>
  <c r="AA39" i="3"/>
  <c r="X39" i="3"/>
  <c r="Y39" i="3" s="1"/>
  <c r="P39" i="3" s="1"/>
  <c r="T39" i="3"/>
  <c r="Q39" i="3"/>
  <c r="V39" i="3" s="1"/>
  <c r="B39" i="3"/>
  <c r="AB38" i="3"/>
  <c r="Z38" i="3"/>
  <c r="Y38" i="3"/>
  <c r="AA38" i="3" s="1"/>
  <c r="X38" i="3"/>
  <c r="T38" i="3"/>
  <c r="P38" i="3"/>
  <c r="N38" i="3"/>
  <c r="O38" i="3" s="1"/>
  <c r="B38" i="3"/>
  <c r="AB37" i="3"/>
  <c r="N37" i="3" s="1"/>
  <c r="O37" i="3" s="1"/>
  <c r="Y37" i="3"/>
  <c r="X37" i="3"/>
  <c r="T37" i="3"/>
  <c r="B37" i="3"/>
  <c r="AB36" i="3"/>
  <c r="N36" i="3" s="1"/>
  <c r="O36" i="3" s="1"/>
  <c r="X36" i="3"/>
  <c r="Y36" i="3" s="1"/>
  <c r="T36" i="3"/>
  <c r="P36" i="3"/>
  <c r="B36" i="3"/>
  <c r="AB35" i="3"/>
  <c r="X35" i="3"/>
  <c r="T35" i="3"/>
  <c r="N35" i="3"/>
  <c r="O35" i="3" s="1"/>
  <c r="B35" i="3"/>
  <c r="AB34" i="3"/>
  <c r="Y34" i="3"/>
  <c r="Z34" i="3" s="1"/>
  <c r="X34" i="3"/>
  <c r="T34" i="3"/>
  <c r="N34" i="3"/>
  <c r="O34" i="3" s="1"/>
  <c r="B34" i="3"/>
  <c r="AB33" i="3"/>
  <c r="AA33" i="3"/>
  <c r="Z33" i="3"/>
  <c r="X33" i="3"/>
  <c r="Y33" i="3" s="1"/>
  <c r="T33" i="3"/>
  <c r="P33" i="3"/>
  <c r="N33" i="3"/>
  <c r="O33" i="3" s="1"/>
  <c r="B33" i="3"/>
  <c r="AB32" i="3"/>
  <c r="X32" i="3"/>
  <c r="Y32" i="3" s="1"/>
  <c r="T32" i="3"/>
  <c r="P32" i="3"/>
  <c r="O32" i="3"/>
  <c r="N32" i="3"/>
  <c r="B32" i="3"/>
  <c r="AB31" i="3"/>
  <c r="Z31" i="3"/>
  <c r="Z32" i="3" s="1"/>
  <c r="Y31" i="3"/>
  <c r="X31" i="3"/>
  <c r="T31" i="3"/>
  <c r="O31" i="3"/>
  <c r="N31" i="3"/>
  <c r="B31" i="3"/>
  <c r="AB30" i="3"/>
  <c r="N30" i="3" s="1"/>
  <c r="Y30" i="3"/>
  <c r="X30" i="3"/>
  <c r="T30" i="3"/>
  <c r="O30" i="3"/>
  <c r="B30" i="3"/>
  <c r="AB29" i="3"/>
  <c r="Y29" i="3"/>
  <c r="X29" i="3"/>
  <c r="T29" i="3"/>
  <c r="P29" i="3"/>
  <c r="N29" i="3"/>
  <c r="O29" i="3" s="1"/>
  <c r="B29" i="3"/>
  <c r="AB28" i="3"/>
  <c r="X28" i="3"/>
  <c r="Y28" i="3" s="1"/>
  <c r="T28" i="3"/>
  <c r="P28" i="3"/>
  <c r="O28" i="3"/>
  <c r="N28" i="3"/>
  <c r="B28" i="3"/>
  <c r="AB27" i="3"/>
  <c r="N27" i="3" s="1"/>
  <c r="O27" i="3" s="1"/>
  <c r="X27" i="3"/>
  <c r="Y27" i="3" s="1"/>
  <c r="T27" i="3"/>
  <c r="B27" i="3"/>
  <c r="AB26" i="3"/>
  <c r="AA26" i="3"/>
  <c r="AA27" i="3" s="1"/>
  <c r="AA28" i="3" s="1"/>
  <c r="Y26" i="3"/>
  <c r="X26" i="3"/>
  <c r="T26" i="3"/>
  <c r="P26" i="3"/>
  <c r="N26" i="3"/>
  <c r="O26" i="3" s="1"/>
  <c r="B26" i="3"/>
  <c r="AB25" i="3"/>
  <c r="Y25" i="3"/>
  <c r="X25" i="3"/>
  <c r="T25" i="3"/>
  <c r="N25" i="3"/>
  <c r="O25" i="3" s="1"/>
  <c r="B25" i="3"/>
  <c r="AB24" i="3"/>
  <c r="Z24" i="3"/>
  <c r="X24" i="3"/>
  <c r="Y24" i="3" s="1"/>
  <c r="P24" i="3" s="1"/>
  <c r="T24" i="3"/>
  <c r="Q24" i="3"/>
  <c r="N24" i="3"/>
  <c r="O24" i="3" s="1"/>
  <c r="B24" i="3"/>
  <c r="AD23" i="3"/>
  <c r="AB23" i="3"/>
  <c r="X23" i="3"/>
  <c r="Y23" i="3" s="1"/>
  <c r="P23" i="3" s="1"/>
  <c r="T23" i="3"/>
  <c r="Q23" i="3"/>
  <c r="AC23" i="3" s="1"/>
  <c r="N23" i="3"/>
  <c r="O23" i="3" s="1"/>
  <c r="B23" i="3"/>
  <c r="AB22" i="3"/>
  <c r="Z22" i="3"/>
  <c r="Z23" i="3" s="1"/>
  <c r="Y22" i="3"/>
  <c r="AA22" i="3" s="1"/>
  <c r="AA23" i="3" s="1"/>
  <c r="X22" i="3"/>
  <c r="T22" i="3"/>
  <c r="P22" i="3"/>
  <c r="N22" i="3"/>
  <c r="O22" i="3" s="1"/>
  <c r="B22" i="3"/>
  <c r="AB21" i="3"/>
  <c r="N21" i="3" s="1"/>
  <c r="O21" i="3" s="1"/>
  <c r="X21" i="3"/>
  <c r="Y21" i="3" s="1"/>
  <c r="T21" i="3"/>
  <c r="P21" i="3"/>
  <c r="B21" i="3"/>
  <c r="AB20" i="3"/>
  <c r="N20" i="3" s="1"/>
  <c r="O20" i="3" s="1"/>
  <c r="X20" i="3"/>
  <c r="T20" i="3"/>
  <c r="B20" i="3"/>
  <c r="AB19" i="3"/>
  <c r="Y19" i="3"/>
  <c r="X19" i="3"/>
  <c r="T19" i="3"/>
  <c r="N19" i="3"/>
  <c r="O19" i="3" s="1"/>
  <c r="B19" i="3"/>
  <c r="AB18" i="3"/>
  <c r="Y18" i="3"/>
  <c r="X18" i="3"/>
  <c r="T18" i="3"/>
  <c r="O18" i="3"/>
  <c r="N18" i="3"/>
  <c r="B18" i="3"/>
  <c r="AB17" i="3"/>
  <c r="X17" i="3"/>
  <c r="Y17" i="3" s="1"/>
  <c r="T17" i="3"/>
  <c r="N17" i="3"/>
  <c r="O17" i="3" s="1"/>
  <c r="B17" i="3"/>
  <c r="AB16" i="3"/>
  <c r="X16" i="3"/>
  <c r="Y16" i="3" s="1"/>
  <c r="T16" i="3"/>
  <c r="P16" i="3"/>
  <c r="N16" i="3"/>
  <c r="O16" i="3" s="1"/>
  <c r="B16" i="3"/>
  <c r="AB15" i="3"/>
  <c r="Y15" i="3"/>
  <c r="X15" i="3"/>
  <c r="T15" i="3"/>
  <c r="N15" i="3"/>
  <c r="O15" i="3" s="1"/>
  <c r="B15" i="3"/>
  <c r="AB14" i="3"/>
  <c r="N14" i="3" s="1"/>
  <c r="O14" i="3" s="1"/>
  <c r="Y14" i="3"/>
  <c r="X14" i="3"/>
  <c r="T14" i="3"/>
  <c r="P14" i="3"/>
  <c r="B14" i="3"/>
  <c r="AB13" i="3"/>
  <c r="N13" i="3" s="1"/>
  <c r="O13" i="3" s="1"/>
  <c r="X13" i="3"/>
  <c r="T13" i="3"/>
  <c r="B13" i="3"/>
  <c r="AB12" i="3"/>
  <c r="N12" i="3" s="1"/>
  <c r="O12" i="3" s="1"/>
  <c r="X12" i="3"/>
  <c r="Y12" i="3" s="1"/>
  <c r="T12" i="3"/>
  <c r="P12" i="3"/>
  <c r="B12" i="3"/>
  <c r="AD11" i="3"/>
  <c r="AB11" i="3"/>
  <c r="N11" i="3" s="1"/>
  <c r="O11" i="3" s="1"/>
  <c r="Z11" i="3"/>
  <c r="Y11" i="3"/>
  <c r="P11" i="3" s="1"/>
  <c r="X11" i="3"/>
  <c r="T11" i="3"/>
  <c r="B11" i="3"/>
  <c r="AC10" i="3"/>
  <c r="AB10" i="3"/>
  <c r="Z10" i="3"/>
  <c r="Q11" i="3" s="1"/>
  <c r="AC11" i="3" s="1"/>
  <c r="Y10" i="3"/>
  <c r="X10" i="3"/>
  <c r="T10" i="3"/>
  <c r="Q10" i="3"/>
  <c r="AD10" i="3" s="1"/>
  <c r="P10" i="3"/>
  <c r="N10" i="3"/>
  <c r="O10" i="3" s="1"/>
  <c r="B10" i="3"/>
  <c r="AD9" i="3"/>
  <c r="AC9" i="3"/>
  <c r="AB9" i="3"/>
  <c r="Z9" i="3"/>
  <c r="X9" i="3"/>
  <c r="Y9" i="3" s="1"/>
  <c r="AA9" i="3" s="1"/>
  <c r="T9" i="3"/>
  <c r="Q9" i="3"/>
  <c r="V9" i="3" s="1"/>
  <c r="P9" i="3"/>
  <c r="N9" i="3"/>
  <c r="O9" i="3" s="1"/>
  <c r="B9" i="3"/>
  <c r="Q8" i="3"/>
  <c r="J8" i="3"/>
  <c r="H5" i="3"/>
  <c r="B5" i="3"/>
  <c r="V2" i="3"/>
  <c r="B1" i="3"/>
  <c r="O808" i="2"/>
  <c r="N808" i="2"/>
  <c r="M808" i="2"/>
  <c r="F808" i="2"/>
  <c r="B808" i="2"/>
  <c r="O807" i="2"/>
  <c r="N807" i="2"/>
  <c r="M807" i="2"/>
  <c r="F807" i="2"/>
  <c r="B807" i="2"/>
  <c r="O806" i="2"/>
  <c r="N806" i="2"/>
  <c r="M806" i="2"/>
  <c r="F806" i="2"/>
  <c r="B806" i="2"/>
  <c r="O805" i="2"/>
  <c r="N805" i="2"/>
  <c r="M805" i="2"/>
  <c r="F805" i="2"/>
  <c r="B805" i="2"/>
  <c r="O804" i="2"/>
  <c r="N804" i="2"/>
  <c r="M804" i="2"/>
  <c r="F804" i="2"/>
  <c r="B804" i="2"/>
  <c r="O803" i="2"/>
  <c r="N803" i="2"/>
  <c r="M803" i="2"/>
  <c r="F803" i="2"/>
  <c r="B803" i="2"/>
  <c r="O802" i="2"/>
  <c r="N802" i="2"/>
  <c r="M802" i="2"/>
  <c r="F802" i="2"/>
  <c r="B802" i="2"/>
  <c r="O801" i="2"/>
  <c r="N801" i="2"/>
  <c r="M801" i="2"/>
  <c r="F801" i="2"/>
  <c r="B801" i="2"/>
  <c r="O800" i="2"/>
  <c r="N800" i="2"/>
  <c r="M800" i="2"/>
  <c r="F800" i="2"/>
  <c r="B800" i="2"/>
  <c r="O799" i="2"/>
  <c r="N799" i="2"/>
  <c r="M799" i="2"/>
  <c r="F799" i="2"/>
  <c r="B799" i="2"/>
  <c r="O798" i="2"/>
  <c r="N798" i="2"/>
  <c r="M798" i="2"/>
  <c r="F798" i="2"/>
  <c r="B798" i="2"/>
  <c r="O797" i="2"/>
  <c r="N797" i="2"/>
  <c r="M797" i="2"/>
  <c r="F797" i="2"/>
  <c r="B797" i="2"/>
  <c r="O796" i="2"/>
  <c r="N796" i="2"/>
  <c r="M796" i="2"/>
  <c r="F796" i="2"/>
  <c r="B796" i="2"/>
  <c r="O795" i="2"/>
  <c r="N795" i="2"/>
  <c r="M795" i="2"/>
  <c r="F795" i="2"/>
  <c r="B795" i="2"/>
  <c r="O794" i="2"/>
  <c r="N794" i="2"/>
  <c r="M794" i="2"/>
  <c r="F794" i="2"/>
  <c r="B794" i="2"/>
  <c r="O793" i="2"/>
  <c r="N793" i="2"/>
  <c r="M793" i="2"/>
  <c r="F793" i="2"/>
  <c r="B793" i="2"/>
  <c r="O792" i="2"/>
  <c r="N792" i="2"/>
  <c r="M792" i="2"/>
  <c r="F792" i="2"/>
  <c r="B792" i="2"/>
  <c r="O791" i="2"/>
  <c r="N791" i="2"/>
  <c r="M791" i="2"/>
  <c r="F791" i="2"/>
  <c r="B791" i="2"/>
  <c r="O790" i="2"/>
  <c r="N790" i="2"/>
  <c r="M790" i="2"/>
  <c r="F790" i="2"/>
  <c r="B790" i="2"/>
  <c r="O789" i="2"/>
  <c r="N789" i="2"/>
  <c r="M789" i="2"/>
  <c r="F789" i="2"/>
  <c r="B789" i="2"/>
  <c r="O788" i="2"/>
  <c r="N788" i="2"/>
  <c r="M788" i="2"/>
  <c r="F788" i="2"/>
  <c r="B788" i="2"/>
  <c r="O787" i="2"/>
  <c r="N787" i="2"/>
  <c r="M787" i="2"/>
  <c r="F787" i="2"/>
  <c r="B787" i="2"/>
  <c r="O786" i="2"/>
  <c r="N786" i="2"/>
  <c r="M786" i="2"/>
  <c r="F786" i="2"/>
  <c r="B786" i="2"/>
  <c r="O785" i="2"/>
  <c r="N785" i="2"/>
  <c r="M785" i="2"/>
  <c r="F785" i="2"/>
  <c r="B785" i="2"/>
  <c r="O784" i="2"/>
  <c r="N784" i="2"/>
  <c r="M784" i="2"/>
  <c r="F784" i="2"/>
  <c r="B784" i="2"/>
  <c r="O783" i="2"/>
  <c r="N783" i="2"/>
  <c r="M783" i="2"/>
  <c r="F783" i="2"/>
  <c r="B783" i="2"/>
  <c r="O782" i="2"/>
  <c r="N782" i="2"/>
  <c r="M782" i="2"/>
  <c r="F782" i="2"/>
  <c r="B782" i="2"/>
  <c r="O781" i="2"/>
  <c r="N781" i="2"/>
  <c r="M781" i="2"/>
  <c r="F781" i="2"/>
  <c r="B781" i="2"/>
  <c r="O780" i="2"/>
  <c r="N780" i="2"/>
  <c r="M780" i="2"/>
  <c r="F780" i="2"/>
  <c r="B780" i="2"/>
  <c r="O779" i="2"/>
  <c r="N779" i="2"/>
  <c r="M779" i="2"/>
  <c r="F779" i="2"/>
  <c r="B779" i="2"/>
  <c r="O778" i="2"/>
  <c r="N778" i="2"/>
  <c r="M778" i="2"/>
  <c r="F778" i="2"/>
  <c r="B778" i="2"/>
  <c r="O777" i="2"/>
  <c r="N777" i="2"/>
  <c r="M777" i="2"/>
  <c r="F777" i="2"/>
  <c r="B777" i="2"/>
  <c r="O776" i="2"/>
  <c r="N776" i="2"/>
  <c r="M776" i="2"/>
  <c r="F776" i="2"/>
  <c r="B776" i="2"/>
  <c r="O775" i="2"/>
  <c r="N775" i="2"/>
  <c r="M775" i="2"/>
  <c r="F775" i="2"/>
  <c r="B775" i="2"/>
  <c r="O774" i="2"/>
  <c r="N774" i="2"/>
  <c r="M774" i="2"/>
  <c r="F774" i="2"/>
  <c r="B774" i="2"/>
  <c r="O773" i="2"/>
  <c r="N773" i="2"/>
  <c r="M773" i="2"/>
  <c r="F773" i="2"/>
  <c r="B773" i="2"/>
  <c r="O772" i="2"/>
  <c r="N772" i="2"/>
  <c r="M772" i="2"/>
  <c r="F772" i="2"/>
  <c r="B772" i="2"/>
  <c r="O771" i="2"/>
  <c r="N771" i="2"/>
  <c r="M771" i="2"/>
  <c r="F771" i="2"/>
  <c r="B771" i="2"/>
  <c r="O770" i="2"/>
  <c r="N770" i="2"/>
  <c r="M770" i="2"/>
  <c r="F770" i="2"/>
  <c r="B770" i="2"/>
  <c r="O769" i="2"/>
  <c r="N769" i="2"/>
  <c r="M769" i="2"/>
  <c r="F769" i="2"/>
  <c r="B769" i="2"/>
  <c r="O768" i="2"/>
  <c r="N768" i="2"/>
  <c r="M768" i="2"/>
  <c r="F768" i="2"/>
  <c r="B768" i="2"/>
  <c r="O767" i="2"/>
  <c r="N767" i="2"/>
  <c r="M767" i="2"/>
  <c r="F767" i="2"/>
  <c r="B767" i="2"/>
  <c r="O766" i="2"/>
  <c r="N766" i="2"/>
  <c r="M766" i="2"/>
  <c r="F766" i="2"/>
  <c r="B766" i="2"/>
  <c r="O765" i="2"/>
  <c r="N765" i="2"/>
  <c r="M765" i="2"/>
  <c r="F765" i="2"/>
  <c r="B765" i="2"/>
  <c r="O764" i="2"/>
  <c r="N764" i="2"/>
  <c r="M764" i="2"/>
  <c r="F764" i="2"/>
  <c r="B764" i="2"/>
  <c r="O763" i="2"/>
  <c r="N763" i="2"/>
  <c r="M763" i="2"/>
  <c r="F763" i="2"/>
  <c r="B763" i="2"/>
  <c r="O762" i="2"/>
  <c r="N762" i="2"/>
  <c r="M762" i="2"/>
  <c r="F762" i="2"/>
  <c r="B762" i="2"/>
  <c r="O761" i="2"/>
  <c r="N761" i="2"/>
  <c r="M761" i="2"/>
  <c r="F761" i="2"/>
  <c r="B761" i="2"/>
  <c r="O760" i="2"/>
  <c r="N760" i="2"/>
  <c r="M760" i="2"/>
  <c r="F760" i="2"/>
  <c r="B760" i="2"/>
  <c r="O759" i="2"/>
  <c r="N759" i="2"/>
  <c r="M759" i="2"/>
  <c r="F759" i="2"/>
  <c r="B759" i="2"/>
  <c r="O758" i="2"/>
  <c r="N758" i="2"/>
  <c r="M758" i="2"/>
  <c r="F758" i="2"/>
  <c r="B758" i="2"/>
  <c r="O757" i="2"/>
  <c r="N757" i="2"/>
  <c r="M757" i="2"/>
  <c r="F757" i="2"/>
  <c r="B757" i="2"/>
  <c r="O756" i="2"/>
  <c r="N756" i="2"/>
  <c r="M756" i="2"/>
  <c r="F756" i="2"/>
  <c r="B756" i="2"/>
  <c r="O755" i="2"/>
  <c r="N755" i="2"/>
  <c r="M755" i="2"/>
  <c r="F755" i="2"/>
  <c r="B755" i="2"/>
  <c r="O754" i="2"/>
  <c r="N754" i="2"/>
  <c r="M754" i="2"/>
  <c r="F754" i="2"/>
  <c r="B754" i="2"/>
  <c r="O753" i="2"/>
  <c r="N753" i="2"/>
  <c r="M753" i="2"/>
  <c r="F753" i="2"/>
  <c r="B753" i="2"/>
  <c r="O752" i="2"/>
  <c r="N752" i="2"/>
  <c r="M752" i="2"/>
  <c r="F752" i="2"/>
  <c r="B752" i="2"/>
  <c r="O751" i="2"/>
  <c r="N751" i="2"/>
  <c r="M751" i="2"/>
  <c r="F751" i="2"/>
  <c r="B751" i="2"/>
  <c r="O750" i="2"/>
  <c r="N750" i="2"/>
  <c r="M750" i="2"/>
  <c r="F750" i="2"/>
  <c r="B750" i="2"/>
  <c r="O749" i="2"/>
  <c r="N749" i="2"/>
  <c r="M749" i="2"/>
  <c r="F749" i="2"/>
  <c r="B749" i="2"/>
  <c r="O748" i="2"/>
  <c r="N748" i="2"/>
  <c r="M748" i="2"/>
  <c r="F748" i="2"/>
  <c r="B748" i="2"/>
  <c r="O747" i="2"/>
  <c r="N747" i="2"/>
  <c r="M747" i="2"/>
  <c r="F747" i="2"/>
  <c r="B747" i="2"/>
  <c r="O746" i="2"/>
  <c r="N746" i="2"/>
  <c r="M746" i="2"/>
  <c r="F746" i="2"/>
  <c r="B746" i="2"/>
  <c r="O745" i="2"/>
  <c r="N745" i="2"/>
  <c r="M745" i="2"/>
  <c r="F745" i="2"/>
  <c r="B745" i="2"/>
  <c r="O744" i="2"/>
  <c r="N744" i="2"/>
  <c r="M744" i="2"/>
  <c r="F744" i="2"/>
  <c r="B744" i="2"/>
  <c r="O743" i="2"/>
  <c r="N743" i="2"/>
  <c r="M743" i="2"/>
  <c r="F743" i="2"/>
  <c r="B743" i="2"/>
  <c r="O742" i="2"/>
  <c r="N742" i="2"/>
  <c r="M742" i="2"/>
  <c r="F742" i="2"/>
  <c r="B742" i="2"/>
  <c r="O741" i="2"/>
  <c r="N741" i="2"/>
  <c r="M741" i="2"/>
  <c r="F741" i="2"/>
  <c r="B741" i="2"/>
  <c r="O740" i="2"/>
  <c r="N740" i="2"/>
  <c r="M740" i="2"/>
  <c r="F740" i="2"/>
  <c r="B740" i="2"/>
  <c r="O739" i="2"/>
  <c r="N739" i="2"/>
  <c r="M739" i="2"/>
  <c r="F739" i="2"/>
  <c r="B739" i="2"/>
  <c r="O738" i="2"/>
  <c r="N738" i="2"/>
  <c r="M738" i="2"/>
  <c r="F738" i="2"/>
  <c r="B738" i="2"/>
  <c r="O737" i="2"/>
  <c r="N737" i="2"/>
  <c r="M737" i="2"/>
  <c r="F737" i="2"/>
  <c r="B737" i="2"/>
  <c r="O736" i="2"/>
  <c r="N736" i="2"/>
  <c r="M736" i="2"/>
  <c r="F736" i="2"/>
  <c r="B736" i="2"/>
  <c r="O735" i="2"/>
  <c r="N735" i="2"/>
  <c r="M735" i="2"/>
  <c r="F735" i="2"/>
  <c r="B735" i="2"/>
  <c r="O734" i="2"/>
  <c r="N734" i="2"/>
  <c r="M734" i="2"/>
  <c r="F734" i="2"/>
  <c r="B734" i="2"/>
  <c r="O733" i="2"/>
  <c r="N733" i="2"/>
  <c r="M733" i="2"/>
  <c r="F733" i="2"/>
  <c r="B733" i="2"/>
  <c r="O732" i="2"/>
  <c r="N732" i="2"/>
  <c r="M732" i="2"/>
  <c r="F732" i="2"/>
  <c r="B732" i="2"/>
  <c r="O731" i="2"/>
  <c r="N731" i="2"/>
  <c r="M731" i="2"/>
  <c r="F731" i="2"/>
  <c r="B731" i="2"/>
  <c r="O730" i="2"/>
  <c r="N730" i="2"/>
  <c r="M730" i="2"/>
  <c r="F730" i="2"/>
  <c r="B730" i="2"/>
  <c r="O729" i="2"/>
  <c r="N729" i="2"/>
  <c r="M729" i="2"/>
  <c r="F729" i="2"/>
  <c r="B729" i="2"/>
  <c r="O728" i="2"/>
  <c r="N728" i="2"/>
  <c r="M728" i="2"/>
  <c r="F728" i="2"/>
  <c r="B728" i="2"/>
  <c r="O727" i="2"/>
  <c r="N727" i="2"/>
  <c r="M727" i="2"/>
  <c r="F727" i="2"/>
  <c r="B727" i="2"/>
  <c r="O726" i="2"/>
  <c r="N726" i="2"/>
  <c r="M726" i="2"/>
  <c r="F726" i="2"/>
  <c r="B726" i="2"/>
  <c r="O725" i="2"/>
  <c r="N725" i="2"/>
  <c r="M725" i="2"/>
  <c r="F725" i="2"/>
  <c r="B725" i="2"/>
  <c r="O724" i="2"/>
  <c r="N724" i="2"/>
  <c r="M724" i="2"/>
  <c r="F724" i="2"/>
  <c r="B724" i="2"/>
  <c r="O723" i="2"/>
  <c r="N723" i="2"/>
  <c r="M723" i="2"/>
  <c r="F723" i="2"/>
  <c r="B723" i="2"/>
  <c r="O722" i="2"/>
  <c r="N722" i="2"/>
  <c r="M722" i="2"/>
  <c r="F722" i="2"/>
  <c r="B722" i="2"/>
  <c r="O721" i="2"/>
  <c r="N721" i="2"/>
  <c r="M721" i="2"/>
  <c r="F721" i="2"/>
  <c r="B721" i="2"/>
  <c r="O720" i="2"/>
  <c r="N720" i="2"/>
  <c r="M720" i="2"/>
  <c r="F720" i="2"/>
  <c r="B720" i="2"/>
  <c r="O719" i="2"/>
  <c r="N719" i="2"/>
  <c r="M719" i="2"/>
  <c r="F719" i="2"/>
  <c r="B719" i="2"/>
  <c r="O718" i="2"/>
  <c r="N718" i="2"/>
  <c r="M718" i="2"/>
  <c r="F718" i="2"/>
  <c r="B718" i="2"/>
  <c r="O717" i="2"/>
  <c r="N717" i="2"/>
  <c r="M717" i="2"/>
  <c r="F717" i="2"/>
  <c r="B717" i="2"/>
  <c r="O716" i="2"/>
  <c r="N716" i="2"/>
  <c r="M716" i="2"/>
  <c r="F716" i="2"/>
  <c r="B716" i="2"/>
  <c r="O715" i="2"/>
  <c r="N715" i="2"/>
  <c r="M715" i="2"/>
  <c r="F715" i="2"/>
  <c r="B715" i="2"/>
  <c r="O714" i="2"/>
  <c r="N714" i="2"/>
  <c r="M714" i="2"/>
  <c r="F714" i="2"/>
  <c r="B714" i="2"/>
  <c r="O713" i="2"/>
  <c r="N713" i="2"/>
  <c r="M713" i="2"/>
  <c r="F713" i="2"/>
  <c r="B713" i="2"/>
  <c r="O712" i="2"/>
  <c r="N712" i="2"/>
  <c r="M712" i="2"/>
  <c r="F712" i="2"/>
  <c r="B712" i="2"/>
  <c r="O711" i="2"/>
  <c r="N711" i="2"/>
  <c r="M711" i="2"/>
  <c r="F711" i="2"/>
  <c r="B711" i="2"/>
  <c r="O710" i="2"/>
  <c r="N710" i="2"/>
  <c r="M710" i="2"/>
  <c r="F710" i="2"/>
  <c r="B710" i="2"/>
  <c r="O709" i="2"/>
  <c r="N709" i="2"/>
  <c r="M709" i="2"/>
  <c r="F709" i="2"/>
  <c r="B709" i="2"/>
  <c r="O708" i="2"/>
  <c r="N708" i="2"/>
  <c r="M708" i="2"/>
  <c r="F708" i="2"/>
  <c r="B708" i="2"/>
  <c r="O707" i="2"/>
  <c r="N707" i="2"/>
  <c r="M707" i="2"/>
  <c r="F707" i="2"/>
  <c r="B707" i="2"/>
  <c r="O706" i="2"/>
  <c r="N706" i="2"/>
  <c r="M706" i="2"/>
  <c r="F706" i="2"/>
  <c r="B706" i="2"/>
  <c r="O705" i="2"/>
  <c r="N705" i="2"/>
  <c r="M705" i="2"/>
  <c r="F705" i="2"/>
  <c r="B705" i="2"/>
  <c r="O704" i="2"/>
  <c r="N704" i="2"/>
  <c r="M704" i="2"/>
  <c r="F704" i="2"/>
  <c r="B704" i="2"/>
  <c r="O703" i="2"/>
  <c r="N703" i="2"/>
  <c r="M703" i="2"/>
  <c r="F703" i="2"/>
  <c r="B703" i="2"/>
  <c r="O702" i="2"/>
  <c r="N702" i="2"/>
  <c r="M702" i="2"/>
  <c r="F702" i="2"/>
  <c r="B702" i="2"/>
  <c r="O701" i="2"/>
  <c r="N701" i="2"/>
  <c r="M701" i="2"/>
  <c r="F701" i="2"/>
  <c r="B701" i="2"/>
  <c r="O700" i="2"/>
  <c r="N700" i="2"/>
  <c r="M700" i="2"/>
  <c r="F700" i="2"/>
  <c r="B700" i="2"/>
  <c r="O699" i="2"/>
  <c r="N699" i="2"/>
  <c r="M699" i="2"/>
  <c r="F699" i="2"/>
  <c r="B699" i="2"/>
  <c r="O698" i="2"/>
  <c r="N698" i="2"/>
  <c r="M698" i="2"/>
  <c r="F698" i="2"/>
  <c r="B698" i="2"/>
  <c r="O697" i="2"/>
  <c r="N697" i="2"/>
  <c r="M697" i="2"/>
  <c r="F697" i="2"/>
  <c r="B697" i="2"/>
  <c r="O696" i="2"/>
  <c r="N696" i="2"/>
  <c r="M696" i="2"/>
  <c r="F696" i="2"/>
  <c r="B696" i="2"/>
  <c r="O695" i="2"/>
  <c r="N695" i="2"/>
  <c r="M695" i="2"/>
  <c r="F695" i="2"/>
  <c r="B695" i="2"/>
  <c r="O694" i="2"/>
  <c r="N694" i="2"/>
  <c r="M694" i="2"/>
  <c r="F694" i="2"/>
  <c r="B694" i="2"/>
  <c r="O693" i="2"/>
  <c r="N693" i="2"/>
  <c r="M693" i="2"/>
  <c r="F693" i="2"/>
  <c r="B693" i="2"/>
  <c r="O692" i="2"/>
  <c r="N692" i="2"/>
  <c r="M692" i="2"/>
  <c r="F692" i="2"/>
  <c r="B692" i="2"/>
  <c r="O691" i="2"/>
  <c r="N691" i="2"/>
  <c r="M691" i="2"/>
  <c r="F691" i="2"/>
  <c r="B691" i="2"/>
  <c r="O690" i="2"/>
  <c r="N690" i="2"/>
  <c r="M690" i="2"/>
  <c r="F690" i="2"/>
  <c r="B690" i="2"/>
  <c r="O689" i="2"/>
  <c r="N689" i="2"/>
  <c r="M689" i="2"/>
  <c r="F689" i="2"/>
  <c r="B689" i="2"/>
  <c r="O688" i="2"/>
  <c r="N688" i="2"/>
  <c r="M688" i="2"/>
  <c r="F688" i="2"/>
  <c r="B688" i="2"/>
  <c r="O687" i="2"/>
  <c r="N687" i="2"/>
  <c r="M687" i="2"/>
  <c r="F687" i="2"/>
  <c r="B687" i="2"/>
  <c r="O686" i="2"/>
  <c r="N686" i="2"/>
  <c r="M686" i="2"/>
  <c r="F686" i="2"/>
  <c r="B686" i="2"/>
  <c r="O685" i="2"/>
  <c r="N685" i="2"/>
  <c r="M685" i="2"/>
  <c r="F685" i="2"/>
  <c r="B685" i="2"/>
  <c r="O684" i="2"/>
  <c r="N684" i="2"/>
  <c r="M684" i="2"/>
  <c r="F684" i="2"/>
  <c r="B684" i="2"/>
  <c r="O683" i="2"/>
  <c r="N683" i="2"/>
  <c r="M683" i="2"/>
  <c r="F683" i="2"/>
  <c r="B683" i="2"/>
  <c r="O682" i="2"/>
  <c r="N682" i="2"/>
  <c r="M682" i="2"/>
  <c r="F682" i="2"/>
  <c r="B682" i="2"/>
  <c r="O681" i="2"/>
  <c r="N681" i="2"/>
  <c r="M681" i="2"/>
  <c r="F681" i="2"/>
  <c r="B681" i="2"/>
  <c r="O680" i="2"/>
  <c r="N680" i="2"/>
  <c r="M680" i="2"/>
  <c r="F680" i="2"/>
  <c r="B680" i="2"/>
  <c r="O679" i="2"/>
  <c r="N679" i="2"/>
  <c r="M679" i="2"/>
  <c r="F679" i="2"/>
  <c r="B679" i="2"/>
  <c r="O678" i="2"/>
  <c r="N678" i="2"/>
  <c r="M678" i="2"/>
  <c r="F678" i="2"/>
  <c r="B678" i="2"/>
  <c r="O677" i="2"/>
  <c r="N677" i="2"/>
  <c r="M677" i="2"/>
  <c r="F677" i="2"/>
  <c r="B677" i="2"/>
  <c r="O676" i="2"/>
  <c r="N676" i="2"/>
  <c r="M676" i="2"/>
  <c r="F676" i="2"/>
  <c r="B676" i="2"/>
  <c r="O675" i="2"/>
  <c r="N675" i="2"/>
  <c r="M675" i="2"/>
  <c r="F675" i="2"/>
  <c r="B675" i="2"/>
  <c r="O674" i="2"/>
  <c r="N674" i="2"/>
  <c r="M674" i="2"/>
  <c r="F674" i="2"/>
  <c r="B674" i="2"/>
  <c r="O673" i="2"/>
  <c r="N673" i="2"/>
  <c r="M673" i="2"/>
  <c r="F673" i="2"/>
  <c r="B673" i="2"/>
  <c r="O672" i="2"/>
  <c r="N672" i="2"/>
  <c r="M672" i="2"/>
  <c r="F672" i="2"/>
  <c r="B672" i="2"/>
  <c r="O671" i="2"/>
  <c r="N671" i="2"/>
  <c r="M671" i="2"/>
  <c r="F671" i="2"/>
  <c r="B671" i="2"/>
  <c r="O670" i="2"/>
  <c r="N670" i="2"/>
  <c r="M670" i="2"/>
  <c r="F670" i="2"/>
  <c r="B670" i="2"/>
  <c r="O669" i="2"/>
  <c r="N669" i="2"/>
  <c r="M669" i="2"/>
  <c r="F669" i="2"/>
  <c r="B669" i="2"/>
  <c r="O668" i="2"/>
  <c r="N668" i="2"/>
  <c r="M668" i="2"/>
  <c r="F668" i="2"/>
  <c r="B668" i="2"/>
  <c r="O667" i="2"/>
  <c r="N667" i="2"/>
  <c r="M667" i="2"/>
  <c r="F667" i="2"/>
  <c r="B667" i="2"/>
  <c r="O666" i="2"/>
  <c r="N666" i="2"/>
  <c r="M666" i="2"/>
  <c r="F666" i="2"/>
  <c r="B666" i="2"/>
  <c r="O665" i="2"/>
  <c r="N665" i="2"/>
  <c r="M665" i="2"/>
  <c r="F665" i="2"/>
  <c r="B665" i="2"/>
  <c r="O664" i="2"/>
  <c r="N664" i="2"/>
  <c r="M664" i="2"/>
  <c r="F664" i="2"/>
  <c r="B664" i="2"/>
  <c r="O663" i="2"/>
  <c r="N663" i="2"/>
  <c r="M663" i="2"/>
  <c r="F663" i="2"/>
  <c r="B663" i="2"/>
  <c r="O662" i="2"/>
  <c r="N662" i="2"/>
  <c r="M662" i="2"/>
  <c r="F662" i="2"/>
  <c r="B662" i="2"/>
  <c r="O661" i="2"/>
  <c r="N661" i="2"/>
  <c r="M661" i="2"/>
  <c r="F661" i="2"/>
  <c r="B661" i="2"/>
  <c r="O660" i="2"/>
  <c r="N660" i="2"/>
  <c r="M660" i="2"/>
  <c r="F660" i="2"/>
  <c r="B660" i="2"/>
  <c r="O659" i="2"/>
  <c r="N659" i="2"/>
  <c r="M659" i="2"/>
  <c r="F659" i="2"/>
  <c r="B659" i="2"/>
  <c r="O658" i="2"/>
  <c r="N658" i="2"/>
  <c r="M658" i="2"/>
  <c r="F658" i="2"/>
  <c r="B658" i="2"/>
  <c r="O657" i="2"/>
  <c r="N657" i="2"/>
  <c r="M657" i="2"/>
  <c r="F657" i="2"/>
  <c r="B657" i="2"/>
  <c r="O656" i="2"/>
  <c r="N656" i="2"/>
  <c r="M656" i="2"/>
  <c r="F656" i="2"/>
  <c r="B656" i="2"/>
  <c r="O655" i="2"/>
  <c r="N655" i="2"/>
  <c r="M655" i="2"/>
  <c r="F655" i="2"/>
  <c r="B655" i="2"/>
  <c r="O654" i="2"/>
  <c r="N654" i="2"/>
  <c r="M654" i="2"/>
  <c r="F654" i="2"/>
  <c r="B654" i="2"/>
  <c r="O653" i="2"/>
  <c r="N653" i="2"/>
  <c r="M653" i="2"/>
  <c r="F653" i="2"/>
  <c r="B653" i="2"/>
  <c r="O652" i="2"/>
  <c r="N652" i="2"/>
  <c r="M652" i="2"/>
  <c r="F652" i="2"/>
  <c r="B652" i="2"/>
  <c r="O651" i="2"/>
  <c r="N651" i="2"/>
  <c r="M651" i="2"/>
  <c r="F651" i="2"/>
  <c r="B651" i="2"/>
  <c r="O650" i="2"/>
  <c r="N650" i="2"/>
  <c r="M650" i="2"/>
  <c r="F650" i="2"/>
  <c r="B650" i="2"/>
  <c r="O649" i="2"/>
  <c r="N649" i="2"/>
  <c r="M649" i="2"/>
  <c r="F649" i="2"/>
  <c r="B649" i="2"/>
  <c r="O648" i="2"/>
  <c r="N648" i="2"/>
  <c r="M648" i="2"/>
  <c r="F648" i="2"/>
  <c r="B648" i="2"/>
  <c r="O647" i="2"/>
  <c r="N647" i="2"/>
  <c r="M647" i="2"/>
  <c r="F647" i="2"/>
  <c r="B647" i="2"/>
  <c r="O646" i="2"/>
  <c r="N646" i="2"/>
  <c r="M646" i="2"/>
  <c r="F646" i="2"/>
  <c r="B646" i="2"/>
  <c r="O645" i="2"/>
  <c r="N645" i="2"/>
  <c r="M645" i="2"/>
  <c r="F645" i="2"/>
  <c r="B645" i="2"/>
  <c r="O644" i="2"/>
  <c r="N644" i="2"/>
  <c r="M644" i="2"/>
  <c r="F644" i="2"/>
  <c r="B644" i="2"/>
  <c r="O643" i="2"/>
  <c r="N643" i="2"/>
  <c r="M643" i="2"/>
  <c r="F643" i="2"/>
  <c r="B643" i="2"/>
  <c r="O642" i="2"/>
  <c r="N642" i="2"/>
  <c r="M642" i="2"/>
  <c r="F642" i="2"/>
  <c r="B642" i="2"/>
  <c r="O641" i="2"/>
  <c r="N641" i="2"/>
  <c r="M641" i="2"/>
  <c r="F641" i="2"/>
  <c r="B641" i="2"/>
  <c r="O640" i="2"/>
  <c r="N640" i="2"/>
  <c r="M640" i="2"/>
  <c r="F640" i="2"/>
  <c r="B640" i="2"/>
  <c r="O639" i="2"/>
  <c r="N639" i="2"/>
  <c r="M639" i="2"/>
  <c r="F639" i="2"/>
  <c r="B639" i="2"/>
  <c r="O638" i="2"/>
  <c r="N638" i="2"/>
  <c r="M638" i="2"/>
  <c r="F638" i="2"/>
  <c r="B638" i="2"/>
  <c r="O637" i="2"/>
  <c r="N637" i="2"/>
  <c r="M637" i="2"/>
  <c r="F637" i="2"/>
  <c r="B637" i="2"/>
  <c r="O636" i="2"/>
  <c r="N636" i="2"/>
  <c r="M636" i="2"/>
  <c r="F636" i="2"/>
  <c r="B636" i="2"/>
  <c r="O635" i="2"/>
  <c r="N635" i="2"/>
  <c r="M635" i="2"/>
  <c r="F635" i="2"/>
  <c r="B635" i="2"/>
  <c r="O634" i="2"/>
  <c r="N634" i="2"/>
  <c r="M634" i="2"/>
  <c r="F634" i="2"/>
  <c r="B634" i="2"/>
  <c r="O633" i="2"/>
  <c r="N633" i="2"/>
  <c r="M633" i="2"/>
  <c r="F633" i="2"/>
  <c r="B633" i="2"/>
  <c r="O632" i="2"/>
  <c r="N632" i="2"/>
  <c r="M632" i="2"/>
  <c r="F632" i="2"/>
  <c r="B632" i="2"/>
  <c r="O631" i="2"/>
  <c r="N631" i="2"/>
  <c r="M631" i="2"/>
  <c r="F631" i="2"/>
  <c r="B631" i="2"/>
  <c r="O630" i="2"/>
  <c r="N630" i="2"/>
  <c r="M630" i="2"/>
  <c r="F630" i="2"/>
  <c r="B630" i="2"/>
  <c r="O629" i="2"/>
  <c r="N629" i="2"/>
  <c r="M629" i="2"/>
  <c r="F629" i="2"/>
  <c r="B629" i="2"/>
  <c r="O628" i="2"/>
  <c r="N628" i="2"/>
  <c r="M628" i="2"/>
  <c r="F628" i="2"/>
  <c r="B628" i="2"/>
  <c r="O627" i="2"/>
  <c r="N627" i="2"/>
  <c r="M627" i="2"/>
  <c r="F627" i="2"/>
  <c r="B627" i="2"/>
  <c r="O626" i="2"/>
  <c r="N626" i="2"/>
  <c r="M626" i="2"/>
  <c r="F626" i="2"/>
  <c r="B626" i="2"/>
  <c r="O625" i="2"/>
  <c r="N625" i="2"/>
  <c r="M625" i="2"/>
  <c r="F625" i="2"/>
  <c r="B625" i="2"/>
  <c r="O624" i="2"/>
  <c r="N624" i="2"/>
  <c r="M624" i="2"/>
  <c r="F624" i="2"/>
  <c r="B624" i="2"/>
  <c r="O623" i="2"/>
  <c r="N623" i="2"/>
  <c r="M623" i="2"/>
  <c r="F623" i="2"/>
  <c r="B623" i="2"/>
  <c r="O622" i="2"/>
  <c r="N622" i="2"/>
  <c r="M622" i="2"/>
  <c r="F622" i="2"/>
  <c r="B622" i="2"/>
  <c r="O621" i="2"/>
  <c r="N621" i="2"/>
  <c r="M621" i="2"/>
  <c r="F621" i="2"/>
  <c r="B621" i="2"/>
  <c r="O620" i="2"/>
  <c r="N620" i="2"/>
  <c r="M620" i="2"/>
  <c r="F620" i="2"/>
  <c r="B620" i="2"/>
  <c r="O619" i="2"/>
  <c r="N619" i="2"/>
  <c r="M619" i="2"/>
  <c r="F619" i="2"/>
  <c r="B619" i="2"/>
  <c r="O618" i="2"/>
  <c r="N618" i="2"/>
  <c r="M618" i="2"/>
  <c r="F618" i="2"/>
  <c r="B618" i="2"/>
  <c r="O617" i="2"/>
  <c r="N617" i="2"/>
  <c r="M617" i="2"/>
  <c r="F617" i="2"/>
  <c r="B617" i="2"/>
  <c r="O616" i="2"/>
  <c r="N616" i="2"/>
  <c r="M616" i="2"/>
  <c r="F616" i="2"/>
  <c r="B616" i="2"/>
  <c r="O615" i="2"/>
  <c r="N615" i="2"/>
  <c r="M615" i="2"/>
  <c r="F615" i="2"/>
  <c r="B615" i="2"/>
  <c r="O614" i="2"/>
  <c r="N614" i="2"/>
  <c r="M614" i="2"/>
  <c r="F614" i="2"/>
  <c r="B614" i="2"/>
  <c r="O613" i="2"/>
  <c r="N613" i="2"/>
  <c r="M613" i="2"/>
  <c r="F613" i="2"/>
  <c r="B613" i="2"/>
  <c r="O612" i="2"/>
  <c r="N612" i="2"/>
  <c r="M612" i="2"/>
  <c r="F612" i="2"/>
  <c r="B612" i="2"/>
  <c r="O611" i="2"/>
  <c r="N611" i="2"/>
  <c r="M611" i="2"/>
  <c r="F611" i="2"/>
  <c r="B611" i="2"/>
  <c r="O610" i="2"/>
  <c r="N610" i="2"/>
  <c r="M610" i="2"/>
  <c r="F610" i="2"/>
  <c r="B610" i="2"/>
  <c r="O609" i="2"/>
  <c r="N609" i="2"/>
  <c r="M609" i="2"/>
  <c r="F609" i="2"/>
  <c r="B609" i="2"/>
  <c r="O608" i="2"/>
  <c r="N608" i="2"/>
  <c r="M608" i="2"/>
  <c r="F608" i="2"/>
  <c r="B608" i="2"/>
  <c r="O607" i="2"/>
  <c r="N607" i="2"/>
  <c r="M607" i="2"/>
  <c r="F607" i="2"/>
  <c r="B607" i="2"/>
  <c r="O606" i="2"/>
  <c r="N606" i="2"/>
  <c r="M606" i="2"/>
  <c r="F606" i="2"/>
  <c r="B606" i="2"/>
  <c r="O605" i="2"/>
  <c r="N605" i="2"/>
  <c r="M605" i="2"/>
  <c r="F605" i="2"/>
  <c r="B605" i="2"/>
  <c r="O604" i="2"/>
  <c r="N604" i="2"/>
  <c r="M604" i="2"/>
  <c r="F604" i="2"/>
  <c r="B604" i="2"/>
  <c r="O603" i="2"/>
  <c r="N603" i="2"/>
  <c r="M603" i="2"/>
  <c r="F603" i="2"/>
  <c r="B603" i="2"/>
  <c r="O602" i="2"/>
  <c r="N602" i="2"/>
  <c r="M602" i="2"/>
  <c r="F602" i="2"/>
  <c r="B602" i="2"/>
  <c r="O601" i="2"/>
  <c r="N601" i="2"/>
  <c r="M601" i="2"/>
  <c r="F601" i="2"/>
  <c r="B601" i="2"/>
  <c r="O600" i="2"/>
  <c r="N600" i="2"/>
  <c r="M600" i="2"/>
  <c r="F600" i="2"/>
  <c r="B600" i="2"/>
  <c r="O599" i="2"/>
  <c r="N599" i="2"/>
  <c r="M599" i="2"/>
  <c r="F599" i="2"/>
  <c r="B599" i="2"/>
  <c r="O598" i="2"/>
  <c r="N598" i="2"/>
  <c r="M598" i="2"/>
  <c r="F598" i="2"/>
  <c r="B598" i="2"/>
  <c r="O597" i="2"/>
  <c r="N597" i="2"/>
  <c r="M597" i="2"/>
  <c r="F597" i="2"/>
  <c r="B597" i="2"/>
  <c r="O596" i="2"/>
  <c r="N596" i="2"/>
  <c r="M596" i="2"/>
  <c r="F596" i="2"/>
  <c r="B596" i="2"/>
  <c r="O595" i="2"/>
  <c r="N595" i="2"/>
  <c r="M595" i="2"/>
  <c r="F595" i="2"/>
  <c r="B595" i="2"/>
  <c r="O594" i="2"/>
  <c r="N594" i="2"/>
  <c r="M594" i="2"/>
  <c r="F594" i="2"/>
  <c r="B594" i="2"/>
  <c r="O593" i="2"/>
  <c r="N593" i="2"/>
  <c r="M593" i="2"/>
  <c r="F593" i="2"/>
  <c r="B593" i="2"/>
  <c r="O592" i="2"/>
  <c r="N592" i="2"/>
  <c r="M592" i="2"/>
  <c r="F592" i="2"/>
  <c r="B592" i="2"/>
  <c r="O591" i="2"/>
  <c r="N591" i="2"/>
  <c r="M591" i="2"/>
  <c r="F591" i="2"/>
  <c r="B591" i="2"/>
  <c r="O590" i="2"/>
  <c r="N590" i="2"/>
  <c r="M590" i="2"/>
  <c r="F590" i="2"/>
  <c r="B590" i="2"/>
  <c r="O589" i="2"/>
  <c r="N589" i="2"/>
  <c r="M589" i="2"/>
  <c r="F589" i="2"/>
  <c r="B589" i="2"/>
  <c r="O588" i="2"/>
  <c r="N588" i="2"/>
  <c r="M588" i="2"/>
  <c r="F588" i="2"/>
  <c r="B588" i="2"/>
  <c r="O587" i="2"/>
  <c r="N587" i="2"/>
  <c r="M587" i="2"/>
  <c r="F587" i="2"/>
  <c r="B587" i="2"/>
  <c r="O586" i="2"/>
  <c r="N586" i="2"/>
  <c r="M586" i="2"/>
  <c r="F586" i="2"/>
  <c r="B586" i="2"/>
  <c r="O585" i="2"/>
  <c r="N585" i="2"/>
  <c r="M585" i="2"/>
  <c r="F585" i="2"/>
  <c r="B585" i="2"/>
  <c r="O584" i="2"/>
  <c r="N584" i="2"/>
  <c r="M584" i="2"/>
  <c r="F584" i="2"/>
  <c r="B584" i="2"/>
  <c r="O583" i="2"/>
  <c r="N583" i="2"/>
  <c r="M583" i="2"/>
  <c r="F583" i="2"/>
  <c r="B583" i="2"/>
  <c r="O582" i="2"/>
  <c r="N582" i="2"/>
  <c r="M582" i="2"/>
  <c r="F582" i="2"/>
  <c r="B582" i="2"/>
  <c r="O581" i="2"/>
  <c r="N581" i="2"/>
  <c r="M581" i="2"/>
  <c r="F581" i="2"/>
  <c r="B581" i="2"/>
  <c r="O580" i="2"/>
  <c r="N580" i="2"/>
  <c r="M580" i="2"/>
  <c r="F580" i="2"/>
  <c r="B580" i="2"/>
  <c r="O579" i="2"/>
  <c r="N579" i="2"/>
  <c r="M579" i="2"/>
  <c r="F579" i="2"/>
  <c r="B579" i="2"/>
  <c r="O578" i="2"/>
  <c r="N578" i="2"/>
  <c r="M578" i="2"/>
  <c r="F578" i="2"/>
  <c r="B578" i="2"/>
  <c r="O577" i="2"/>
  <c r="N577" i="2"/>
  <c r="M577" i="2"/>
  <c r="F577" i="2"/>
  <c r="B577" i="2"/>
  <c r="O576" i="2"/>
  <c r="N576" i="2"/>
  <c r="M576" i="2"/>
  <c r="F576" i="2"/>
  <c r="B576" i="2"/>
  <c r="O575" i="2"/>
  <c r="N575" i="2"/>
  <c r="M575" i="2"/>
  <c r="F575" i="2"/>
  <c r="B575" i="2"/>
  <c r="O574" i="2"/>
  <c r="N574" i="2"/>
  <c r="M574" i="2"/>
  <c r="F574" i="2"/>
  <c r="B574" i="2"/>
  <c r="O573" i="2"/>
  <c r="N573" i="2"/>
  <c r="M573" i="2"/>
  <c r="F573" i="2"/>
  <c r="B573" i="2"/>
  <c r="O572" i="2"/>
  <c r="N572" i="2"/>
  <c r="M572" i="2"/>
  <c r="F572" i="2"/>
  <c r="B572" i="2"/>
  <c r="O571" i="2"/>
  <c r="N571" i="2"/>
  <c r="M571" i="2"/>
  <c r="F571" i="2"/>
  <c r="B571" i="2"/>
  <c r="O570" i="2"/>
  <c r="N570" i="2"/>
  <c r="M570" i="2"/>
  <c r="F570" i="2"/>
  <c r="B570" i="2"/>
  <c r="O569" i="2"/>
  <c r="N569" i="2"/>
  <c r="M569" i="2"/>
  <c r="F569" i="2"/>
  <c r="B569" i="2"/>
  <c r="O568" i="2"/>
  <c r="N568" i="2"/>
  <c r="M568" i="2"/>
  <c r="F568" i="2"/>
  <c r="B568" i="2"/>
  <c r="O567" i="2"/>
  <c r="N567" i="2"/>
  <c r="M567" i="2"/>
  <c r="F567" i="2"/>
  <c r="B567" i="2"/>
  <c r="O566" i="2"/>
  <c r="N566" i="2"/>
  <c r="M566" i="2"/>
  <c r="F566" i="2"/>
  <c r="B566" i="2"/>
  <c r="O565" i="2"/>
  <c r="N565" i="2"/>
  <c r="M565" i="2"/>
  <c r="F565" i="2"/>
  <c r="B565" i="2"/>
  <c r="O564" i="2"/>
  <c r="N564" i="2"/>
  <c r="M564" i="2"/>
  <c r="F564" i="2"/>
  <c r="B564" i="2"/>
  <c r="O563" i="2"/>
  <c r="N563" i="2"/>
  <c r="M563" i="2"/>
  <c r="F563" i="2"/>
  <c r="B563" i="2"/>
  <c r="O562" i="2"/>
  <c r="N562" i="2"/>
  <c r="M562" i="2"/>
  <c r="F562" i="2"/>
  <c r="B562" i="2"/>
  <c r="O561" i="2"/>
  <c r="N561" i="2"/>
  <c r="M561" i="2"/>
  <c r="F561" i="2"/>
  <c r="B561" i="2"/>
  <c r="O560" i="2"/>
  <c r="N560" i="2"/>
  <c r="M560" i="2"/>
  <c r="F560" i="2"/>
  <c r="B560" i="2"/>
  <c r="O559" i="2"/>
  <c r="N559" i="2"/>
  <c r="M559" i="2"/>
  <c r="F559" i="2"/>
  <c r="B559" i="2"/>
  <c r="O558" i="2"/>
  <c r="N558" i="2"/>
  <c r="M558" i="2"/>
  <c r="F558" i="2"/>
  <c r="B558" i="2"/>
  <c r="O557" i="2"/>
  <c r="N557" i="2"/>
  <c r="M557" i="2"/>
  <c r="F557" i="2"/>
  <c r="B557" i="2"/>
  <c r="O556" i="2"/>
  <c r="N556" i="2"/>
  <c r="M556" i="2"/>
  <c r="F556" i="2"/>
  <c r="B556" i="2"/>
  <c r="O555" i="2"/>
  <c r="N555" i="2"/>
  <c r="M555" i="2"/>
  <c r="F555" i="2"/>
  <c r="B555" i="2"/>
  <c r="O554" i="2"/>
  <c r="N554" i="2"/>
  <c r="M554" i="2"/>
  <c r="F554" i="2"/>
  <c r="B554" i="2"/>
  <c r="O553" i="2"/>
  <c r="N553" i="2"/>
  <c r="M553" i="2"/>
  <c r="F553" i="2"/>
  <c r="B553" i="2"/>
  <c r="O552" i="2"/>
  <c r="N552" i="2"/>
  <c r="M552" i="2"/>
  <c r="F552" i="2"/>
  <c r="B552" i="2"/>
  <c r="O551" i="2"/>
  <c r="N551" i="2"/>
  <c r="M551" i="2"/>
  <c r="F551" i="2"/>
  <c r="B551" i="2"/>
  <c r="O550" i="2"/>
  <c r="N550" i="2"/>
  <c r="M550" i="2"/>
  <c r="F550" i="2"/>
  <c r="B550" i="2"/>
  <c r="O549" i="2"/>
  <c r="N549" i="2"/>
  <c r="M549" i="2"/>
  <c r="F549" i="2"/>
  <c r="B549" i="2"/>
  <c r="O548" i="2"/>
  <c r="N548" i="2"/>
  <c r="M548" i="2"/>
  <c r="F548" i="2"/>
  <c r="B548" i="2"/>
  <c r="O547" i="2"/>
  <c r="N547" i="2"/>
  <c r="M547" i="2"/>
  <c r="F547" i="2"/>
  <c r="B547" i="2"/>
  <c r="O546" i="2"/>
  <c r="N546" i="2"/>
  <c r="M546" i="2"/>
  <c r="F546" i="2"/>
  <c r="B546" i="2"/>
  <c r="O545" i="2"/>
  <c r="N545" i="2"/>
  <c r="M545" i="2"/>
  <c r="F545" i="2"/>
  <c r="B545" i="2"/>
  <c r="O544" i="2"/>
  <c r="N544" i="2"/>
  <c r="M544" i="2"/>
  <c r="F544" i="2"/>
  <c r="B544" i="2"/>
  <c r="O543" i="2"/>
  <c r="N543" i="2"/>
  <c r="M543" i="2"/>
  <c r="F543" i="2"/>
  <c r="B543" i="2"/>
  <c r="O542" i="2"/>
  <c r="N542" i="2"/>
  <c r="M542" i="2"/>
  <c r="F542" i="2"/>
  <c r="B542" i="2"/>
  <c r="O541" i="2"/>
  <c r="N541" i="2"/>
  <c r="M541" i="2"/>
  <c r="F541" i="2"/>
  <c r="B541" i="2"/>
  <c r="O540" i="2"/>
  <c r="N540" i="2"/>
  <c r="M540" i="2"/>
  <c r="F540" i="2"/>
  <c r="B540" i="2"/>
  <c r="O539" i="2"/>
  <c r="N539" i="2"/>
  <c r="M539" i="2"/>
  <c r="F539" i="2"/>
  <c r="B539" i="2"/>
  <c r="O538" i="2"/>
  <c r="N538" i="2"/>
  <c r="M538" i="2"/>
  <c r="F538" i="2"/>
  <c r="B538" i="2"/>
  <c r="O537" i="2"/>
  <c r="N537" i="2"/>
  <c r="M537" i="2"/>
  <c r="F537" i="2"/>
  <c r="B537" i="2"/>
  <c r="O536" i="2"/>
  <c r="N536" i="2"/>
  <c r="M536" i="2"/>
  <c r="F536" i="2"/>
  <c r="B536" i="2"/>
  <c r="O535" i="2"/>
  <c r="N535" i="2"/>
  <c r="M535" i="2"/>
  <c r="F535" i="2"/>
  <c r="B535" i="2"/>
  <c r="O534" i="2"/>
  <c r="N534" i="2"/>
  <c r="M534" i="2"/>
  <c r="F534" i="2"/>
  <c r="B534" i="2"/>
  <c r="O533" i="2"/>
  <c r="N533" i="2"/>
  <c r="M533" i="2"/>
  <c r="F533" i="2"/>
  <c r="B533" i="2"/>
  <c r="O532" i="2"/>
  <c r="N532" i="2"/>
  <c r="M532" i="2"/>
  <c r="F532" i="2"/>
  <c r="B532" i="2"/>
  <c r="O531" i="2"/>
  <c r="N531" i="2"/>
  <c r="M531" i="2"/>
  <c r="F531" i="2"/>
  <c r="B531" i="2"/>
  <c r="O530" i="2"/>
  <c r="N530" i="2"/>
  <c r="M530" i="2"/>
  <c r="F530" i="2"/>
  <c r="B530" i="2"/>
  <c r="O529" i="2"/>
  <c r="N529" i="2"/>
  <c r="M529" i="2"/>
  <c r="F529" i="2"/>
  <c r="B529" i="2"/>
  <c r="O528" i="2"/>
  <c r="N528" i="2"/>
  <c r="M528" i="2"/>
  <c r="F528" i="2"/>
  <c r="B528" i="2"/>
  <c r="O527" i="2"/>
  <c r="N527" i="2"/>
  <c r="M527" i="2"/>
  <c r="F527" i="2"/>
  <c r="B527" i="2"/>
  <c r="O526" i="2"/>
  <c r="N526" i="2"/>
  <c r="M526" i="2"/>
  <c r="F526" i="2"/>
  <c r="B526" i="2"/>
  <c r="O525" i="2"/>
  <c r="N525" i="2"/>
  <c r="M525" i="2"/>
  <c r="F525" i="2"/>
  <c r="B525" i="2"/>
  <c r="O524" i="2"/>
  <c r="N524" i="2"/>
  <c r="M524" i="2"/>
  <c r="F524" i="2"/>
  <c r="B524" i="2"/>
  <c r="O523" i="2"/>
  <c r="N523" i="2"/>
  <c r="M523" i="2"/>
  <c r="F523" i="2"/>
  <c r="B523" i="2"/>
  <c r="O522" i="2"/>
  <c r="N522" i="2"/>
  <c r="M522" i="2"/>
  <c r="F522" i="2"/>
  <c r="B522" i="2"/>
  <c r="O521" i="2"/>
  <c r="N521" i="2"/>
  <c r="M521" i="2"/>
  <c r="F521" i="2"/>
  <c r="B521" i="2"/>
  <c r="O520" i="2"/>
  <c r="N520" i="2"/>
  <c r="M520" i="2"/>
  <c r="F520" i="2"/>
  <c r="B520" i="2"/>
  <c r="O519" i="2"/>
  <c r="N519" i="2"/>
  <c r="M519" i="2"/>
  <c r="F519" i="2"/>
  <c r="B519" i="2"/>
  <c r="O518" i="2"/>
  <c r="N518" i="2"/>
  <c r="M518" i="2"/>
  <c r="F518" i="2"/>
  <c r="B518" i="2"/>
  <c r="O517" i="2"/>
  <c r="N517" i="2"/>
  <c r="M517" i="2"/>
  <c r="F517" i="2"/>
  <c r="B517" i="2"/>
  <c r="O516" i="2"/>
  <c r="N516" i="2"/>
  <c r="M516" i="2"/>
  <c r="F516" i="2"/>
  <c r="B516" i="2"/>
  <c r="O515" i="2"/>
  <c r="N515" i="2"/>
  <c r="M515" i="2"/>
  <c r="F515" i="2"/>
  <c r="B515" i="2"/>
  <c r="O514" i="2"/>
  <c r="N514" i="2"/>
  <c r="M514" i="2"/>
  <c r="F514" i="2"/>
  <c r="B514" i="2"/>
  <c r="O513" i="2"/>
  <c r="N513" i="2"/>
  <c r="M513" i="2"/>
  <c r="F513" i="2"/>
  <c r="B513" i="2"/>
  <c r="O512" i="2"/>
  <c r="N512" i="2"/>
  <c r="M512" i="2"/>
  <c r="F512" i="2"/>
  <c r="B512" i="2"/>
  <c r="O511" i="2"/>
  <c r="N511" i="2"/>
  <c r="M511" i="2"/>
  <c r="F511" i="2"/>
  <c r="B511" i="2"/>
  <c r="O510" i="2"/>
  <c r="N510" i="2"/>
  <c r="M510" i="2"/>
  <c r="F510" i="2"/>
  <c r="B510" i="2"/>
  <c r="O509" i="2"/>
  <c r="N509" i="2"/>
  <c r="M509" i="2"/>
  <c r="F509" i="2"/>
  <c r="B509" i="2"/>
  <c r="O508" i="2"/>
  <c r="N508" i="2"/>
  <c r="M508" i="2"/>
  <c r="F508" i="2"/>
  <c r="B508" i="2"/>
  <c r="O507" i="2"/>
  <c r="N507" i="2"/>
  <c r="M507" i="2"/>
  <c r="F507" i="2"/>
  <c r="B507" i="2"/>
  <c r="O506" i="2"/>
  <c r="N506" i="2"/>
  <c r="M506" i="2"/>
  <c r="F506" i="2"/>
  <c r="B506" i="2"/>
  <c r="O505" i="2"/>
  <c r="N505" i="2"/>
  <c r="M505" i="2"/>
  <c r="F505" i="2"/>
  <c r="B505" i="2"/>
  <c r="O504" i="2"/>
  <c r="N504" i="2"/>
  <c r="M504" i="2"/>
  <c r="F504" i="2"/>
  <c r="B504" i="2"/>
  <c r="O503" i="2"/>
  <c r="N503" i="2"/>
  <c r="M503" i="2"/>
  <c r="F503" i="2"/>
  <c r="B503" i="2"/>
  <c r="O502" i="2"/>
  <c r="N502" i="2"/>
  <c r="M502" i="2"/>
  <c r="F502" i="2"/>
  <c r="B502" i="2"/>
  <c r="O501" i="2"/>
  <c r="N501" i="2"/>
  <c r="M501" i="2"/>
  <c r="F501" i="2"/>
  <c r="B501" i="2"/>
  <c r="O500" i="2"/>
  <c r="N500" i="2"/>
  <c r="M500" i="2"/>
  <c r="F500" i="2"/>
  <c r="B500" i="2"/>
  <c r="O499" i="2"/>
  <c r="N499" i="2"/>
  <c r="M499" i="2"/>
  <c r="F499" i="2"/>
  <c r="B499" i="2"/>
  <c r="O498" i="2"/>
  <c r="N498" i="2"/>
  <c r="M498" i="2"/>
  <c r="F498" i="2"/>
  <c r="B498" i="2"/>
  <c r="O497" i="2"/>
  <c r="N497" i="2"/>
  <c r="M497" i="2"/>
  <c r="F497" i="2"/>
  <c r="B497" i="2"/>
  <c r="O496" i="2"/>
  <c r="N496" i="2"/>
  <c r="M496" i="2"/>
  <c r="F496" i="2"/>
  <c r="B496" i="2"/>
  <c r="O495" i="2"/>
  <c r="N495" i="2"/>
  <c r="M495" i="2"/>
  <c r="F495" i="2"/>
  <c r="B495" i="2"/>
  <c r="O494" i="2"/>
  <c r="N494" i="2"/>
  <c r="M494" i="2"/>
  <c r="F494" i="2"/>
  <c r="B494" i="2"/>
  <c r="O493" i="2"/>
  <c r="N493" i="2"/>
  <c r="M493" i="2"/>
  <c r="F493" i="2"/>
  <c r="B493" i="2"/>
  <c r="O492" i="2"/>
  <c r="N492" i="2"/>
  <c r="M492" i="2"/>
  <c r="F492" i="2"/>
  <c r="B492" i="2"/>
  <c r="O491" i="2"/>
  <c r="N491" i="2"/>
  <c r="M491" i="2"/>
  <c r="F491" i="2"/>
  <c r="B491" i="2"/>
  <c r="O490" i="2"/>
  <c r="N490" i="2"/>
  <c r="M490" i="2"/>
  <c r="F490" i="2"/>
  <c r="B490" i="2"/>
  <c r="O489" i="2"/>
  <c r="N489" i="2"/>
  <c r="M489" i="2"/>
  <c r="F489" i="2"/>
  <c r="B489" i="2"/>
  <c r="O488" i="2"/>
  <c r="N488" i="2"/>
  <c r="M488" i="2"/>
  <c r="F488" i="2"/>
  <c r="B488" i="2"/>
  <c r="O487" i="2"/>
  <c r="N487" i="2"/>
  <c r="M487" i="2"/>
  <c r="F487" i="2"/>
  <c r="B487" i="2"/>
  <c r="O486" i="2"/>
  <c r="N486" i="2"/>
  <c r="M486" i="2"/>
  <c r="F486" i="2"/>
  <c r="B486" i="2"/>
  <c r="O485" i="2"/>
  <c r="N485" i="2"/>
  <c r="M485" i="2"/>
  <c r="F485" i="2"/>
  <c r="B485" i="2"/>
  <c r="O484" i="2"/>
  <c r="N484" i="2"/>
  <c r="M484" i="2"/>
  <c r="F484" i="2"/>
  <c r="B484" i="2"/>
  <c r="O483" i="2"/>
  <c r="N483" i="2"/>
  <c r="M483" i="2"/>
  <c r="F483" i="2"/>
  <c r="B483" i="2"/>
  <c r="O482" i="2"/>
  <c r="N482" i="2"/>
  <c r="M482" i="2"/>
  <c r="F482" i="2"/>
  <c r="B482" i="2"/>
  <c r="O481" i="2"/>
  <c r="N481" i="2"/>
  <c r="M481" i="2"/>
  <c r="F481" i="2"/>
  <c r="B481" i="2"/>
  <c r="O480" i="2"/>
  <c r="N480" i="2"/>
  <c r="M480" i="2"/>
  <c r="F480" i="2"/>
  <c r="B480" i="2"/>
  <c r="O479" i="2"/>
  <c r="N479" i="2"/>
  <c r="M479" i="2"/>
  <c r="F479" i="2"/>
  <c r="B479" i="2"/>
  <c r="O478" i="2"/>
  <c r="N478" i="2"/>
  <c r="M478" i="2"/>
  <c r="F478" i="2"/>
  <c r="B478" i="2"/>
  <c r="O477" i="2"/>
  <c r="N477" i="2"/>
  <c r="M477" i="2"/>
  <c r="F477" i="2"/>
  <c r="B477" i="2"/>
  <c r="O476" i="2"/>
  <c r="N476" i="2"/>
  <c r="M476" i="2"/>
  <c r="F476" i="2"/>
  <c r="B476" i="2"/>
  <c r="O475" i="2"/>
  <c r="N475" i="2"/>
  <c r="M475" i="2"/>
  <c r="F475" i="2"/>
  <c r="B475" i="2"/>
  <c r="O474" i="2"/>
  <c r="N474" i="2"/>
  <c r="M474" i="2"/>
  <c r="F474" i="2"/>
  <c r="B474" i="2"/>
  <c r="O473" i="2"/>
  <c r="N473" i="2"/>
  <c r="M473" i="2"/>
  <c r="F473" i="2"/>
  <c r="B473" i="2"/>
  <c r="O472" i="2"/>
  <c r="N472" i="2"/>
  <c r="M472" i="2"/>
  <c r="F472" i="2"/>
  <c r="B472" i="2"/>
  <c r="O471" i="2"/>
  <c r="N471" i="2"/>
  <c r="M471" i="2"/>
  <c r="F471" i="2"/>
  <c r="B471" i="2"/>
  <c r="O470" i="2"/>
  <c r="N470" i="2"/>
  <c r="M470" i="2"/>
  <c r="F470" i="2"/>
  <c r="B470" i="2"/>
  <c r="O469" i="2"/>
  <c r="N469" i="2"/>
  <c r="M469" i="2"/>
  <c r="F469" i="2"/>
  <c r="B469" i="2"/>
  <c r="O468" i="2"/>
  <c r="N468" i="2"/>
  <c r="M468" i="2"/>
  <c r="F468" i="2"/>
  <c r="B468" i="2"/>
  <c r="O467" i="2"/>
  <c r="N467" i="2"/>
  <c r="M467" i="2"/>
  <c r="F467" i="2"/>
  <c r="B467" i="2"/>
  <c r="O466" i="2"/>
  <c r="N466" i="2"/>
  <c r="M466" i="2"/>
  <c r="F466" i="2"/>
  <c r="B466" i="2"/>
  <c r="O465" i="2"/>
  <c r="N465" i="2"/>
  <c r="M465" i="2"/>
  <c r="F465" i="2"/>
  <c r="B465" i="2"/>
  <c r="O464" i="2"/>
  <c r="N464" i="2"/>
  <c r="M464" i="2"/>
  <c r="F464" i="2"/>
  <c r="B464" i="2"/>
  <c r="O463" i="2"/>
  <c r="N463" i="2"/>
  <c r="M463" i="2"/>
  <c r="F463" i="2"/>
  <c r="B463" i="2"/>
  <c r="O462" i="2"/>
  <c r="N462" i="2"/>
  <c r="M462" i="2"/>
  <c r="F462" i="2"/>
  <c r="B462" i="2"/>
  <c r="O461" i="2"/>
  <c r="N461" i="2"/>
  <c r="M461" i="2"/>
  <c r="F461" i="2"/>
  <c r="B461" i="2"/>
  <c r="O460" i="2"/>
  <c r="N460" i="2"/>
  <c r="M460" i="2"/>
  <c r="F460" i="2"/>
  <c r="B460" i="2"/>
  <c r="O459" i="2"/>
  <c r="N459" i="2"/>
  <c r="M459" i="2"/>
  <c r="F459" i="2"/>
  <c r="B459" i="2"/>
  <c r="O458" i="2"/>
  <c r="N458" i="2"/>
  <c r="M458" i="2"/>
  <c r="F458" i="2"/>
  <c r="B458" i="2"/>
  <c r="O457" i="2"/>
  <c r="N457" i="2"/>
  <c r="M457" i="2"/>
  <c r="F457" i="2"/>
  <c r="B457" i="2"/>
  <c r="O456" i="2"/>
  <c r="N456" i="2"/>
  <c r="M456" i="2"/>
  <c r="F456" i="2"/>
  <c r="B456" i="2"/>
  <c r="O455" i="2"/>
  <c r="N455" i="2"/>
  <c r="M455" i="2"/>
  <c r="F455" i="2"/>
  <c r="B455" i="2"/>
  <c r="O454" i="2"/>
  <c r="N454" i="2"/>
  <c r="M454" i="2"/>
  <c r="F454" i="2"/>
  <c r="B454" i="2"/>
  <c r="O453" i="2"/>
  <c r="N453" i="2"/>
  <c r="M453" i="2"/>
  <c r="F453" i="2"/>
  <c r="B453" i="2"/>
  <c r="O452" i="2"/>
  <c r="N452" i="2"/>
  <c r="M452" i="2"/>
  <c r="F452" i="2"/>
  <c r="B452" i="2"/>
  <c r="O451" i="2"/>
  <c r="N451" i="2"/>
  <c r="M451" i="2"/>
  <c r="F451" i="2"/>
  <c r="B451" i="2"/>
  <c r="O450" i="2"/>
  <c r="N450" i="2"/>
  <c r="M450" i="2"/>
  <c r="F450" i="2"/>
  <c r="B450" i="2"/>
  <c r="O449" i="2"/>
  <c r="N449" i="2"/>
  <c r="M449" i="2"/>
  <c r="F449" i="2"/>
  <c r="B449" i="2"/>
  <c r="O448" i="2"/>
  <c r="N448" i="2"/>
  <c r="M448" i="2"/>
  <c r="F448" i="2"/>
  <c r="B448" i="2"/>
  <c r="O447" i="2"/>
  <c r="N447" i="2"/>
  <c r="M447" i="2"/>
  <c r="F447" i="2"/>
  <c r="B447" i="2"/>
  <c r="O446" i="2"/>
  <c r="N446" i="2"/>
  <c r="M446" i="2"/>
  <c r="F446" i="2"/>
  <c r="B446" i="2"/>
  <c r="O445" i="2"/>
  <c r="N445" i="2"/>
  <c r="M445" i="2"/>
  <c r="F445" i="2"/>
  <c r="B445" i="2"/>
  <c r="O444" i="2"/>
  <c r="N444" i="2"/>
  <c r="M444" i="2"/>
  <c r="F444" i="2"/>
  <c r="B444" i="2"/>
  <c r="O443" i="2"/>
  <c r="N443" i="2"/>
  <c r="M443" i="2"/>
  <c r="F443" i="2"/>
  <c r="B443" i="2"/>
  <c r="O442" i="2"/>
  <c r="N442" i="2"/>
  <c r="M442" i="2"/>
  <c r="F442" i="2"/>
  <c r="B442" i="2"/>
  <c r="O441" i="2"/>
  <c r="N441" i="2"/>
  <c r="M441" i="2"/>
  <c r="F441" i="2"/>
  <c r="B441" i="2"/>
  <c r="O440" i="2"/>
  <c r="N440" i="2"/>
  <c r="M440" i="2"/>
  <c r="F440" i="2"/>
  <c r="B440" i="2"/>
  <c r="O439" i="2"/>
  <c r="N439" i="2"/>
  <c r="M439" i="2"/>
  <c r="F439" i="2"/>
  <c r="B439" i="2"/>
  <c r="O438" i="2"/>
  <c r="N438" i="2"/>
  <c r="M438" i="2"/>
  <c r="F438" i="2"/>
  <c r="B438" i="2"/>
  <c r="O437" i="2"/>
  <c r="N437" i="2"/>
  <c r="M437" i="2"/>
  <c r="F437" i="2"/>
  <c r="B437" i="2"/>
  <c r="O436" i="2"/>
  <c r="N436" i="2"/>
  <c r="M436" i="2"/>
  <c r="F436" i="2"/>
  <c r="B436" i="2"/>
  <c r="O435" i="2"/>
  <c r="N435" i="2"/>
  <c r="M435" i="2"/>
  <c r="F435" i="2"/>
  <c r="B435" i="2"/>
  <c r="O434" i="2"/>
  <c r="N434" i="2"/>
  <c r="M434" i="2"/>
  <c r="F434" i="2"/>
  <c r="B434" i="2"/>
  <c r="O433" i="2"/>
  <c r="N433" i="2"/>
  <c r="M433" i="2"/>
  <c r="F433" i="2"/>
  <c r="B433" i="2"/>
  <c r="O432" i="2"/>
  <c r="N432" i="2"/>
  <c r="M432" i="2"/>
  <c r="F432" i="2"/>
  <c r="B432" i="2"/>
  <c r="O431" i="2"/>
  <c r="N431" i="2"/>
  <c r="M431" i="2"/>
  <c r="F431" i="2"/>
  <c r="B431" i="2"/>
  <c r="O430" i="2"/>
  <c r="N430" i="2"/>
  <c r="M430" i="2"/>
  <c r="F430" i="2"/>
  <c r="B430" i="2"/>
  <c r="O429" i="2"/>
  <c r="N429" i="2"/>
  <c r="M429" i="2"/>
  <c r="F429" i="2"/>
  <c r="B429" i="2"/>
  <c r="O428" i="2"/>
  <c r="N428" i="2"/>
  <c r="M428" i="2"/>
  <c r="F428" i="2"/>
  <c r="B428" i="2"/>
  <c r="O427" i="2"/>
  <c r="N427" i="2"/>
  <c r="M427" i="2"/>
  <c r="F427" i="2"/>
  <c r="B427" i="2"/>
  <c r="O426" i="2"/>
  <c r="N426" i="2"/>
  <c r="M426" i="2"/>
  <c r="F426" i="2"/>
  <c r="B426" i="2"/>
  <c r="O425" i="2"/>
  <c r="N425" i="2"/>
  <c r="M425" i="2"/>
  <c r="F425" i="2"/>
  <c r="B425" i="2"/>
  <c r="O424" i="2"/>
  <c r="N424" i="2"/>
  <c r="M424" i="2"/>
  <c r="F424" i="2"/>
  <c r="B424" i="2"/>
  <c r="O423" i="2"/>
  <c r="N423" i="2"/>
  <c r="M423" i="2"/>
  <c r="F423" i="2"/>
  <c r="B423" i="2"/>
  <c r="O422" i="2"/>
  <c r="N422" i="2"/>
  <c r="M422" i="2"/>
  <c r="F422" i="2"/>
  <c r="B422" i="2"/>
  <c r="O421" i="2"/>
  <c r="N421" i="2"/>
  <c r="M421" i="2"/>
  <c r="F421" i="2"/>
  <c r="B421" i="2"/>
  <c r="O420" i="2"/>
  <c r="N420" i="2"/>
  <c r="M420" i="2"/>
  <c r="F420" i="2"/>
  <c r="B420" i="2"/>
  <c r="O419" i="2"/>
  <c r="N419" i="2"/>
  <c r="M419" i="2"/>
  <c r="F419" i="2"/>
  <c r="B419" i="2"/>
  <c r="O418" i="2"/>
  <c r="N418" i="2"/>
  <c r="M418" i="2"/>
  <c r="F418" i="2"/>
  <c r="B418" i="2"/>
  <c r="O417" i="2"/>
  <c r="N417" i="2"/>
  <c r="M417" i="2"/>
  <c r="F417" i="2"/>
  <c r="B417" i="2"/>
  <c r="O416" i="2"/>
  <c r="N416" i="2"/>
  <c r="M416" i="2"/>
  <c r="F416" i="2"/>
  <c r="B416" i="2"/>
  <c r="O415" i="2"/>
  <c r="N415" i="2"/>
  <c r="M415" i="2"/>
  <c r="F415" i="2"/>
  <c r="B415" i="2"/>
  <c r="O414" i="2"/>
  <c r="N414" i="2"/>
  <c r="M414" i="2"/>
  <c r="F414" i="2"/>
  <c r="B414" i="2"/>
  <c r="O413" i="2"/>
  <c r="N413" i="2"/>
  <c r="M413" i="2"/>
  <c r="F413" i="2"/>
  <c r="B413" i="2"/>
  <c r="O412" i="2"/>
  <c r="N412" i="2"/>
  <c r="M412" i="2"/>
  <c r="F412" i="2"/>
  <c r="B412" i="2"/>
  <c r="O411" i="2"/>
  <c r="N411" i="2"/>
  <c r="M411" i="2"/>
  <c r="F411" i="2"/>
  <c r="B411" i="2"/>
  <c r="O410" i="2"/>
  <c r="N410" i="2"/>
  <c r="M410" i="2"/>
  <c r="F410" i="2"/>
  <c r="B410" i="2"/>
  <c r="O409" i="2"/>
  <c r="N409" i="2"/>
  <c r="M409" i="2"/>
  <c r="F409" i="2"/>
  <c r="B409" i="2"/>
  <c r="O408" i="2"/>
  <c r="N408" i="2"/>
  <c r="M408" i="2"/>
  <c r="F408" i="2"/>
  <c r="B408" i="2"/>
  <c r="O407" i="2"/>
  <c r="N407" i="2"/>
  <c r="M407" i="2"/>
  <c r="F407" i="2"/>
  <c r="B407" i="2"/>
  <c r="O406" i="2"/>
  <c r="N406" i="2"/>
  <c r="M406" i="2"/>
  <c r="F406" i="2"/>
  <c r="B406" i="2"/>
  <c r="O405" i="2"/>
  <c r="N405" i="2"/>
  <c r="M405" i="2"/>
  <c r="F405" i="2"/>
  <c r="B405" i="2"/>
  <c r="O404" i="2"/>
  <c r="N404" i="2"/>
  <c r="M404" i="2"/>
  <c r="F404" i="2"/>
  <c r="B404" i="2"/>
  <c r="O403" i="2"/>
  <c r="N403" i="2"/>
  <c r="M403" i="2"/>
  <c r="F403" i="2"/>
  <c r="B403" i="2"/>
  <c r="O402" i="2"/>
  <c r="N402" i="2"/>
  <c r="M402" i="2"/>
  <c r="F402" i="2"/>
  <c r="B402" i="2"/>
  <c r="O401" i="2"/>
  <c r="N401" i="2"/>
  <c r="M401" i="2"/>
  <c r="F401" i="2"/>
  <c r="B401" i="2"/>
  <c r="O400" i="2"/>
  <c r="N400" i="2"/>
  <c r="M400" i="2"/>
  <c r="F400" i="2"/>
  <c r="B400" i="2"/>
  <c r="O399" i="2"/>
  <c r="N399" i="2"/>
  <c r="M399" i="2"/>
  <c r="F399" i="2"/>
  <c r="B399" i="2"/>
  <c r="O398" i="2"/>
  <c r="N398" i="2"/>
  <c r="M398" i="2"/>
  <c r="F398" i="2"/>
  <c r="B398" i="2"/>
  <c r="O397" i="2"/>
  <c r="N397" i="2"/>
  <c r="M397" i="2"/>
  <c r="F397" i="2"/>
  <c r="B397" i="2"/>
  <c r="O396" i="2"/>
  <c r="N396" i="2"/>
  <c r="M396" i="2"/>
  <c r="F396" i="2"/>
  <c r="B396" i="2"/>
  <c r="O395" i="2"/>
  <c r="N395" i="2"/>
  <c r="M395" i="2"/>
  <c r="F395" i="2"/>
  <c r="B395" i="2"/>
  <c r="O394" i="2"/>
  <c r="N394" i="2"/>
  <c r="M394" i="2"/>
  <c r="F394" i="2"/>
  <c r="B394" i="2"/>
  <c r="O393" i="2"/>
  <c r="N393" i="2"/>
  <c r="M393" i="2"/>
  <c r="F393" i="2"/>
  <c r="B393" i="2"/>
  <c r="O392" i="2"/>
  <c r="N392" i="2"/>
  <c r="M392" i="2"/>
  <c r="F392" i="2"/>
  <c r="B392" i="2"/>
  <c r="O391" i="2"/>
  <c r="N391" i="2"/>
  <c r="M391" i="2"/>
  <c r="F391" i="2"/>
  <c r="B391" i="2"/>
  <c r="O390" i="2"/>
  <c r="N390" i="2"/>
  <c r="M390" i="2"/>
  <c r="F390" i="2"/>
  <c r="B390" i="2"/>
  <c r="O389" i="2"/>
  <c r="N389" i="2"/>
  <c r="M389" i="2"/>
  <c r="F389" i="2"/>
  <c r="B389" i="2"/>
  <c r="O388" i="2"/>
  <c r="N388" i="2"/>
  <c r="M388" i="2"/>
  <c r="F388" i="2"/>
  <c r="B388" i="2"/>
  <c r="O387" i="2"/>
  <c r="N387" i="2"/>
  <c r="M387" i="2"/>
  <c r="F387" i="2"/>
  <c r="B387" i="2"/>
  <c r="O386" i="2"/>
  <c r="N386" i="2"/>
  <c r="M386" i="2"/>
  <c r="F386" i="2"/>
  <c r="B386" i="2"/>
  <c r="O385" i="2"/>
  <c r="N385" i="2"/>
  <c r="M385" i="2"/>
  <c r="F385" i="2"/>
  <c r="B385" i="2"/>
  <c r="O384" i="2"/>
  <c r="N384" i="2"/>
  <c r="M384" i="2"/>
  <c r="F384" i="2"/>
  <c r="B384" i="2"/>
  <c r="N383" i="2"/>
  <c r="O383" i="2" s="1"/>
  <c r="M383" i="2"/>
  <c r="F383" i="2"/>
  <c r="B383" i="2"/>
  <c r="N382" i="2"/>
  <c r="O382" i="2" s="1"/>
  <c r="M382" i="2"/>
  <c r="F382" i="2"/>
  <c r="B382" i="2"/>
  <c r="N381" i="2"/>
  <c r="O381" i="2" s="1"/>
  <c r="M381" i="2"/>
  <c r="F381" i="2"/>
  <c r="B381" i="2"/>
  <c r="N380" i="2"/>
  <c r="O380" i="2" s="1"/>
  <c r="M380" i="2"/>
  <c r="F380" i="2"/>
  <c r="B380" i="2"/>
  <c r="O379" i="2"/>
  <c r="N379" i="2"/>
  <c r="M379" i="2"/>
  <c r="F379" i="2"/>
  <c r="B379" i="2"/>
  <c r="N378" i="2"/>
  <c r="O378" i="2" s="1"/>
  <c r="M378" i="2"/>
  <c r="F378" i="2"/>
  <c r="B378" i="2"/>
  <c r="O377" i="2"/>
  <c r="N377" i="2"/>
  <c r="M377" i="2"/>
  <c r="F377" i="2"/>
  <c r="B377" i="2"/>
  <c r="O376" i="2"/>
  <c r="N376" i="2"/>
  <c r="M376" i="2"/>
  <c r="F376" i="2"/>
  <c r="B376" i="2"/>
  <c r="N375" i="2"/>
  <c r="O375" i="2" s="1"/>
  <c r="M375" i="2"/>
  <c r="F375" i="2"/>
  <c r="B375" i="2"/>
  <c r="N374" i="2"/>
  <c r="O374" i="2" s="1"/>
  <c r="M374" i="2"/>
  <c r="F374" i="2"/>
  <c r="B374" i="2"/>
  <c r="O373" i="2"/>
  <c r="N373" i="2"/>
  <c r="M373" i="2"/>
  <c r="F373" i="2"/>
  <c r="B373" i="2"/>
  <c r="N372" i="2"/>
  <c r="O372" i="2" s="1"/>
  <c r="M372" i="2"/>
  <c r="F372" i="2"/>
  <c r="B372" i="2"/>
  <c r="N371" i="2"/>
  <c r="O371" i="2" s="1"/>
  <c r="M371" i="2"/>
  <c r="F371" i="2"/>
  <c r="B371" i="2"/>
  <c r="O370" i="2"/>
  <c r="N370" i="2"/>
  <c r="M370" i="2"/>
  <c r="F370" i="2"/>
  <c r="B370" i="2"/>
  <c r="N369" i="2"/>
  <c r="O369" i="2" s="1"/>
  <c r="M369" i="2"/>
  <c r="F369" i="2"/>
  <c r="B369" i="2"/>
  <c r="O368" i="2"/>
  <c r="N368" i="2"/>
  <c r="M368" i="2"/>
  <c r="F368" i="2"/>
  <c r="B368" i="2"/>
  <c r="N367" i="2"/>
  <c r="O367" i="2" s="1"/>
  <c r="M367" i="2"/>
  <c r="F367" i="2"/>
  <c r="B367" i="2"/>
  <c r="N366" i="2"/>
  <c r="O366" i="2" s="1"/>
  <c r="M366" i="2"/>
  <c r="F366" i="2"/>
  <c r="B366" i="2"/>
  <c r="O365" i="2"/>
  <c r="N365" i="2"/>
  <c r="M365" i="2"/>
  <c r="F365" i="2"/>
  <c r="B365" i="2"/>
  <c r="O364" i="2"/>
  <c r="N364" i="2"/>
  <c r="M364" i="2"/>
  <c r="F364" i="2"/>
  <c r="B364" i="2"/>
  <c r="N363" i="2"/>
  <c r="O363" i="2" s="1"/>
  <c r="M363" i="2"/>
  <c r="F363" i="2"/>
  <c r="B363" i="2"/>
  <c r="N362" i="2"/>
  <c r="O362" i="2" s="1"/>
  <c r="M362" i="2"/>
  <c r="F362" i="2"/>
  <c r="B362" i="2"/>
  <c r="N361" i="2"/>
  <c r="O361" i="2" s="1"/>
  <c r="M361" i="2"/>
  <c r="F361" i="2"/>
  <c r="B361" i="2"/>
  <c r="N360" i="2"/>
  <c r="O360" i="2" s="1"/>
  <c r="M360" i="2"/>
  <c r="F360" i="2"/>
  <c r="B360" i="2"/>
  <c r="O359" i="2"/>
  <c r="N359" i="2"/>
  <c r="M359" i="2"/>
  <c r="F359" i="2"/>
  <c r="B359" i="2"/>
  <c r="N358" i="2"/>
  <c r="O358" i="2" s="1"/>
  <c r="M358" i="2"/>
  <c r="F358" i="2"/>
  <c r="B358" i="2"/>
  <c r="N357" i="2"/>
  <c r="O357" i="2" s="1"/>
  <c r="M357" i="2"/>
  <c r="F357" i="2"/>
  <c r="B357" i="2"/>
  <c r="N356" i="2"/>
  <c r="O356" i="2" s="1"/>
  <c r="M356" i="2"/>
  <c r="F356" i="2"/>
  <c r="B356" i="2"/>
  <c r="O355" i="2"/>
  <c r="N355" i="2"/>
  <c r="M355" i="2"/>
  <c r="F355" i="2"/>
  <c r="B355" i="2"/>
  <c r="O354" i="2"/>
  <c r="N354" i="2"/>
  <c r="M354" i="2"/>
  <c r="F354" i="2"/>
  <c r="B354" i="2"/>
  <c r="N353" i="2"/>
  <c r="O353" i="2" s="1"/>
  <c r="M353" i="2"/>
  <c r="Y14" i="1" s="1"/>
  <c r="F353" i="2"/>
  <c r="B353" i="2"/>
  <c r="N352" i="2"/>
  <c r="O352" i="2" s="1"/>
  <c r="M352" i="2"/>
  <c r="F352" i="2"/>
  <c r="B352" i="2"/>
  <c r="O351" i="2"/>
  <c r="N351" i="2"/>
  <c r="M351" i="2"/>
  <c r="F351" i="2"/>
  <c r="B351" i="2"/>
  <c r="N350" i="2"/>
  <c r="O350" i="2" s="1"/>
  <c r="M350" i="2"/>
  <c r="F350" i="2"/>
  <c r="B350" i="2"/>
  <c r="N349" i="2"/>
  <c r="O349" i="2" s="1"/>
  <c r="M349" i="2"/>
  <c r="F349" i="2"/>
  <c r="B349" i="2"/>
  <c r="O348" i="2"/>
  <c r="N348" i="2"/>
  <c r="M348" i="2"/>
  <c r="F348" i="2"/>
  <c r="B348" i="2"/>
  <c r="O347" i="2"/>
  <c r="N347" i="2"/>
  <c r="M347" i="2"/>
  <c r="F347" i="2"/>
  <c r="B347" i="2"/>
  <c r="O346" i="2"/>
  <c r="N346" i="2"/>
  <c r="M346" i="2"/>
  <c r="F346" i="2"/>
  <c r="B346" i="2"/>
  <c r="N345" i="2"/>
  <c r="O345" i="2" s="1"/>
  <c r="M345" i="2"/>
  <c r="F345" i="2"/>
  <c r="B345" i="2"/>
  <c r="O344" i="2"/>
  <c r="N344" i="2"/>
  <c r="M344" i="2"/>
  <c r="F344" i="2"/>
  <c r="B344" i="2"/>
  <c r="O343" i="2"/>
  <c r="N343" i="2"/>
  <c r="M343" i="2"/>
  <c r="F343" i="2"/>
  <c r="B343" i="2"/>
  <c r="N342" i="2"/>
  <c r="O342" i="2" s="1"/>
  <c r="M342" i="2"/>
  <c r="F342" i="2"/>
  <c r="B342" i="2"/>
  <c r="N341" i="2"/>
  <c r="O341" i="2" s="1"/>
  <c r="M341" i="2"/>
  <c r="F341" i="2"/>
  <c r="B341" i="2"/>
  <c r="O340" i="2"/>
  <c r="N340" i="2"/>
  <c r="M340" i="2"/>
  <c r="F340" i="2"/>
  <c r="B340" i="2"/>
  <c r="N339" i="2"/>
  <c r="O339" i="2" s="1"/>
  <c r="M339" i="2"/>
  <c r="F339" i="2"/>
  <c r="B339" i="2"/>
  <c r="O338" i="2"/>
  <c r="N338" i="2"/>
  <c r="M338" i="2"/>
  <c r="F338" i="2"/>
  <c r="B338" i="2"/>
  <c r="N337" i="2"/>
  <c r="O337" i="2" s="1"/>
  <c r="M337" i="2"/>
  <c r="F337" i="2"/>
  <c r="B337" i="2"/>
  <c r="N336" i="2"/>
  <c r="O336" i="2" s="1"/>
  <c r="M336" i="2"/>
  <c r="F336" i="2"/>
  <c r="B336" i="2"/>
  <c r="N335" i="2"/>
  <c r="O335" i="2" s="1"/>
  <c r="M335" i="2"/>
  <c r="F335" i="2"/>
  <c r="B335" i="2"/>
  <c r="N334" i="2"/>
  <c r="O334" i="2" s="1"/>
  <c r="M334" i="2"/>
  <c r="F334" i="2"/>
  <c r="B334" i="2"/>
  <c r="O333" i="2"/>
  <c r="N333" i="2"/>
  <c r="M333" i="2"/>
  <c r="F333" i="2"/>
  <c r="B333" i="2"/>
  <c r="N332" i="2"/>
  <c r="O332" i="2" s="1"/>
  <c r="M332" i="2"/>
  <c r="F332" i="2"/>
  <c r="B332" i="2"/>
  <c r="O331" i="2"/>
  <c r="N331" i="2"/>
  <c r="M331" i="2"/>
  <c r="F331" i="2"/>
  <c r="B331" i="2"/>
  <c r="N330" i="2"/>
  <c r="O330" i="2" s="1"/>
  <c r="M330" i="2"/>
  <c r="F330" i="2"/>
  <c r="B330" i="2"/>
  <c r="N329" i="2"/>
  <c r="O329" i="2" s="1"/>
  <c r="M329" i="2"/>
  <c r="F329" i="2"/>
  <c r="B329" i="2"/>
  <c r="N328" i="2"/>
  <c r="O328" i="2" s="1"/>
  <c r="M328" i="2"/>
  <c r="F328" i="2"/>
  <c r="B328" i="2"/>
  <c r="N327" i="2"/>
  <c r="O327" i="2" s="1"/>
  <c r="M327" i="2"/>
  <c r="Y13" i="1" s="1"/>
  <c r="F327" i="2"/>
  <c r="B327" i="2"/>
  <c r="O326" i="2"/>
  <c r="N326" i="2"/>
  <c r="M326" i="2"/>
  <c r="F326" i="2"/>
  <c r="B326" i="2"/>
  <c r="N325" i="2"/>
  <c r="O325" i="2" s="1"/>
  <c r="M325" i="2"/>
  <c r="F325" i="2"/>
  <c r="B325" i="2"/>
  <c r="O324" i="2"/>
  <c r="N324" i="2"/>
  <c r="M324" i="2"/>
  <c r="F324" i="2"/>
  <c r="B324" i="2"/>
  <c r="O323" i="2"/>
  <c r="N323" i="2"/>
  <c r="M323" i="2"/>
  <c r="F323" i="2"/>
  <c r="B323" i="2"/>
  <c r="N322" i="2"/>
  <c r="O322" i="2" s="1"/>
  <c r="M322" i="2"/>
  <c r="F322" i="2"/>
  <c r="B322" i="2"/>
  <c r="O321" i="2"/>
  <c r="N321" i="2"/>
  <c r="M321" i="2"/>
  <c r="F321" i="2"/>
  <c r="B321" i="2"/>
  <c r="N320" i="2"/>
  <c r="O320" i="2" s="1"/>
  <c r="M320" i="2"/>
  <c r="F320" i="2"/>
  <c r="B320" i="2"/>
  <c r="O319" i="2"/>
  <c r="N319" i="2"/>
  <c r="M319" i="2"/>
  <c r="F319" i="2"/>
  <c r="B319" i="2"/>
  <c r="O318" i="2"/>
  <c r="N318" i="2"/>
  <c r="M318" i="2"/>
  <c r="F318" i="2"/>
  <c r="B318" i="2"/>
  <c r="N317" i="2"/>
  <c r="O317" i="2" s="1"/>
  <c r="M317" i="2"/>
  <c r="F317" i="2"/>
  <c r="B317" i="2"/>
  <c r="N316" i="2"/>
  <c r="O316" i="2" s="1"/>
  <c r="M316" i="2"/>
  <c r="F316" i="2"/>
  <c r="B316" i="2"/>
  <c r="N315" i="2"/>
  <c r="O315" i="2" s="1"/>
  <c r="M315" i="2"/>
  <c r="F315" i="2"/>
  <c r="B315" i="2"/>
  <c r="N314" i="2"/>
  <c r="O314" i="2" s="1"/>
  <c r="M314" i="2"/>
  <c r="F314" i="2"/>
  <c r="B314" i="2"/>
  <c r="N313" i="2"/>
  <c r="O313" i="2" s="1"/>
  <c r="M313" i="2"/>
  <c r="F313" i="2"/>
  <c r="B313" i="2"/>
  <c r="N312" i="2"/>
  <c r="O312" i="2" s="1"/>
  <c r="M312" i="2"/>
  <c r="F312" i="2"/>
  <c r="B312" i="2"/>
  <c r="O311" i="2"/>
  <c r="N311" i="2"/>
  <c r="M311" i="2"/>
  <c r="F311" i="2"/>
  <c r="B311" i="2"/>
  <c r="N310" i="2"/>
  <c r="O310" i="2" s="1"/>
  <c r="M310" i="2"/>
  <c r="F310" i="2"/>
  <c r="B310" i="2"/>
  <c r="N309" i="2"/>
  <c r="O309" i="2" s="1"/>
  <c r="M309" i="2"/>
  <c r="F309" i="2"/>
  <c r="B309" i="2"/>
  <c r="O308" i="2"/>
  <c r="N308" i="2"/>
  <c r="M308" i="2"/>
  <c r="F308" i="2"/>
  <c r="B308" i="2"/>
  <c r="O307" i="2"/>
  <c r="N307" i="2"/>
  <c r="M307" i="2"/>
  <c r="F307" i="2"/>
  <c r="B307" i="2"/>
  <c r="N306" i="2"/>
  <c r="O306" i="2" s="1"/>
  <c r="M306" i="2"/>
  <c r="F306" i="2"/>
  <c r="B306" i="2"/>
  <c r="O305" i="2"/>
  <c r="N305" i="2"/>
  <c r="M305" i="2"/>
  <c r="F305" i="2"/>
  <c r="B305" i="2"/>
  <c r="O304" i="2"/>
  <c r="N304" i="2"/>
  <c r="M304" i="2"/>
  <c r="F304" i="2"/>
  <c r="B304" i="2"/>
  <c r="O303" i="2"/>
  <c r="N303" i="2"/>
  <c r="M303" i="2"/>
  <c r="F303" i="2"/>
  <c r="B303" i="2"/>
  <c r="N302" i="2"/>
  <c r="O302" i="2" s="1"/>
  <c r="M302" i="2"/>
  <c r="F302" i="2"/>
  <c r="B302" i="2"/>
  <c r="O301" i="2"/>
  <c r="N301" i="2"/>
  <c r="M301" i="2"/>
  <c r="F301" i="2"/>
  <c r="B301" i="2"/>
  <c r="N300" i="2"/>
  <c r="O300" i="2" s="1"/>
  <c r="M300" i="2"/>
  <c r="F300" i="2"/>
  <c r="B300" i="2"/>
  <c r="N299" i="2"/>
  <c r="O299" i="2" s="1"/>
  <c r="M299" i="2"/>
  <c r="F299" i="2"/>
  <c r="B299" i="2"/>
  <c r="N298" i="2"/>
  <c r="O298" i="2" s="1"/>
  <c r="M298" i="2"/>
  <c r="F298" i="2"/>
  <c r="B298" i="2"/>
  <c r="N297" i="2"/>
  <c r="O297" i="2" s="1"/>
  <c r="M297" i="2"/>
  <c r="F297" i="2"/>
  <c r="B297" i="2"/>
  <c r="N296" i="2"/>
  <c r="O296" i="2" s="1"/>
  <c r="M296" i="2"/>
  <c r="F296" i="2"/>
  <c r="B296" i="2"/>
  <c r="N295" i="2"/>
  <c r="O295" i="2" s="1"/>
  <c r="M295" i="2"/>
  <c r="X13" i="1" s="1"/>
  <c r="F295" i="2"/>
  <c r="B295" i="2"/>
  <c r="O294" i="2"/>
  <c r="N294" i="2"/>
  <c r="M294" i="2"/>
  <c r="F294" i="2"/>
  <c r="B294" i="2"/>
  <c r="N293" i="2"/>
  <c r="O293" i="2" s="1"/>
  <c r="M293" i="2"/>
  <c r="F293" i="2"/>
  <c r="B293" i="2"/>
  <c r="N292" i="2"/>
  <c r="O292" i="2" s="1"/>
  <c r="M292" i="2"/>
  <c r="F292" i="2"/>
  <c r="B292" i="2"/>
  <c r="N291" i="2"/>
  <c r="O291" i="2" s="1"/>
  <c r="M291" i="2"/>
  <c r="F291" i="2"/>
  <c r="B291" i="2"/>
  <c r="O290" i="2"/>
  <c r="N290" i="2"/>
  <c r="M290" i="2"/>
  <c r="F290" i="2"/>
  <c r="B290" i="2"/>
  <c r="O289" i="2"/>
  <c r="N289" i="2"/>
  <c r="M289" i="2"/>
  <c r="F289" i="2"/>
  <c r="B289" i="2"/>
  <c r="O288" i="2"/>
  <c r="N288" i="2"/>
  <c r="M288" i="2"/>
  <c r="F288" i="2"/>
  <c r="B288" i="2"/>
  <c r="O287" i="2"/>
  <c r="N287" i="2"/>
  <c r="M287" i="2"/>
  <c r="F287" i="2"/>
  <c r="B287" i="2"/>
  <c r="N286" i="2"/>
  <c r="O286" i="2" s="1"/>
  <c r="M286" i="2"/>
  <c r="F286" i="2"/>
  <c r="B286" i="2"/>
  <c r="O285" i="2"/>
  <c r="N285" i="2"/>
  <c r="M285" i="2"/>
  <c r="F285" i="2"/>
  <c r="B285" i="2"/>
  <c r="N284" i="2"/>
  <c r="O284" i="2" s="1"/>
  <c r="M284" i="2"/>
  <c r="F284" i="2"/>
  <c r="B284" i="2"/>
  <c r="N283" i="2"/>
  <c r="O283" i="2" s="1"/>
  <c r="M283" i="2"/>
  <c r="F283" i="2"/>
  <c r="B283" i="2"/>
  <c r="N282" i="2"/>
  <c r="O282" i="2" s="1"/>
  <c r="M282" i="2"/>
  <c r="F282" i="2"/>
  <c r="B282" i="2"/>
  <c r="O281" i="2"/>
  <c r="N281" i="2"/>
  <c r="M281" i="2"/>
  <c r="F281" i="2"/>
  <c r="B281" i="2"/>
  <c r="N280" i="2"/>
  <c r="O280" i="2" s="1"/>
  <c r="M280" i="2"/>
  <c r="F280" i="2"/>
  <c r="B280" i="2"/>
  <c r="N279" i="2"/>
  <c r="O279" i="2" s="1"/>
  <c r="M279" i="2"/>
  <c r="F279" i="2"/>
  <c r="B279" i="2"/>
  <c r="N278" i="2"/>
  <c r="O278" i="2" s="1"/>
  <c r="M278" i="2"/>
  <c r="F278" i="2"/>
  <c r="B278" i="2"/>
  <c r="O277" i="2"/>
  <c r="N277" i="2"/>
  <c r="M277" i="2"/>
  <c r="F277" i="2"/>
  <c r="B277" i="2"/>
  <c r="N276" i="2"/>
  <c r="O276" i="2" s="1"/>
  <c r="M276" i="2"/>
  <c r="F276" i="2"/>
  <c r="B276" i="2"/>
  <c r="N275" i="2"/>
  <c r="O275" i="2" s="1"/>
  <c r="M275" i="2"/>
  <c r="F275" i="2"/>
  <c r="B275" i="2"/>
  <c r="O274" i="2"/>
  <c r="N274" i="2"/>
  <c r="M274" i="2"/>
  <c r="F274" i="2"/>
  <c r="B274" i="2"/>
  <c r="N273" i="2"/>
  <c r="O273" i="2" s="1"/>
  <c r="M273" i="2"/>
  <c r="F273" i="2"/>
  <c r="B273" i="2"/>
  <c r="O272" i="2"/>
  <c r="N272" i="2"/>
  <c r="M272" i="2"/>
  <c r="F272" i="2"/>
  <c r="B272" i="2"/>
  <c r="N271" i="2"/>
  <c r="O271" i="2" s="1"/>
  <c r="M271" i="2"/>
  <c r="F271" i="2"/>
  <c r="B271" i="2"/>
  <c r="N270" i="2"/>
  <c r="O270" i="2" s="1"/>
  <c r="M270" i="2"/>
  <c r="F270" i="2"/>
  <c r="B270" i="2"/>
  <c r="N269" i="2"/>
  <c r="O269" i="2" s="1"/>
  <c r="M269" i="2"/>
  <c r="F269" i="2"/>
  <c r="B269" i="2"/>
  <c r="O268" i="2"/>
  <c r="N268" i="2"/>
  <c r="M268" i="2"/>
  <c r="F268" i="2"/>
  <c r="B268" i="2"/>
  <c r="N267" i="2"/>
  <c r="O267" i="2" s="1"/>
  <c r="M267" i="2"/>
  <c r="F267" i="2"/>
  <c r="B267" i="2"/>
  <c r="O266" i="2"/>
  <c r="N266" i="2"/>
  <c r="M266" i="2"/>
  <c r="F266" i="2"/>
  <c r="B266" i="2"/>
  <c r="O265" i="2"/>
  <c r="N265" i="2"/>
  <c r="M265" i="2"/>
  <c r="F265" i="2"/>
  <c r="B265" i="2"/>
  <c r="N264" i="2"/>
  <c r="O264" i="2" s="1"/>
  <c r="M264" i="2"/>
  <c r="F264" i="2"/>
  <c r="B264" i="2"/>
  <c r="N263" i="2"/>
  <c r="O263" i="2" s="1"/>
  <c r="M263" i="2"/>
  <c r="F263" i="2"/>
  <c r="B263" i="2"/>
  <c r="N262" i="2"/>
  <c r="O262" i="2" s="1"/>
  <c r="M262" i="2"/>
  <c r="F262" i="2"/>
  <c r="B262" i="2"/>
  <c r="O261" i="2"/>
  <c r="N261" i="2"/>
  <c r="M261" i="2"/>
  <c r="F261" i="2"/>
  <c r="B261" i="2"/>
  <c r="N260" i="2"/>
  <c r="O260" i="2" s="1"/>
  <c r="M260" i="2"/>
  <c r="F260" i="2"/>
  <c r="B260" i="2"/>
  <c r="O259" i="2"/>
  <c r="N259" i="2"/>
  <c r="M259" i="2"/>
  <c r="F259" i="2"/>
  <c r="B259" i="2"/>
  <c r="N258" i="2"/>
  <c r="O258" i="2" s="1"/>
  <c r="M258" i="2"/>
  <c r="F258" i="2"/>
  <c r="B258" i="2"/>
  <c r="N257" i="2"/>
  <c r="O257" i="2" s="1"/>
  <c r="M257" i="2"/>
  <c r="F257" i="2"/>
  <c r="B257" i="2"/>
  <c r="N256" i="2"/>
  <c r="O256" i="2" s="1"/>
  <c r="M256" i="2"/>
  <c r="F256" i="2"/>
  <c r="B256" i="2"/>
  <c r="N255" i="2"/>
  <c r="O255" i="2" s="1"/>
  <c r="M255" i="2"/>
  <c r="F255" i="2"/>
  <c r="B255" i="2"/>
  <c r="N254" i="2"/>
  <c r="O254" i="2" s="1"/>
  <c r="M254" i="2"/>
  <c r="F254" i="2"/>
  <c r="B254" i="2"/>
  <c r="N253" i="2"/>
  <c r="O253" i="2" s="1"/>
  <c r="M253" i="2"/>
  <c r="F253" i="2"/>
  <c r="B253" i="2"/>
  <c r="N252" i="2"/>
  <c r="O252" i="2" s="1"/>
  <c r="M252" i="2"/>
  <c r="F252" i="2"/>
  <c r="B252" i="2"/>
  <c r="N251" i="2"/>
  <c r="O251" i="2" s="1"/>
  <c r="M251" i="2"/>
  <c r="F251" i="2"/>
  <c r="B251" i="2"/>
  <c r="N250" i="2"/>
  <c r="O250" i="2" s="1"/>
  <c r="M250" i="2"/>
  <c r="F250" i="2"/>
  <c r="B250" i="2"/>
  <c r="O249" i="2"/>
  <c r="N249" i="2"/>
  <c r="M249" i="2"/>
  <c r="F249" i="2"/>
  <c r="B249" i="2"/>
  <c r="N248" i="2"/>
  <c r="O248" i="2" s="1"/>
  <c r="M248" i="2"/>
  <c r="F248" i="2"/>
  <c r="B248" i="2"/>
  <c r="N247" i="2"/>
  <c r="O247" i="2" s="1"/>
  <c r="M247" i="2"/>
  <c r="F247" i="2"/>
  <c r="B247" i="2"/>
  <c r="N246" i="2"/>
  <c r="O246" i="2" s="1"/>
  <c r="M246" i="2"/>
  <c r="F246" i="2"/>
  <c r="B246" i="2"/>
  <c r="N245" i="2"/>
  <c r="O245" i="2" s="1"/>
  <c r="M245" i="2"/>
  <c r="X11" i="1" s="1"/>
  <c r="F245" i="2"/>
  <c r="B245" i="2"/>
  <c r="O244" i="2"/>
  <c r="N244" i="2"/>
  <c r="M244" i="2"/>
  <c r="F244" i="2"/>
  <c r="B244" i="2"/>
  <c r="N243" i="2"/>
  <c r="O243" i="2" s="1"/>
  <c r="M243" i="2"/>
  <c r="F243" i="2"/>
  <c r="B243" i="2"/>
  <c r="O242" i="2"/>
  <c r="N242" i="2"/>
  <c r="M242" i="2"/>
  <c r="F242" i="2"/>
  <c r="B242" i="2"/>
  <c r="O241" i="2"/>
  <c r="N241" i="2"/>
  <c r="M241" i="2"/>
  <c r="F241" i="2"/>
  <c r="B241" i="2"/>
  <c r="N240" i="2"/>
  <c r="O240" i="2" s="1"/>
  <c r="M240" i="2"/>
  <c r="F240" i="2"/>
  <c r="B240" i="2"/>
  <c r="O239" i="2"/>
  <c r="N239" i="2"/>
  <c r="M239" i="2"/>
  <c r="F239" i="2"/>
  <c r="B239" i="2"/>
  <c r="N238" i="2"/>
  <c r="O238" i="2" s="1"/>
  <c r="M238" i="2"/>
  <c r="F238" i="2"/>
  <c r="B238" i="2"/>
  <c r="O237" i="2"/>
  <c r="N237" i="2"/>
  <c r="M237" i="2"/>
  <c r="F237" i="2"/>
  <c r="B237" i="2"/>
  <c r="N236" i="2"/>
  <c r="O236" i="2" s="1"/>
  <c r="M236" i="2"/>
  <c r="AE10" i="1" s="1"/>
  <c r="F236" i="2"/>
  <c r="B236" i="2"/>
  <c r="O235" i="2"/>
  <c r="N235" i="2"/>
  <c r="M235" i="2"/>
  <c r="F235" i="2"/>
  <c r="B235" i="2"/>
  <c r="N234" i="2"/>
  <c r="O234" i="2" s="1"/>
  <c r="M234" i="2"/>
  <c r="F234" i="2"/>
  <c r="B234" i="2"/>
  <c r="N233" i="2"/>
  <c r="O233" i="2" s="1"/>
  <c r="M233" i="2"/>
  <c r="F233" i="2"/>
  <c r="B233" i="2"/>
  <c r="N232" i="2"/>
  <c r="O232" i="2" s="1"/>
  <c r="M232" i="2"/>
  <c r="F232" i="2"/>
  <c r="B232" i="2"/>
  <c r="N231" i="2"/>
  <c r="O231" i="2" s="1"/>
  <c r="M231" i="2"/>
  <c r="F231" i="2"/>
  <c r="B231" i="2"/>
  <c r="N230" i="2"/>
  <c r="O230" i="2" s="1"/>
  <c r="M230" i="2"/>
  <c r="F230" i="2"/>
  <c r="B230" i="2"/>
  <c r="N229" i="2"/>
  <c r="O229" i="2" s="1"/>
  <c r="M229" i="2"/>
  <c r="F229" i="2"/>
  <c r="B229" i="2"/>
  <c r="O228" i="2"/>
  <c r="N228" i="2"/>
  <c r="M228" i="2"/>
  <c r="F228" i="2"/>
  <c r="B228" i="2"/>
  <c r="O227" i="2"/>
  <c r="N227" i="2"/>
  <c r="M227" i="2"/>
  <c r="F227" i="2"/>
  <c r="B227" i="2"/>
  <c r="O226" i="2"/>
  <c r="N226" i="2"/>
  <c r="M226" i="2"/>
  <c r="F226" i="2"/>
  <c r="B226" i="2"/>
  <c r="N225" i="2"/>
  <c r="O225" i="2" s="1"/>
  <c r="M225" i="2"/>
  <c r="F225" i="2"/>
  <c r="B225" i="2"/>
  <c r="N224" i="2"/>
  <c r="O224" i="2" s="1"/>
  <c r="M224" i="2"/>
  <c r="F224" i="2"/>
  <c r="B224" i="2"/>
  <c r="N223" i="2"/>
  <c r="O223" i="2" s="1"/>
  <c r="M223" i="2"/>
  <c r="F223" i="2"/>
  <c r="B223" i="2"/>
  <c r="N222" i="2"/>
  <c r="O222" i="2" s="1"/>
  <c r="M222" i="2"/>
  <c r="F222" i="2"/>
  <c r="B222" i="2"/>
  <c r="N221" i="2"/>
  <c r="O221" i="2" s="1"/>
  <c r="M221" i="2"/>
  <c r="F221" i="2"/>
  <c r="B221" i="2"/>
  <c r="N220" i="2"/>
  <c r="O220" i="2" s="1"/>
  <c r="M220" i="2"/>
  <c r="F220" i="2"/>
  <c r="B220" i="2"/>
  <c r="O219" i="2"/>
  <c r="N219" i="2"/>
  <c r="M219" i="2"/>
  <c r="F219" i="2"/>
  <c r="B219" i="2"/>
  <c r="N218" i="2"/>
  <c r="O218" i="2" s="1"/>
  <c r="M218" i="2"/>
  <c r="F218" i="2"/>
  <c r="B218" i="2"/>
  <c r="N217" i="2"/>
  <c r="O217" i="2" s="1"/>
  <c r="M217" i="2"/>
  <c r="F217" i="2"/>
  <c r="B217" i="2"/>
  <c r="N216" i="2"/>
  <c r="O216" i="2" s="1"/>
  <c r="M216" i="2"/>
  <c r="F216" i="2"/>
  <c r="B216" i="2"/>
  <c r="N215" i="2"/>
  <c r="O215" i="2" s="1"/>
  <c r="M215" i="2"/>
  <c r="F215" i="2"/>
  <c r="B215" i="2"/>
  <c r="N214" i="2"/>
  <c r="O214" i="2" s="1"/>
  <c r="M214" i="2"/>
  <c r="F214" i="2"/>
  <c r="B214" i="2"/>
  <c r="N213" i="2"/>
  <c r="O213" i="2" s="1"/>
  <c r="M213" i="2"/>
  <c r="F213" i="2"/>
  <c r="B213" i="2"/>
  <c r="N212" i="2"/>
  <c r="O212" i="2" s="1"/>
  <c r="M212" i="2"/>
  <c r="F212" i="2"/>
  <c r="B212" i="2"/>
  <c r="O211" i="2"/>
  <c r="N211" i="2"/>
  <c r="M211" i="2"/>
  <c r="F211" i="2"/>
  <c r="B211" i="2"/>
  <c r="N210" i="2"/>
  <c r="O210" i="2" s="1"/>
  <c r="M210" i="2"/>
  <c r="F210" i="2"/>
  <c r="B210" i="2"/>
  <c r="N209" i="2"/>
  <c r="O209" i="2" s="1"/>
  <c r="M209" i="2"/>
  <c r="F209" i="2"/>
  <c r="B209" i="2"/>
  <c r="N208" i="2"/>
  <c r="O208" i="2" s="1"/>
  <c r="M208" i="2"/>
  <c r="F208" i="2"/>
  <c r="B208" i="2"/>
  <c r="N207" i="2"/>
  <c r="O207" i="2" s="1"/>
  <c r="M207" i="2"/>
  <c r="F207" i="2"/>
  <c r="B207" i="2"/>
  <c r="N206" i="2"/>
  <c r="O206" i="2" s="1"/>
  <c r="M206" i="2"/>
  <c r="F206" i="2"/>
  <c r="B206" i="2"/>
  <c r="N205" i="2"/>
  <c r="O205" i="2" s="1"/>
  <c r="M205" i="2"/>
  <c r="F205" i="2"/>
  <c r="B205" i="2"/>
  <c r="O204" i="2"/>
  <c r="N204" i="2"/>
  <c r="M204" i="2"/>
  <c r="F204" i="2"/>
  <c r="B204" i="2"/>
  <c r="N203" i="2"/>
  <c r="O203" i="2" s="1"/>
  <c r="M203" i="2"/>
  <c r="F203" i="2"/>
  <c r="B203" i="2"/>
  <c r="N202" i="2"/>
  <c r="O202" i="2" s="1"/>
  <c r="M202" i="2"/>
  <c r="F202" i="2"/>
  <c r="B202" i="2"/>
  <c r="O201" i="2"/>
  <c r="N201" i="2"/>
  <c r="M201" i="2"/>
  <c r="F201" i="2"/>
  <c r="B201" i="2"/>
  <c r="N200" i="2"/>
  <c r="O200" i="2" s="1"/>
  <c r="M200" i="2"/>
  <c r="F200" i="2"/>
  <c r="B200" i="2"/>
  <c r="N199" i="2"/>
  <c r="O199" i="2" s="1"/>
  <c r="M199" i="2"/>
  <c r="F199" i="2"/>
  <c r="B199" i="2"/>
  <c r="N198" i="2"/>
  <c r="O198" i="2" s="1"/>
  <c r="M198" i="2"/>
  <c r="F198" i="2"/>
  <c r="B198" i="2"/>
  <c r="O197" i="2"/>
  <c r="N197" i="2"/>
  <c r="M197" i="2"/>
  <c r="F197" i="2"/>
  <c r="B197" i="2"/>
  <c r="N196" i="2"/>
  <c r="O196" i="2" s="1"/>
  <c r="M196" i="2"/>
  <c r="F196" i="2"/>
  <c r="B196" i="2"/>
  <c r="N195" i="2"/>
  <c r="O195" i="2" s="1"/>
  <c r="M195" i="2"/>
  <c r="F195" i="2"/>
  <c r="B195" i="2"/>
  <c r="O194" i="2"/>
  <c r="N194" i="2"/>
  <c r="M194" i="2"/>
  <c r="F194" i="2"/>
  <c r="B194" i="2"/>
  <c r="N193" i="2"/>
  <c r="O193" i="2" s="1"/>
  <c r="M193" i="2"/>
  <c r="F193" i="2"/>
  <c r="B193" i="2"/>
  <c r="N192" i="2"/>
  <c r="O192" i="2" s="1"/>
  <c r="M192" i="2"/>
  <c r="F192" i="2"/>
  <c r="B192" i="2"/>
  <c r="N191" i="2"/>
  <c r="O191" i="2" s="1"/>
  <c r="M191" i="2"/>
  <c r="F191" i="2"/>
  <c r="B191" i="2"/>
  <c r="N190" i="2"/>
  <c r="O190" i="2" s="1"/>
  <c r="M190" i="2"/>
  <c r="F190" i="2"/>
  <c r="B190" i="2"/>
  <c r="N189" i="2"/>
  <c r="O189" i="2" s="1"/>
  <c r="M189" i="2"/>
  <c r="F189" i="2"/>
  <c r="B189" i="2"/>
  <c r="N188" i="2"/>
  <c r="O188" i="2" s="1"/>
  <c r="M188" i="2"/>
  <c r="F188" i="2"/>
  <c r="B188" i="2"/>
  <c r="O187" i="2"/>
  <c r="N187" i="2"/>
  <c r="M187" i="2"/>
  <c r="F187" i="2"/>
  <c r="B187" i="2"/>
  <c r="O186" i="2"/>
  <c r="N186" i="2"/>
  <c r="M186" i="2"/>
  <c r="F186" i="2"/>
  <c r="B186" i="2"/>
  <c r="N185" i="2"/>
  <c r="O185" i="2" s="1"/>
  <c r="M185" i="2"/>
  <c r="F185" i="2"/>
  <c r="B185" i="2"/>
  <c r="O184" i="2"/>
  <c r="N184" i="2"/>
  <c r="M184" i="2"/>
  <c r="F184" i="2"/>
  <c r="B184" i="2"/>
  <c r="N183" i="2"/>
  <c r="O183" i="2" s="1"/>
  <c r="M183" i="2"/>
  <c r="F183" i="2"/>
  <c r="B183" i="2"/>
  <c r="O182" i="2"/>
  <c r="N182" i="2"/>
  <c r="M182" i="2"/>
  <c r="F182" i="2"/>
  <c r="B182" i="2"/>
  <c r="O181" i="2"/>
  <c r="N181" i="2"/>
  <c r="M181" i="2"/>
  <c r="F181" i="2"/>
  <c r="B181" i="2"/>
  <c r="N180" i="2"/>
  <c r="O180" i="2" s="1"/>
  <c r="M180" i="2"/>
  <c r="F180" i="2"/>
  <c r="B180" i="2"/>
  <c r="N179" i="2"/>
  <c r="O179" i="2" s="1"/>
  <c r="M179" i="2"/>
  <c r="Y9" i="1" s="1"/>
  <c r="F179" i="2"/>
  <c r="B179" i="2"/>
  <c r="N178" i="2"/>
  <c r="O178" i="2" s="1"/>
  <c r="M178" i="2"/>
  <c r="F178" i="2"/>
  <c r="B178" i="2"/>
  <c r="O177" i="2"/>
  <c r="N177" i="2"/>
  <c r="M177" i="2"/>
  <c r="F177" i="2"/>
  <c r="B177" i="2"/>
  <c r="N176" i="2"/>
  <c r="O176" i="2" s="1"/>
  <c r="M176" i="2"/>
  <c r="F176" i="2"/>
  <c r="B176" i="2"/>
  <c r="N175" i="2"/>
  <c r="O175" i="2" s="1"/>
  <c r="M175" i="2"/>
  <c r="F175" i="2"/>
  <c r="B175" i="2"/>
  <c r="N174" i="2"/>
  <c r="O174" i="2" s="1"/>
  <c r="M174" i="2"/>
  <c r="F174" i="2"/>
  <c r="B174" i="2"/>
  <c r="N173" i="2"/>
  <c r="O173" i="2" s="1"/>
  <c r="M173" i="2"/>
  <c r="F173" i="2"/>
  <c r="B173" i="2"/>
  <c r="N172" i="2"/>
  <c r="O172" i="2" s="1"/>
  <c r="M172" i="2"/>
  <c r="X9" i="1" s="1"/>
  <c r="F172" i="2"/>
  <c r="B172" i="2"/>
  <c r="O171" i="2"/>
  <c r="N171" i="2"/>
  <c r="M171" i="2"/>
  <c r="F171" i="2"/>
  <c r="B171" i="2"/>
  <c r="N170" i="2"/>
  <c r="O170" i="2" s="1"/>
  <c r="M170" i="2"/>
  <c r="F170" i="2"/>
  <c r="B170" i="2"/>
  <c r="N169" i="2"/>
  <c r="O169" i="2" s="1"/>
  <c r="M169" i="2"/>
  <c r="F169" i="2"/>
  <c r="B169" i="2"/>
  <c r="N168" i="2"/>
  <c r="O168" i="2" s="1"/>
  <c r="M168" i="2"/>
  <c r="X8" i="1" s="1"/>
  <c r="F168" i="2"/>
  <c r="B168" i="2"/>
  <c r="N167" i="2"/>
  <c r="O167" i="2" s="1"/>
  <c r="M167" i="2"/>
  <c r="F167" i="2"/>
  <c r="B167" i="2"/>
  <c r="O166" i="2"/>
  <c r="N166" i="2"/>
  <c r="M166" i="2"/>
  <c r="F166" i="2"/>
  <c r="B166" i="2"/>
  <c r="O165" i="2"/>
  <c r="N165" i="2"/>
  <c r="M165" i="2"/>
  <c r="F165" i="2"/>
  <c r="B165" i="2"/>
  <c r="N164" i="2"/>
  <c r="O164" i="2" s="1"/>
  <c r="M164" i="2"/>
  <c r="F164" i="2"/>
  <c r="B164" i="2"/>
  <c r="N163" i="2"/>
  <c r="O163" i="2" s="1"/>
  <c r="M163" i="2"/>
  <c r="F163" i="2"/>
  <c r="B163" i="2"/>
  <c r="N162" i="2"/>
  <c r="O162" i="2" s="1"/>
  <c r="M162" i="2"/>
  <c r="F162" i="2"/>
  <c r="B162" i="2"/>
  <c r="N161" i="2"/>
  <c r="O161" i="2" s="1"/>
  <c r="M161" i="2"/>
  <c r="F161" i="2"/>
  <c r="B161" i="2"/>
  <c r="N160" i="2"/>
  <c r="O160" i="2" s="1"/>
  <c r="M160" i="2"/>
  <c r="F160" i="2"/>
  <c r="B160" i="2"/>
  <c r="O159" i="2"/>
  <c r="N159" i="2"/>
  <c r="M159" i="2"/>
  <c r="F159" i="2"/>
  <c r="B159" i="2"/>
  <c r="N158" i="2"/>
  <c r="O158" i="2" s="1"/>
  <c r="M158" i="2"/>
  <c r="F158" i="2"/>
  <c r="B158" i="2"/>
  <c r="O157" i="2"/>
  <c r="N157" i="2"/>
  <c r="M157" i="2"/>
  <c r="F157" i="2"/>
  <c r="B157" i="2"/>
  <c r="N156" i="2"/>
  <c r="O156" i="2" s="1"/>
  <c r="M156" i="2"/>
  <c r="F156" i="2"/>
  <c r="B156" i="2"/>
  <c r="O155" i="2"/>
  <c r="N155" i="2"/>
  <c r="M155" i="2"/>
  <c r="F155" i="2"/>
  <c r="B155" i="2"/>
  <c r="O154" i="2"/>
  <c r="N154" i="2"/>
  <c r="M154" i="2"/>
  <c r="F154" i="2"/>
  <c r="B154" i="2"/>
  <c r="N153" i="2"/>
  <c r="O153" i="2" s="1"/>
  <c r="M153" i="2"/>
  <c r="F153" i="2"/>
  <c r="B153" i="2"/>
  <c r="N152" i="2"/>
  <c r="O152" i="2" s="1"/>
  <c r="M152" i="2"/>
  <c r="F152" i="2"/>
  <c r="B152" i="2"/>
  <c r="O151" i="2"/>
  <c r="N151" i="2"/>
  <c r="M151" i="2"/>
  <c r="F151" i="2"/>
  <c r="B151" i="2"/>
  <c r="N150" i="2"/>
  <c r="O150" i="2" s="1"/>
  <c r="M150" i="2"/>
  <c r="F150" i="2"/>
  <c r="B150" i="2"/>
  <c r="N149" i="2"/>
  <c r="O149" i="2" s="1"/>
  <c r="M149" i="2"/>
  <c r="F149" i="2"/>
  <c r="B149" i="2"/>
  <c r="N148" i="2"/>
  <c r="O148" i="2" s="1"/>
  <c r="M148" i="2"/>
  <c r="F148" i="2"/>
  <c r="B148" i="2"/>
  <c r="N147" i="2"/>
  <c r="O147" i="2" s="1"/>
  <c r="M147" i="2"/>
  <c r="F147" i="2"/>
  <c r="B147" i="2"/>
  <c r="O146" i="2"/>
  <c r="N146" i="2"/>
  <c r="M146" i="2"/>
  <c r="F146" i="2"/>
  <c r="B146" i="2"/>
  <c r="N145" i="2"/>
  <c r="O145" i="2" s="1"/>
  <c r="M145" i="2"/>
  <c r="F145" i="2"/>
  <c r="B145" i="2"/>
  <c r="O144" i="2"/>
  <c r="N144" i="2"/>
  <c r="M144" i="2"/>
  <c r="F144" i="2"/>
  <c r="B144" i="2"/>
  <c r="N143" i="2"/>
  <c r="O143" i="2" s="1"/>
  <c r="M143" i="2"/>
  <c r="F143" i="2"/>
  <c r="B143" i="2"/>
  <c r="O142" i="2"/>
  <c r="N142" i="2"/>
  <c r="M142" i="2"/>
  <c r="F142" i="2"/>
  <c r="B142" i="2"/>
  <c r="N141" i="2"/>
  <c r="O141" i="2" s="1"/>
  <c r="M141" i="2"/>
  <c r="F141" i="2"/>
  <c r="B141" i="2"/>
  <c r="N140" i="2"/>
  <c r="O140" i="2" s="1"/>
  <c r="M140" i="2"/>
  <c r="F140" i="2"/>
  <c r="B140" i="2"/>
  <c r="N139" i="2"/>
  <c r="O139" i="2" s="1"/>
  <c r="M139" i="2"/>
  <c r="F139" i="2"/>
  <c r="B139" i="2"/>
  <c r="N138" i="2"/>
  <c r="O138" i="2" s="1"/>
  <c r="M138" i="2"/>
  <c r="F138" i="2"/>
  <c r="B138" i="2"/>
  <c r="N137" i="2"/>
  <c r="O137" i="2" s="1"/>
  <c r="M137" i="2"/>
  <c r="F137" i="2"/>
  <c r="B137" i="2"/>
  <c r="N136" i="2"/>
  <c r="O136" i="2" s="1"/>
  <c r="M136" i="2"/>
  <c r="F136" i="2"/>
  <c r="B136" i="2"/>
  <c r="O135" i="2"/>
  <c r="N135" i="2"/>
  <c r="M135" i="2"/>
  <c r="F135" i="2"/>
  <c r="B135" i="2"/>
  <c r="N134" i="2"/>
  <c r="O134" i="2" s="1"/>
  <c r="M134" i="2"/>
  <c r="F134" i="2"/>
  <c r="B134" i="2"/>
  <c r="N133" i="2"/>
  <c r="O133" i="2" s="1"/>
  <c r="M133" i="2"/>
  <c r="F133" i="2"/>
  <c r="B133" i="2"/>
  <c r="O132" i="2"/>
  <c r="N132" i="2"/>
  <c r="M132" i="2"/>
  <c r="F132" i="2"/>
  <c r="B132" i="2"/>
  <c r="N131" i="2"/>
  <c r="O131" i="2" s="1"/>
  <c r="M131" i="2"/>
  <c r="F131" i="2"/>
  <c r="B131" i="2"/>
  <c r="N130" i="2"/>
  <c r="O130" i="2" s="1"/>
  <c r="M130" i="2"/>
  <c r="F130" i="2"/>
  <c r="B130" i="2"/>
  <c r="O129" i="2"/>
  <c r="N129" i="2"/>
  <c r="M129" i="2"/>
  <c r="F129" i="2"/>
  <c r="B129" i="2"/>
  <c r="O128" i="2"/>
  <c r="N128" i="2"/>
  <c r="M128" i="2"/>
  <c r="F128" i="2"/>
  <c r="B128" i="2"/>
  <c r="N127" i="2"/>
  <c r="O127" i="2" s="1"/>
  <c r="M127" i="2"/>
  <c r="F127" i="2"/>
  <c r="B127" i="2"/>
  <c r="O126" i="2"/>
  <c r="N126" i="2"/>
  <c r="M126" i="2"/>
  <c r="F126" i="2"/>
  <c r="B126" i="2"/>
  <c r="O125" i="2"/>
  <c r="N125" i="2"/>
  <c r="M125" i="2"/>
  <c r="F125" i="2"/>
  <c r="B125" i="2"/>
  <c r="N124" i="2"/>
  <c r="O124" i="2" s="1"/>
  <c r="M124" i="2"/>
  <c r="F124" i="2"/>
  <c r="B124" i="2"/>
  <c r="N123" i="2"/>
  <c r="O123" i="2" s="1"/>
  <c r="M123" i="2"/>
  <c r="F123" i="2"/>
  <c r="B123" i="2"/>
  <c r="N122" i="2"/>
  <c r="O122" i="2" s="1"/>
  <c r="M122" i="2"/>
  <c r="F122" i="2"/>
  <c r="B122" i="2"/>
  <c r="N121" i="2"/>
  <c r="O121" i="2" s="1"/>
  <c r="M121" i="2"/>
  <c r="Y7" i="1" s="1"/>
  <c r="F121" i="2"/>
  <c r="B121" i="2"/>
  <c r="N120" i="2"/>
  <c r="O120" i="2" s="1"/>
  <c r="M120" i="2"/>
  <c r="F120" i="2"/>
  <c r="B120" i="2"/>
  <c r="N119" i="2"/>
  <c r="O119" i="2" s="1"/>
  <c r="M119" i="2"/>
  <c r="F119" i="2"/>
  <c r="B119" i="2"/>
  <c r="N118" i="2"/>
  <c r="O118" i="2" s="1"/>
  <c r="M118" i="2"/>
  <c r="F118" i="2"/>
  <c r="B118" i="2"/>
  <c r="N117" i="2"/>
  <c r="O117" i="2" s="1"/>
  <c r="M117" i="2"/>
  <c r="F117" i="2"/>
  <c r="B117" i="2"/>
  <c r="O116" i="2"/>
  <c r="N116" i="2"/>
  <c r="M116" i="2"/>
  <c r="F116" i="2"/>
  <c r="B116" i="2"/>
  <c r="O115" i="2"/>
  <c r="N115" i="2"/>
  <c r="M115" i="2"/>
  <c r="F115" i="2"/>
  <c r="B115" i="2"/>
  <c r="N114" i="2"/>
  <c r="O114" i="2" s="1"/>
  <c r="M114" i="2"/>
  <c r="F114" i="2"/>
  <c r="B114" i="2"/>
  <c r="N113" i="2"/>
  <c r="O113" i="2" s="1"/>
  <c r="M113" i="2"/>
  <c r="F113" i="2"/>
  <c r="B113" i="2"/>
  <c r="O112" i="2"/>
  <c r="N112" i="2"/>
  <c r="M112" i="2"/>
  <c r="F112" i="2"/>
  <c r="B112" i="2"/>
  <c r="O111" i="2"/>
  <c r="N111" i="2"/>
  <c r="M111" i="2"/>
  <c r="F111" i="2"/>
  <c r="B111" i="2"/>
  <c r="N110" i="2"/>
  <c r="O110" i="2" s="1"/>
  <c r="M110" i="2"/>
  <c r="F110" i="2"/>
  <c r="B110" i="2"/>
  <c r="O109" i="2"/>
  <c r="N109" i="2"/>
  <c r="M109" i="2"/>
  <c r="F109" i="2"/>
  <c r="B109" i="2"/>
  <c r="O108" i="2"/>
  <c r="N108" i="2"/>
  <c r="M108" i="2"/>
  <c r="F108" i="2"/>
  <c r="B108" i="2"/>
  <c r="N107" i="2"/>
  <c r="O107" i="2" s="1"/>
  <c r="M107" i="2"/>
  <c r="F107" i="2"/>
  <c r="B107" i="2"/>
  <c r="N106" i="2"/>
  <c r="O106" i="2" s="1"/>
  <c r="M106" i="2"/>
  <c r="F106" i="2"/>
  <c r="B106" i="2"/>
  <c r="N105" i="2"/>
  <c r="O105" i="2" s="1"/>
  <c r="M105" i="2"/>
  <c r="F105" i="2"/>
  <c r="B105" i="2"/>
  <c r="O104" i="2"/>
  <c r="N104" i="2"/>
  <c r="M104" i="2"/>
  <c r="F104" i="2"/>
  <c r="B104" i="2"/>
  <c r="N103" i="2"/>
  <c r="O103" i="2" s="1"/>
  <c r="M103" i="2"/>
  <c r="F103" i="2"/>
  <c r="B103" i="2"/>
  <c r="N102" i="2"/>
  <c r="O102" i="2" s="1"/>
  <c r="M102" i="2"/>
  <c r="F102" i="2"/>
  <c r="B102" i="2"/>
  <c r="O101" i="2"/>
  <c r="N101" i="2"/>
  <c r="M101" i="2"/>
  <c r="F101" i="2"/>
  <c r="B101" i="2"/>
  <c r="N100" i="2"/>
  <c r="O100" i="2" s="1"/>
  <c r="M100" i="2"/>
  <c r="F100" i="2"/>
  <c r="B100" i="2"/>
  <c r="O99" i="2"/>
  <c r="N99" i="2"/>
  <c r="M99" i="2"/>
  <c r="F99" i="2"/>
  <c r="B99" i="2"/>
  <c r="N98" i="2"/>
  <c r="O98" i="2" s="1"/>
  <c r="M98" i="2"/>
  <c r="F98" i="2"/>
  <c r="B98" i="2"/>
  <c r="O97" i="2"/>
  <c r="N97" i="2"/>
  <c r="M97" i="2"/>
  <c r="F97" i="2"/>
  <c r="B97" i="2"/>
  <c r="N96" i="2"/>
  <c r="O96" i="2" s="1"/>
  <c r="M96" i="2"/>
  <c r="F96" i="2"/>
  <c r="B96" i="2"/>
  <c r="O95" i="2"/>
  <c r="N95" i="2"/>
  <c r="M95" i="2"/>
  <c r="F95" i="2"/>
  <c r="B95" i="2"/>
  <c r="O94" i="2"/>
  <c r="N94" i="2"/>
  <c r="M94" i="2"/>
  <c r="F94" i="2"/>
  <c r="B94" i="2"/>
  <c r="N93" i="2"/>
  <c r="O93" i="2" s="1"/>
  <c r="M93" i="2"/>
  <c r="F93" i="2"/>
  <c r="B93" i="2"/>
  <c r="N92" i="2"/>
  <c r="O92" i="2" s="1"/>
  <c r="M92" i="2"/>
  <c r="F92" i="2"/>
  <c r="B92" i="2"/>
  <c r="N91" i="2"/>
  <c r="O91" i="2" s="1"/>
  <c r="M91" i="2"/>
  <c r="F91" i="2"/>
  <c r="B91" i="2"/>
  <c r="N90" i="2"/>
  <c r="O90" i="2" s="1"/>
  <c r="M90" i="2"/>
  <c r="F90" i="2"/>
  <c r="B90" i="2"/>
  <c r="O89" i="2"/>
  <c r="N89" i="2"/>
  <c r="M89" i="2"/>
  <c r="F89" i="2"/>
  <c r="B89" i="2"/>
  <c r="N88" i="2"/>
  <c r="O88" i="2" s="1"/>
  <c r="M88" i="2"/>
  <c r="F88" i="2"/>
  <c r="B88" i="2"/>
  <c r="N87" i="2"/>
  <c r="O87" i="2" s="1"/>
  <c r="M87" i="2"/>
  <c r="F87" i="2"/>
  <c r="B87" i="2"/>
  <c r="N86" i="2"/>
  <c r="O86" i="2" s="1"/>
  <c r="M86" i="2"/>
  <c r="F86" i="2"/>
  <c r="B86" i="2"/>
  <c r="N85" i="2"/>
  <c r="O85" i="2" s="1"/>
  <c r="M85" i="2"/>
  <c r="F85" i="2"/>
  <c r="B85" i="2"/>
  <c r="N84" i="2"/>
  <c r="O84" i="2" s="1"/>
  <c r="M84" i="2"/>
  <c r="F84" i="2"/>
  <c r="B84" i="2"/>
  <c r="N83" i="2"/>
  <c r="O83" i="2" s="1"/>
  <c r="M83" i="2"/>
  <c r="F83" i="2"/>
  <c r="B83" i="2"/>
  <c r="O82" i="2"/>
  <c r="N82" i="2"/>
  <c r="M82" i="2"/>
  <c r="F82" i="2"/>
  <c r="B82" i="2"/>
  <c r="N81" i="2"/>
  <c r="O81" i="2" s="1"/>
  <c r="M81" i="2"/>
  <c r="F81" i="2"/>
  <c r="B81" i="2"/>
  <c r="N80" i="2"/>
  <c r="O80" i="2" s="1"/>
  <c r="M80" i="2"/>
  <c r="F80" i="2"/>
  <c r="B80" i="2"/>
  <c r="N79" i="2"/>
  <c r="O79" i="2" s="1"/>
  <c r="M79" i="2"/>
  <c r="F79" i="2"/>
  <c r="B79" i="2"/>
  <c r="O78" i="2"/>
  <c r="N78" i="2"/>
  <c r="M78" i="2"/>
  <c r="F78" i="2"/>
  <c r="B78" i="2"/>
  <c r="N77" i="2"/>
  <c r="O77" i="2" s="1"/>
  <c r="M77" i="2"/>
  <c r="F77" i="2"/>
  <c r="B77" i="2"/>
  <c r="N76" i="2"/>
  <c r="O76" i="2" s="1"/>
  <c r="M76" i="2"/>
  <c r="F76" i="2"/>
  <c r="B76" i="2"/>
  <c r="N75" i="2"/>
  <c r="O75" i="2" s="1"/>
  <c r="M75" i="2"/>
  <c r="F75" i="2"/>
  <c r="B75" i="2"/>
  <c r="N74" i="2"/>
  <c r="O74" i="2" s="1"/>
  <c r="M74" i="2"/>
  <c r="AE6" i="1" s="1"/>
  <c r="AF6" i="1" s="1"/>
  <c r="F74" i="2"/>
  <c r="B74" i="2"/>
  <c r="N73" i="2"/>
  <c r="O73" i="2" s="1"/>
  <c r="M73" i="2"/>
  <c r="F73" i="2"/>
  <c r="B73" i="2"/>
  <c r="O72" i="2"/>
  <c r="N72" i="2"/>
  <c r="M72" i="2"/>
  <c r="F72" i="2"/>
  <c r="B72" i="2"/>
  <c r="N71" i="2"/>
  <c r="O71" i="2" s="1"/>
  <c r="M71" i="2"/>
  <c r="F71" i="2"/>
  <c r="B71" i="2"/>
  <c r="N70" i="2"/>
  <c r="O70" i="2" s="1"/>
  <c r="M70" i="2"/>
  <c r="F70" i="2"/>
  <c r="B70" i="2"/>
  <c r="N69" i="2"/>
  <c r="O69" i="2" s="1"/>
  <c r="M69" i="2"/>
  <c r="F69" i="2"/>
  <c r="B69" i="2"/>
  <c r="N68" i="2"/>
  <c r="O68" i="2" s="1"/>
  <c r="M68" i="2"/>
  <c r="F68" i="2"/>
  <c r="B68" i="2"/>
  <c r="O67" i="2"/>
  <c r="N67" i="2"/>
  <c r="M67" i="2"/>
  <c r="F67" i="2"/>
  <c r="B67" i="2"/>
  <c r="O66" i="2"/>
  <c r="N66" i="2"/>
  <c r="M66" i="2"/>
  <c r="F66" i="2"/>
  <c r="B66" i="2"/>
  <c r="N65" i="2"/>
  <c r="O65" i="2" s="1"/>
  <c r="M65" i="2"/>
  <c r="F65" i="2"/>
  <c r="B65" i="2"/>
  <c r="O64" i="2"/>
  <c r="N64" i="2"/>
  <c r="M64" i="2"/>
  <c r="F64" i="2"/>
  <c r="B64" i="2"/>
  <c r="N63" i="2"/>
  <c r="O63" i="2" s="1"/>
  <c r="M63" i="2"/>
  <c r="F63" i="2"/>
  <c r="B63" i="2"/>
  <c r="O62" i="2"/>
  <c r="N62" i="2"/>
  <c r="M62" i="2"/>
  <c r="F62" i="2"/>
  <c r="B62" i="2"/>
  <c r="N61" i="2"/>
  <c r="O61" i="2" s="1"/>
  <c r="M61" i="2"/>
  <c r="F61" i="2"/>
  <c r="B61" i="2"/>
  <c r="N60" i="2"/>
  <c r="O60" i="2" s="1"/>
  <c r="M60" i="2"/>
  <c r="F60" i="2"/>
  <c r="B60" i="2"/>
  <c r="N59" i="2"/>
  <c r="O59" i="2" s="1"/>
  <c r="M59" i="2"/>
  <c r="F59" i="2"/>
  <c r="B59" i="2"/>
  <c r="N58" i="2"/>
  <c r="O58" i="2" s="1"/>
  <c r="M58" i="2"/>
  <c r="F58" i="2"/>
  <c r="B58" i="2"/>
  <c r="N57" i="2"/>
  <c r="O57" i="2" s="1"/>
  <c r="M57" i="2"/>
  <c r="F57" i="2"/>
  <c r="B57" i="2"/>
  <c r="O56" i="2"/>
  <c r="N56" i="2"/>
  <c r="M56" i="2"/>
  <c r="F56" i="2"/>
  <c r="B56" i="2"/>
  <c r="O55" i="2"/>
  <c r="N55" i="2"/>
  <c r="M55" i="2"/>
  <c r="F55" i="2"/>
  <c r="B55" i="2"/>
  <c r="O54" i="2"/>
  <c r="N54" i="2"/>
  <c r="M54" i="2"/>
  <c r="F54" i="2"/>
  <c r="B54" i="2"/>
  <c r="N53" i="2"/>
  <c r="O53" i="2" s="1"/>
  <c r="M53" i="2"/>
  <c r="F53" i="2"/>
  <c r="B53" i="2"/>
  <c r="O52" i="2"/>
  <c r="N52" i="2"/>
  <c r="M52" i="2"/>
  <c r="F52" i="2"/>
  <c r="B52" i="2"/>
  <c r="N51" i="2"/>
  <c r="O51" i="2" s="1"/>
  <c r="M51" i="2"/>
  <c r="F51" i="2"/>
  <c r="B51" i="2"/>
  <c r="O50" i="2"/>
  <c r="N50" i="2"/>
  <c r="M50" i="2"/>
  <c r="F50" i="2"/>
  <c r="B50" i="2"/>
  <c r="N49" i="2"/>
  <c r="O49" i="2" s="1"/>
  <c r="M49" i="2"/>
  <c r="F49" i="2"/>
  <c r="B49" i="2"/>
  <c r="O48" i="2"/>
  <c r="N48" i="2"/>
  <c r="M48" i="2"/>
  <c r="F48" i="2"/>
  <c r="B48" i="2"/>
  <c r="O47" i="2"/>
  <c r="N47" i="2"/>
  <c r="M47" i="2"/>
  <c r="F47" i="2"/>
  <c r="B47" i="2"/>
  <c r="O46" i="2"/>
  <c r="N46" i="2"/>
  <c r="M46" i="2"/>
  <c r="F46" i="2"/>
  <c r="B46" i="2"/>
  <c r="N45" i="2"/>
  <c r="O45" i="2" s="1"/>
  <c r="M45" i="2"/>
  <c r="F45" i="2"/>
  <c r="B45" i="2"/>
  <c r="N44" i="2"/>
  <c r="O44" i="2" s="1"/>
  <c r="M44" i="2"/>
  <c r="F44" i="2"/>
  <c r="O36" i="1" s="1"/>
  <c r="B44" i="2"/>
  <c r="O43" i="2"/>
  <c r="N43" i="2"/>
  <c r="M43" i="2"/>
  <c r="F43" i="2"/>
  <c r="B43" i="2"/>
  <c r="N42" i="2"/>
  <c r="O42" i="2" s="1"/>
  <c r="M42" i="2"/>
  <c r="F42" i="2"/>
  <c r="B42" i="2"/>
  <c r="N41" i="2"/>
  <c r="O41" i="2" s="1"/>
  <c r="M41" i="2"/>
  <c r="F41" i="2"/>
  <c r="B41" i="2"/>
  <c r="N40" i="2"/>
  <c r="O40" i="2" s="1"/>
  <c r="M40" i="2"/>
  <c r="F40" i="2"/>
  <c r="B40" i="2"/>
  <c r="N39" i="2"/>
  <c r="O39" i="2" s="1"/>
  <c r="M39" i="2"/>
  <c r="F39" i="2"/>
  <c r="B39" i="2"/>
  <c r="N38" i="2"/>
  <c r="O38" i="2" s="1"/>
  <c r="M38" i="2"/>
  <c r="F38" i="2"/>
  <c r="B38" i="2"/>
  <c r="N37" i="2"/>
  <c r="O37" i="2" s="1"/>
  <c r="M37" i="2"/>
  <c r="F37" i="2"/>
  <c r="B37" i="2"/>
  <c r="O36" i="2"/>
  <c r="N36" i="2"/>
  <c r="M36" i="2"/>
  <c r="F36" i="2"/>
  <c r="B36" i="2"/>
  <c r="N35" i="2"/>
  <c r="O35" i="2" s="1"/>
  <c r="M35" i="2"/>
  <c r="F35" i="2"/>
  <c r="B35" i="2"/>
  <c r="N34" i="2"/>
  <c r="O34" i="2" s="1"/>
  <c r="M34" i="2"/>
  <c r="F34" i="2"/>
  <c r="B34" i="2"/>
  <c r="N33" i="2"/>
  <c r="O33" i="2" s="1"/>
  <c r="M33" i="2"/>
  <c r="F33" i="2"/>
  <c r="B33" i="2"/>
  <c r="N32" i="2"/>
  <c r="O32" i="2" s="1"/>
  <c r="M32" i="2"/>
  <c r="F32" i="2"/>
  <c r="B32" i="2"/>
  <c r="O31" i="2"/>
  <c r="N31" i="2"/>
  <c r="M31" i="2"/>
  <c r="F31" i="2"/>
  <c r="B31" i="2"/>
  <c r="N30" i="2"/>
  <c r="O30" i="2" s="1"/>
  <c r="M30" i="2"/>
  <c r="F30" i="2"/>
  <c r="B30" i="2"/>
  <c r="N29" i="2"/>
  <c r="O29" i="2" s="1"/>
  <c r="M29" i="2"/>
  <c r="F29" i="2"/>
  <c r="B29" i="2"/>
  <c r="N28" i="2"/>
  <c r="O28" i="2" s="1"/>
  <c r="M28" i="2"/>
  <c r="F28" i="2"/>
  <c r="B28" i="2"/>
  <c r="N27" i="2"/>
  <c r="O27" i="2" s="1"/>
  <c r="M27" i="2"/>
  <c r="F27" i="2"/>
  <c r="B27" i="2"/>
  <c r="O26" i="2"/>
  <c r="N26" i="2"/>
  <c r="M26" i="2"/>
  <c r="F26" i="2"/>
  <c r="B26" i="2"/>
  <c r="N25" i="2"/>
  <c r="O25" i="2" s="1"/>
  <c r="M25" i="2"/>
  <c r="F25" i="2"/>
  <c r="B25" i="2"/>
  <c r="O24" i="2"/>
  <c r="N24" i="2"/>
  <c r="M24" i="2"/>
  <c r="F24" i="2"/>
  <c r="B24" i="2"/>
  <c r="N23" i="2"/>
  <c r="O23" i="2" s="1"/>
  <c r="M23" i="2"/>
  <c r="F23" i="2"/>
  <c r="B23" i="2"/>
  <c r="N22" i="2"/>
  <c r="O22" i="2" s="1"/>
  <c r="M22" i="2"/>
  <c r="F22" i="2"/>
  <c r="B22" i="2"/>
  <c r="N21" i="2"/>
  <c r="O21" i="2" s="1"/>
  <c r="M21" i="2"/>
  <c r="F21" i="2"/>
  <c r="B21" i="2"/>
  <c r="N20" i="2"/>
  <c r="O20" i="2" s="1"/>
  <c r="M20" i="2"/>
  <c r="F20" i="2"/>
  <c r="B20" i="2"/>
  <c r="N19" i="2"/>
  <c r="O19" i="2" s="1"/>
  <c r="M19" i="2"/>
  <c r="F19" i="2"/>
  <c r="B19" i="2"/>
  <c r="N18" i="2"/>
  <c r="O18" i="2" s="1"/>
  <c r="M18" i="2"/>
  <c r="F18" i="2"/>
  <c r="B18" i="2"/>
  <c r="O17" i="2"/>
  <c r="N17" i="2"/>
  <c r="M17" i="2"/>
  <c r="F17" i="2"/>
  <c r="B17" i="2"/>
  <c r="O16" i="2"/>
  <c r="N16" i="2"/>
  <c r="M16" i="2"/>
  <c r="F16" i="2"/>
  <c r="B16" i="2"/>
  <c r="N15" i="2"/>
  <c r="O15" i="2" s="1"/>
  <c r="M15" i="2"/>
  <c r="F15" i="2"/>
  <c r="B15" i="2"/>
  <c r="O14" i="2"/>
  <c r="N14" i="2"/>
  <c r="M14" i="2"/>
  <c r="F14" i="2"/>
  <c r="B14" i="2"/>
  <c r="N13" i="2"/>
  <c r="O13" i="2" s="1"/>
  <c r="M13" i="2"/>
  <c r="F13" i="2"/>
  <c r="B13" i="2"/>
  <c r="O12" i="2"/>
  <c r="N12" i="2"/>
  <c r="M12" i="2"/>
  <c r="F12" i="2"/>
  <c r="B12" i="2"/>
  <c r="N11" i="2"/>
  <c r="O11" i="2" s="1"/>
  <c r="M11" i="2"/>
  <c r="F11" i="2"/>
  <c r="B11" i="2"/>
  <c r="N10" i="2"/>
  <c r="O10" i="2" s="1"/>
  <c r="M10" i="2"/>
  <c r="F10" i="2"/>
  <c r="B10" i="2"/>
  <c r="N9" i="2"/>
  <c r="O9" i="2" s="1"/>
  <c r="M9" i="2"/>
  <c r="F9" i="2"/>
  <c r="B9" i="2"/>
  <c r="J5" i="2"/>
  <c r="B5" i="2"/>
  <c r="P2" i="2"/>
  <c r="B1" i="2"/>
  <c r="R51" i="1"/>
  <c r="Q51" i="1"/>
  <c r="P51" i="1"/>
  <c r="O51" i="1"/>
  <c r="M51" i="1"/>
  <c r="P50" i="1"/>
  <c r="O50" i="1"/>
  <c r="M50" i="1"/>
  <c r="R49" i="1"/>
  <c r="M49" i="1"/>
  <c r="R48" i="1"/>
  <c r="P48" i="1"/>
  <c r="Q48" i="1" s="1"/>
  <c r="O48" i="1"/>
  <c r="M48" i="1"/>
  <c r="M47" i="1"/>
  <c r="M46" i="1"/>
  <c r="M45" i="1"/>
  <c r="G45" i="1"/>
  <c r="M44" i="1"/>
  <c r="G44" i="1"/>
  <c r="G43" i="1"/>
  <c r="G42" i="1"/>
  <c r="G41" i="1"/>
  <c r="I41" i="1" s="1"/>
  <c r="G40" i="1"/>
  <c r="G39" i="1"/>
  <c r="D39" i="1"/>
  <c r="R38" i="1"/>
  <c r="P38" i="1"/>
  <c r="O38" i="1"/>
  <c r="M38" i="1"/>
  <c r="G38" i="1"/>
  <c r="M37" i="1"/>
  <c r="G37" i="1"/>
  <c r="M36" i="1"/>
  <c r="G36" i="1"/>
  <c r="M35" i="1"/>
  <c r="G35" i="1"/>
  <c r="M34" i="1"/>
  <c r="G34" i="1"/>
  <c r="C29" i="1"/>
  <c r="C27" i="1"/>
  <c r="V26" i="1"/>
  <c r="C21" i="1"/>
  <c r="C19" i="1"/>
  <c r="C17" i="1"/>
  <c r="AD15" i="1"/>
  <c r="Z15" i="1"/>
  <c r="Y15" i="1"/>
  <c r="C15" i="1"/>
  <c r="AD14" i="1"/>
  <c r="Z14" i="1"/>
  <c r="AE13" i="1"/>
  <c r="AF13" i="1" s="1"/>
  <c r="AD13" i="1"/>
  <c r="Z13" i="1"/>
  <c r="C13" i="1"/>
  <c r="AD12" i="1"/>
  <c r="Z12" i="1"/>
  <c r="M12" i="1"/>
  <c r="AD11" i="1"/>
  <c r="Z11" i="1"/>
  <c r="Y11" i="1"/>
  <c r="C11" i="1"/>
  <c r="AD10" i="1"/>
  <c r="Z10" i="1"/>
  <c r="M10" i="1"/>
  <c r="AE9" i="1"/>
  <c r="AD9" i="1"/>
  <c r="AF9" i="1" s="1"/>
  <c r="Z9" i="1"/>
  <c r="AD8" i="1"/>
  <c r="Z8" i="1"/>
  <c r="Y8" i="1"/>
  <c r="P8" i="1"/>
  <c r="C8" i="1"/>
  <c r="AD7" i="1"/>
  <c r="Z7" i="1"/>
  <c r="X7" i="1"/>
  <c r="AD6" i="1"/>
  <c r="Z6" i="1"/>
  <c r="C6" i="1"/>
  <c r="AD5" i="1"/>
  <c r="Z5" i="1"/>
  <c r="Y5" i="1"/>
  <c r="AD4" i="1"/>
  <c r="Z4" i="1"/>
  <c r="V4" i="1"/>
  <c r="V6" i="1" s="1"/>
  <c r="V3" i="1"/>
  <c r="V5" i="1" s="1"/>
  <c r="V7" i="1" s="1"/>
  <c r="G3" i="1"/>
  <c r="C3" i="1"/>
  <c r="AF10" i="1" l="1"/>
  <c r="P159" i="3"/>
  <c r="P36" i="1"/>
  <c r="P37" i="1"/>
  <c r="AE8" i="1"/>
  <c r="AF8" i="1" s="1"/>
  <c r="P201" i="3"/>
  <c r="P109" i="3"/>
  <c r="P239" i="3"/>
  <c r="P441" i="3"/>
  <c r="AE5" i="1"/>
  <c r="X5" i="1"/>
  <c r="Z106" i="3"/>
  <c r="Z107" i="3" s="1"/>
  <c r="AA106" i="3"/>
  <c r="P106" i="3"/>
  <c r="P115" i="3"/>
  <c r="P263" i="3"/>
  <c r="G5" i="2"/>
  <c r="V23" i="1"/>
  <c r="E5" i="2"/>
  <c r="AE4" i="1"/>
  <c r="AC7" i="1"/>
  <c r="Y4" i="1"/>
  <c r="V24" i="1"/>
  <c r="AE7" i="1"/>
  <c r="AF7" i="1" s="1"/>
  <c r="Z93" i="3"/>
  <c r="Q93" i="3"/>
  <c r="P93" i="3"/>
  <c r="P307" i="3"/>
  <c r="Z90" i="3"/>
  <c r="Z91" i="3" s="1"/>
  <c r="Z92" i="3" s="1"/>
  <c r="P90" i="3"/>
  <c r="AA90" i="3"/>
  <c r="AA94" i="3"/>
  <c r="P94" i="3"/>
  <c r="P138" i="3"/>
  <c r="P34" i="3"/>
  <c r="Q34" i="3"/>
  <c r="V34" i="3" s="1"/>
  <c r="AA34" i="3"/>
  <c r="P126" i="3"/>
  <c r="AA126" i="3"/>
  <c r="AA127" i="3" s="1"/>
  <c r="Z126" i="3"/>
  <c r="AB7" i="1"/>
  <c r="X15" i="1"/>
  <c r="AE15" i="1"/>
  <c r="V24" i="3"/>
  <c r="AD24" i="3"/>
  <c r="AC24" i="3"/>
  <c r="P175" i="3"/>
  <c r="P187" i="3"/>
  <c r="AB13" i="1"/>
  <c r="AA7" i="1"/>
  <c r="AF12" i="1"/>
  <c r="P49" i="1"/>
  <c r="Q49" i="1" s="1"/>
  <c r="O49" i="1"/>
  <c r="X12" i="1"/>
  <c r="AE12" i="1"/>
  <c r="AC4" i="1"/>
  <c r="P43" i="3"/>
  <c r="AA43" i="3"/>
  <c r="AA44" i="3" s="1"/>
  <c r="Z43" i="3"/>
  <c r="P101" i="3"/>
  <c r="P364" i="3"/>
  <c r="P235" i="3"/>
  <c r="P37" i="3"/>
  <c r="AC8" i="1"/>
  <c r="I38" i="1"/>
  <c r="I36" i="1"/>
  <c r="K45" i="1" s="1"/>
  <c r="I34" i="1"/>
  <c r="I40" i="1"/>
  <c r="V17" i="1"/>
  <c r="G52" i="1" s="1"/>
  <c r="P47" i="1"/>
  <c r="Q47" i="1" s="1"/>
  <c r="R47" i="1"/>
  <c r="I43" i="1"/>
  <c r="V15" i="1"/>
  <c r="V8" i="1"/>
  <c r="V22" i="1"/>
  <c r="P12" i="1" s="1"/>
  <c r="V10" i="1"/>
  <c r="V21" i="1"/>
  <c r="P11" i="1" s="1"/>
  <c r="V12" i="1"/>
  <c r="V28" i="1" s="1"/>
  <c r="M11" i="1" s="1"/>
  <c r="R39" i="1"/>
  <c r="P34" i="1"/>
  <c r="O34" i="1"/>
  <c r="V16" i="1"/>
  <c r="G50" i="1" s="1"/>
  <c r="P39" i="1"/>
  <c r="V14" i="1"/>
  <c r="M8" i="1" s="1"/>
  <c r="V9" i="1"/>
  <c r="G8" i="1" s="1"/>
  <c r="R44" i="1"/>
  <c r="O45" i="1"/>
  <c r="R34" i="1"/>
  <c r="V11" i="1"/>
  <c r="V13" i="1"/>
  <c r="P141" i="3"/>
  <c r="Z145" i="3"/>
  <c r="P145" i="3"/>
  <c r="AA145" i="3"/>
  <c r="P131" i="3"/>
  <c r="AA131" i="3"/>
  <c r="P178" i="3"/>
  <c r="P248" i="3"/>
  <c r="AD77" i="3"/>
  <c r="AC77" i="3"/>
  <c r="V77" i="3"/>
  <c r="AA122" i="3"/>
  <c r="P122" i="3"/>
  <c r="P167" i="3"/>
  <c r="X4" i="1"/>
  <c r="O39" i="1"/>
  <c r="P227" i="3"/>
  <c r="Q50" i="3"/>
  <c r="V50" i="3" s="1"/>
  <c r="P59" i="3"/>
  <c r="AA59" i="3"/>
  <c r="AA60" i="3" s="1"/>
  <c r="P65" i="3"/>
  <c r="P282" i="3"/>
  <c r="P314" i="3"/>
  <c r="P407" i="3"/>
  <c r="P427" i="3"/>
  <c r="P439" i="3"/>
  <c r="P465" i="3"/>
  <c r="AA107" i="3"/>
  <c r="AA108" i="3" s="1"/>
  <c r="AA109" i="3" s="1"/>
  <c r="P107" i="3"/>
  <c r="P120" i="3"/>
  <c r="P136" i="3"/>
  <c r="AA136" i="3"/>
  <c r="Z136" i="3"/>
  <c r="P42" i="3"/>
  <c r="P266" i="3"/>
  <c r="P365" i="3"/>
  <c r="P395" i="3"/>
  <c r="R45" i="1"/>
  <c r="P45" i="1"/>
  <c r="Q45" i="1" s="1"/>
  <c r="X6" i="1"/>
  <c r="P69" i="3"/>
  <c r="P345" i="3"/>
  <c r="N19" i="4"/>
  <c r="J19" i="4"/>
  <c r="L19" i="4" s="1"/>
  <c r="I19" i="4"/>
  <c r="H19" i="4"/>
  <c r="K19" i="4" s="1"/>
  <c r="M19" i="4" s="1"/>
  <c r="AA42" i="3"/>
  <c r="P85" i="3"/>
  <c r="Z117" i="3"/>
  <c r="AA117" i="3"/>
  <c r="P117" i="3"/>
  <c r="P193" i="3"/>
  <c r="P373" i="3"/>
  <c r="AF4" i="1"/>
  <c r="AA65" i="3"/>
  <c r="AA66" i="3" s="1"/>
  <c r="Q67" i="3" s="1"/>
  <c r="P387" i="3"/>
  <c r="AA45" i="3"/>
  <c r="AA46" i="3" s="1"/>
  <c r="AA47" i="3" s="1"/>
  <c r="AA48" i="3" s="1"/>
  <c r="P45" i="3"/>
  <c r="AC11" i="1"/>
  <c r="AB15" i="1"/>
  <c r="AC6" i="1"/>
  <c r="AC15" i="1"/>
  <c r="I35" i="1"/>
  <c r="AA102" i="3"/>
  <c r="AA103" i="3" s="1"/>
  <c r="P102" i="3"/>
  <c r="Z102" i="3"/>
  <c r="Y124" i="3"/>
  <c r="P237" i="3"/>
  <c r="P340" i="3"/>
  <c r="R37" i="1"/>
  <c r="O37" i="1"/>
  <c r="AB10" i="1"/>
  <c r="Y146" i="3"/>
  <c r="P275" i="3"/>
  <c r="AF14" i="1"/>
  <c r="AC39" i="3"/>
  <c r="AD39" i="3"/>
  <c r="Y110" i="3"/>
  <c r="AF5" i="1"/>
  <c r="AF11" i="1"/>
  <c r="I45" i="1"/>
  <c r="AF15" i="1"/>
  <c r="I39" i="1"/>
  <c r="P46" i="1"/>
  <c r="Y99" i="3"/>
  <c r="P166" i="3"/>
  <c r="P303" i="3"/>
  <c r="P353" i="3"/>
  <c r="P393" i="3"/>
  <c r="G5" i="3"/>
  <c r="P246" i="3"/>
  <c r="Q78" i="3"/>
  <c r="P78" i="3"/>
  <c r="AA78" i="3"/>
  <c r="V78" i="3"/>
  <c r="X10" i="1"/>
  <c r="Q79" i="3"/>
  <c r="P79" i="3"/>
  <c r="Z79" i="3"/>
  <c r="AA79" i="3"/>
  <c r="P286" i="3"/>
  <c r="P251" i="3"/>
  <c r="P473" i="3"/>
  <c r="I44" i="1"/>
  <c r="Y84" i="3"/>
  <c r="Q91" i="3"/>
  <c r="Z78" i="3"/>
  <c r="P174" i="3"/>
  <c r="AB6" i="1"/>
  <c r="AC9" i="1"/>
  <c r="Z12" i="3"/>
  <c r="Q12" i="3"/>
  <c r="AA137" i="3"/>
  <c r="AA138" i="3" s="1"/>
  <c r="AA139" i="3" s="1"/>
  <c r="P198" i="3"/>
  <c r="P225" i="3"/>
  <c r="I37" i="1"/>
  <c r="D38" i="1"/>
  <c r="D36" i="1"/>
  <c r="I5" i="2"/>
  <c r="P176" i="3"/>
  <c r="P380" i="3"/>
  <c r="AA11" i="1"/>
  <c r="AC13" i="1"/>
  <c r="Z53" i="3"/>
  <c r="AA53" i="3"/>
  <c r="V66" i="3"/>
  <c r="P66" i="3"/>
  <c r="Q66" i="3"/>
  <c r="P91" i="3"/>
  <c r="AA118" i="3"/>
  <c r="P118" i="3"/>
  <c r="P276" i="3"/>
  <c r="P298" i="3"/>
  <c r="AB11" i="1"/>
  <c r="R50" i="1"/>
  <c r="Q50" i="1"/>
  <c r="Y10" i="1"/>
  <c r="Y20" i="3"/>
  <c r="E5" i="3"/>
  <c r="P27" i="3"/>
  <c r="Y61" i="3"/>
  <c r="Z66" i="3"/>
  <c r="Z118" i="3"/>
  <c r="Q119" i="3" s="1"/>
  <c r="Z121" i="3"/>
  <c r="Q122" i="3" s="1"/>
  <c r="P121" i="3"/>
  <c r="AA121" i="3"/>
  <c r="Y150" i="3"/>
  <c r="P242" i="3"/>
  <c r="P51" i="3"/>
  <c r="Z51" i="3"/>
  <c r="AA51" i="3"/>
  <c r="Q80" i="3"/>
  <c r="AA80" i="3"/>
  <c r="AA81" i="3" s="1"/>
  <c r="Z80" i="3"/>
  <c r="Q81" i="3" s="1"/>
  <c r="P80" i="3"/>
  <c r="Y86" i="3"/>
  <c r="P217" i="3"/>
  <c r="N9" i="4"/>
  <c r="J9" i="4"/>
  <c r="I9" i="4"/>
  <c r="H9" i="4"/>
  <c r="K9" i="4" s="1"/>
  <c r="M9" i="4" s="1"/>
  <c r="AC5" i="1"/>
  <c r="P77" i="3"/>
  <c r="Z77" i="3"/>
  <c r="AA77" i="3"/>
  <c r="P334" i="3"/>
  <c r="R35" i="1"/>
  <c r="O46" i="1"/>
  <c r="O35" i="1"/>
  <c r="Y6" i="1"/>
  <c r="AE11" i="1"/>
  <c r="AA15" i="1"/>
  <c r="Y75" i="3"/>
  <c r="P100" i="3"/>
  <c r="Y148" i="3"/>
  <c r="P238" i="3"/>
  <c r="P279" i="3"/>
  <c r="P477" i="3"/>
  <c r="P322" i="3"/>
  <c r="P349" i="3"/>
  <c r="P506" i="3"/>
  <c r="Y12" i="1"/>
  <c r="P160" i="3"/>
  <c r="P484" i="3"/>
  <c r="AB14" i="1"/>
  <c r="R46" i="1"/>
  <c r="AC14" i="1"/>
  <c r="P35" i="1"/>
  <c r="I42" i="1"/>
  <c r="K42" i="1" s="1"/>
  <c r="Q46" i="1"/>
  <c r="P67" i="3"/>
  <c r="Z67" i="3"/>
  <c r="Y154" i="3"/>
  <c r="P229" i="3"/>
  <c r="P342" i="3"/>
  <c r="P470" i="3"/>
  <c r="P475" i="3"/>
  <c r="AA91" i="3"/>
  <c r="AA92" i="3" s="1"/>
  <c r="AA41" i="3"/>
  <c r="P49" i="3"/>
  <c r="AA67" i="3"/>
  <c r="P108" i="3"/>
  <c r="P304" i="3"/>
  <c r="P357" i="3"/>
  <c r="P458" i="3"/>
  <c r="Y35" i="3"/>
  <c r="Y64" i="3"/>
  <c r="P233" i="3"/>
  <c r="P310" i="3"/>
  <c r="AC10" i="1"/>
  <c r="AC12" i="1"/>
  <c r="Z49" i="3"/>
  <c r="Z50" i="3" s="1"/>
  <c r="Q51" i="3" s="1"/>
  <c r="AA57" i="3"/>
  <c r="Z57" i="3"/>
  <c r="AA114" i="3"/>
  <c r="AA115" i="3" s="1"/>
  <c r="AA116" i="3" s="1"/>
  <c r="P114" i="3"/>
  <c r="Z114" i="3"/>
  <c r="Z115" i="3" s="1"/>
  <c r="P323" i="3"/>
  <c r="P113" i="3"/>
  <c r="AE14" i="1"/>
  <c r="AA16" i="3"/>
  <c r="AA17" i="3" s="1"/>
  <c r="AA18" i="3" s="1"/>
  <c r="AA19" i="3" s="1"/>
  <c r="Z16" i="3"/>
  <c r="V83" i="3"/>
  <c r="AA83" i="3"/>
  <c r="P88" i="3"/>
  <c r="P206" i="3"/>
  <c r="P214" i="3"/>
  <c r="Z129" i="3"/>
  <c r="AA129" i="3"/>
  <c r="AA130" i="3" s="1"/>
  <c r="AA153" i="3"/>
  <c r="Z83" i="3"/>
  <c r="P218" i="3"/>
  <c r="P335" i="3"/>
  <c r="P485" i="3"/>
  <c r="P30" i="3"/>
  <c r="P321" i="3"/>
  <c r="AA5" i="1"/>
  <c r="AA8" i="1"/>
  <c r="AB5" i="1"/>
  <c r="AB8" i="1"/>
  <c r="AA10" i="1"/>
  <c r="AA13" i="1"/>
  <c r="Z26" i="3"/>
  <c r="P47" i="3"/>
  <c r="Z81" i="3"/>
  <c r="Q82" i="3" s="1"/>
  <c r="P81" i="3"/>
  <c r="AA95" i="3"/>
  <c r="AA96" i="3" s="1"/>
  <c r="AA97" i="3" s="1"/>
  <c r="P95" i="3"/>
  <c r="P156" i="3"/>
  <c r="X14" i="1"/>
  <c r="P15" i="3"/>
  <c r="AA58" i="3"/>
  <c r="P58" i="3"/>
  <c r="AA98" i="3"/>
  <c r="Z98" i="3"/>
  <c r="P144" i="3"/>
  <c r="AA152" i="3"/>
  <c r="Z152" i="3"/>
  <c r="Q153" i="3" s="1"/>
  <c r="P368" i="3"/>
  <c r="P383" i="3"/>
  <c r="P105" i="3"/>
  <c r="P213" i="3"/>
  <c r="P352" i="3"/>
  <c r="P17" i="3"/>
  <c r="Y56" i="3"/>
  <c r="P270" i="3"/>
  <c r="P376" i="3"/>
  <c r="O47" i="1"/>
  <c r="V23" i="3"/>
  <c r="AA4" i="1"/>
  <c r="AA9" i="1"/>
  <c r="AA12" i="1"/>
  <c r="P44" i="1"/>
  <c r="Q44" i="1" s="1"/>
  <c r="O44" i="1"/>
  <c r="Y13" i="3"/>
  <c r="AA29" i="3"/>
  <c r="AA30" i="3" s="1"/>
  <c r="AA52" i="3"/>
  <c r="Y128" i="3"/>
  <c r="P155" i="3"/>
  <c r="P300" i="3"/>
  <c r="P302" i="3"/>
  <c r="P385" i="3"/>
  <c r="P425" i="3"/>
  <c r="AB4" i="1"/>
  <c r="AA6" i="1"/>
  <c r="AB9" i="1"/>
  <c r="AB12" i="1"/>
  <c r="AA14" i="1"/>
  <c r="P19" i="3"/>
  <c r="P50" i="3"/>
  <c r="Y71" i="3"/>
  <c r="P73" i="3"/>
  <c r="AA82" i="3"/>
  <c r="Z82" i="3"/>
  <c r="Q83" i="3" s="1"/>
  <c r="P119" i="3"/>
  <c r="AA119" i="3"/>
  <c r="AA120" i="3" s="1"/>
  <c r="Z133" i="3"/>
  <c r="Q134" i="3" s="1"/>
  <c r="Q133" i="3"/>
  <c r="P133" i="3"/>
  <c r="Y140" i="3"/>
  <c r="P228" i="3"/>
  <c r="P311" i="3"/>
  <c r="P359" i="3"/>
  <c r="P366" i="3"/>
  <c r="V10" i="3"/>
  <c r="P31" i="3"/>
  <c r="AA54" i="3"/>
  <c r="V63" i="3"/>
  <c r="AA123" i="3"/>
  <c r="P127" i="3"/>
  <c r="P162" i="3"/>
  <c r="P186" i="3"/>
  <c r="P222" i="3"/>
  <c r="P318" i="3"/>
  <c r="P418" i="3"/>
  <c r="AA10" i="3"/>
  <c r="AA11" i="3" s="1"/>
  <c r="AA12" i="3" s="1"/>
  <c r="AA24" i="3"/>
  <c r="Q25" i="3" s="1"/>
  <c r="AA31" i="3"/>
  <c r="AA32" i="3" s="1"/>
  <c r="Q33" i="3" s="1"/>
  <c r="P205" i="3"/>
  <c r="P338" i="3"/>
  <c r="P347" i="3"/>
  <c r="P371" i="3"/>
  <c r="V11" i="3"/>
  <c r="Y55" i="3"/>
  <c r="AA104" i="3"/>
  <c r="AA105" i="3" s="1"/>
  <c r="Q132" i="3"/>
  <c r="Z132" i="3"/>
  <c r="AA132" i="3"/>
  <c r="AA133" i="3" s="1"/>
  <c r="AA134" i="3" s="1"/>
  <c r="AA135" i="3" s="1"/>
  <c r="Z149" i="3"/>
  <c r="P149" i="3"/>
  <c r="P161" i="3"/>
  <c r="P223" i="3"/>
  <c r="Q32" i="3"/>
  <c r="Z39" i="3"/>
  <c r="AA149" i="3"/>
  <c r="P172" i="3"/>
  <c r="P348" i="3"/>
  <c r="P372" i="3"/>
  <c r="P378" i="3"/>
  <c r="P18" i="3"/>
  <c r="AA25" i="3"/>
  <c r="Q26" i="3" s="1"/>
  <c r="Z25" i="3"/>
  <c r="P25" i="3"/>
  <c r="Y147" i="3"/>
  <c r="P183" i="3"/>
  <c r="P241" i="3"/>
  <c r="P247" i="3"/>
  <c r="P257" i="3"/>
  <c r="P288" i="3"/>
  <c r="P294" i="3"/>
  <c r="P403" i="3"/>
  <c r="P443" i="3"/>
  <c r="P404" i="3"/>
  <c r="P429" i="3"/>
  <c r="P63" i="3"/>
  <c r="Q63" i="3"/>
  <c r="AA68" i="3"/>
  <c r="AA69" i="3" s="1"/>
  <c r="AA70" i="3" s="1"/>
  <c r="Y142" i="3"/>
  <c r="P204" i="3"/>
  <c r="P232" i="3"/>
  <c r="P268" i="3"/>
  <c r="P330" i="3"/>
  <c r="P360" i="3"/>
  <c r="P326" i="3"/>
  <c r="P362" i="3"/>
  <c r="P405" i="3"/>
  <c r="P423" i="3"/>
  <c r="P437" i="3"/>
  <c r="P177" i="3"/>
  <c r="P245" i="3"/>
  <c r="P324" i="3"/>
  <c r="P358" i="3"/>
  <c r="P369" i="3"/>
  <c r="P490" i="3"/>
  <c r="P112" i="3"/>
  <c r="P210" i="3"/>
  <c r="P212" i="3"/>
  <c r="P280" i="3"/>
  <c r="J11" i="4"/>
  <c r="L11" i="4" s="1"/>
  <c r="O11" i="4" s="1"/>
  <c r="I11" i="4"/>
  <c r="H11" i="4"/>
  <c r="K11" i="4" s="1"/>
  <c r="M11" i="4" s="1"/>
  <c r="J6" i="5"/>
  <c r="J7" i="5"/>
  <c r="F11" i="5" s="1"/>
  <c r="P169" i="3"/>
  <c r="P203" i="3"/>
  <c r="P486" i="3"/>
  <c r="J20" i="4"/>
  <c r="L20" i="4" s="1"/>
  <c r="I20" i="4"/>
  <c r="P336" i="3"/>
  <c r="P415" i="3"/>
  <c r="H16" i="4"/>
  <c r="K16" i="4" s="1"/>
  <c r="M16" i="4" s="1"/>
  <c r="O16" i="4" s="1"/>
  <c r="P283" i="3"/>
  <c r="P327" i="3"/>
  <c r="P457" i="3"/>
  <c r="V92" i="3"/>
  <c r="P262" i="3"/>
  <c r="P455" i="3"/>
  <c r="P482" i="3"/>
  <c r="P508" i="3"/>
  <c r="Q92" i="3"/>
  <c r="P191" i="3"/>
  <c r="P253" i="3"/>
  <c r="P264" i="3"/>
  <c r="P292" i="3"/>
  <c r="P308" i="3"/>
  <c r="P317" i="3"/>
  <c r="P319" i="3"/>
  <c r="P346" i="3"/>
  <c r="P350" i="3"/>
  <c r="P396" i="3"/>
  <c r="J13" i="4"/>
  <c r="L13" i="4" s="1"/>
  <c r="O13" i="4" s="1"/>
  <c r="H13" i="4"/>
  <c r="K13" i="4" s="1"/>
  <c r="M13" i="4" s="1"/>
  <c r="P250" i="3"/>
  <c r="P255" i="3"/>
  <c r="P325" i="3"/>
  <c r="P392" i="3"/>
  <c r="P467" i="3"/>
  <c r="I13" i="4"/>
  <c r="P411" i="3"/>
  <c r="P261" i="3"/>
  <c r="P274" i="3"/>
  <c r="P287" i="3"/>
  <c r="P488" i="3"/>
  <c r="P343" i="3"/>
  <c r="P480" i="3"/>
  <c r="P402" i="3"/>
  <c r="P408" i="3"/>
  <c r="P496" i="3"/>
  <c r="P505" i="3"/>
  <c r="P377" i="3"/>
  <c r="P410" i="3"/>
  <c r="P460" i="3"/>
  <c r="P379" i="3"/>
  <c r="P416" i="3"/>
  <c r="P444" i="3"/>
  <c r="P507" i="3"/>
  <c r="P351" i="3"/>
  <c r="P422" i="3"/>
  <c r="P430" i="3"/>
  <c r="P450" i="3"/>
  <c r="P333" i="3"/>
  <c r="P363" i="3"/>
  <c r="P434" i="3"/>
  <c r="P492" i="3"/>
  <c r="P401" i="3"/>
  <c r="P438" i="3"/>
  <c r="P479" i="3"/>
  <c r="P481" i="3"/>
  <c r="J10" i="4"/>
  <c r="H10" i="4"/>
  <c r="K10" i="4" s="1"/>
  <c r="M10" i="4" s="1"/>
  <c r="I10" i="4"/>
  <c r="P370" i="3"/>
  <c r="P382" i="3"/>
  <c r="P399" i="3"/>
  <c r="P468" i="3"/>
  <c r="P503" i="3"/>
  <c r="P493" i="3"/>
  <c r="P499" i="3"/>
  <c r="I14" i="4"/>
  <c r="J14" i="4"/>
  <c r="L14" i="4" s="1"/>
  <c r="P419" i="3"/>
  <c r="P436" i="3"/>
  <c r="P451" i="3"/>
  <c r="H14" i="4"/>
  <c r="K14" i="4" s="1"/>
  <c r="M14" i="4" s="1"/>
  <c r="P426" i="3"/>
  <c r="P447" i="3"/>
  <c r="N18" i="4"/>
  <c r="J18" i="4"/>
  <c r="L18" i="4" s="1"/>
  <c r="I18" i="4"/>
  <c r="H18" i="4"/>
  <c r="K18" i="4" s="1"/>
  <c r="M18" i="4" s="1"/>
  <c r="P354" i="3"/>
  <c r="P397" i="3"/>
  <c r="P489" i="3"/>
  <c r="P491" i="3"/>
  <c r="O12" i="4"/>
  <c r="N12" i="4"/>
  <c r="P413" i="3"/>
  <c r="P463" i="3"/>
  <c r="P478" i="3"/>
  <c r="P487" i="3"/>
  <c r="H17" i="4"/>
  <c r="K17" i="4" s="1"/>
  <c r="M17" i="4" s="1"/>
  <c r="I17" i="4"/>
  <c r="H15" i="4"/>
  <c r="K15" i="4" s="1"/>
  <c r="J17" i="4"/>
  <c r="L17" i="4" s="1"/>
  <c r="H22" i="4"/>
  <c r="K22" i="4" s="1"/>
  <c r="M22" i="4" s="1"/>
  <c r="I22" i="4"/>
  <c r="AD26" i="3" l="1"/>
  <c r="AC26" i="3"/>
  <c r="Z108" i="3"/>
  <c r="Q108" i="3"/>
  <c r="Z116" i="3"/>
  <c r="Q117" i="3" s="1"/>
  <c r="Q116" i="3"/>
  <c r="V64" i="3"/>
  <c r="AD122" i="3"/>
  <c r="AC122" i="3"/>
  <c r="V122" i="3"/>
  <c r="AD134" i="3"/>
  <c r="AC134" i="3"/>
  <c r="V134" i="3"/>
  <c r="AC81" i="3"/>
  <c r="AD81" i="3"/>
  <c r="V81" i="3"/>
  <c r="Q84" i="3"/>
  <c r="Z84" i="3"/>
  <c r="AA84" i="3"/>
  <c r="AA85" i="3" s="1"/>
  <c r="P84" i="3"/>
  <c r="P140" i="3"/>
  <c r="AA140" i="3"/>
  <c r="AA141" i="3" s="1"/>
  <c r="AA142" i="3" s="1"/>
  <c r="AA143" i="3" s="1"/>
  <c r="AA144" i="3" s="1"/>
  <c r="Z140" i="3"/>
  <c r="V84" i="3"/>
  <c r="K44" i="1"/>
  <c r="I46" i="1"/>
  <c r="K34" i="1"/>
  <c r="Q147" i="3"/>
  <c r="AA147" i="3"/>
  <c r="AA148" i="3" s="1"/>
  <c r="Z147" i="3"/>
  <c r="Q148" i="3" s="1"/>
  <c r="P147" i="3"/>
  <c r="AA124" i="3"/>
  <c r="AA125" i="3" s="1"/>
  <c r="P124" i="3"/>
  <c r="O14" i="4"/>
  <c r="AA20" i="3"/>
  <c r="AA21" i="3" s="1"/>
  <c r="P20" i="3"/>
  <c r="N14" i="4"/>
  <c r="AC51" i="3"/>
  <c r="AD51" i="3"/>
  <c r="Q118" i="3"/>
  <c r="Z54" i="3"/>
  <c r="Z55" i="3" s="1"/>
  <c r="Q54" i="3"/>
  <c r="AC67" i="3"/>
  <c r="AD67" i="3"/>
  <c r="AA13" i="3"/>
  <c r="AA14" i="3" s="1"/>
  <c r="AA15" i="3" s="1"/>
  <c r="Q13" i="3"/>
  <c r="P13" i="3"/>
  <c r="Z13" i="3"/>
  <c r="Q107" i="3"/>
  <c r="J11" i="1"/>
  <c r="J12" i="1"/>
  <c r="J50" i="1"/>
  <c r="P56" i="3"/>
  <c r="AA56" i="3"/>
  <c r="Z153" i="3"/>
  <c r="Q154" i="3" s="1"/>
  <c r="Q137" i="3"/>
  <c r="Z137" i="3"/>
  <c r="J43" i="1"/>
  <c r="K43" i="1"/>
  <c r="AD119" i="3"/>
  <c r="AC119" i="3"/>
  <c r="V119" i="3"/>
  <c r="AD93" i="3"/>
  <c r="AC93" i="3"/>
  <c r="AC63" i="3"/>
  <c r="AD63" i="3"/>
  <c r="Z119" i="3"/>
  <c r="P148" i="3"/>
  <c r="Q115" i="3"/>
  <c r="P86" i="3"/>
  <c r="AA86" i="3"/>
  <c r="AA87" i="3" s="1"/>
  <c r="AA88" i="3" s="1"/>
  <c r="AA89" i="3" s="1"/>
  <c r="Z86" i="3"/>
  <c r="Q17" i="3"/>
  <c r="Z17" i="3"/>
  <c r="N16" i="4"/>
  <c r="L10" i="4"/>
  <c r="O10" i="4" s="1"/>
  <c r="N10" i="4"/>
  <c r="Q64" i="3"/>
  <c r="P64" i="3"/>
  <c r="Z64" i="3"/>
  <c r="AA64" i="3"/>
  <c r="Z134" i="3"/>
  <c r="P150" i="3"/>
  <c r="Z150" i="3"/>
  <c r="AA150" i="3"/>
  <c r="AA151" i="3" s="1"/>
  <c r="Q150" i="3"/>
  <c r="P7" i="1"/>
  <c r="M7" i="1"/>
  <c r="J36" i="1"/>
  <c r="K36" i="1"/>
  <c r="AD92" i="3"/>
  <c r="AC92" i="3"/>
  <c r="J8" i="1"/>
  <c r="J7" i="1"/>
  <c r="J52" i="1"/>
  <c r="G7" i="1"/>
  <c r="Z68" i="3"/>
  <c r="Q68" i="3"/>
  <c r="AD79" i="3"/>
  <c r="AC79" i="3"/>
  <c r="AD153" i="3"/>
  <c r="AC153" i="3"/>
  <c r="V153" i="3"/>
  <c r="P35" i="3"/>
  <c r="Z35" i="3"/>
  <c r="AA35" i="3"/>
  <c r="AA36" i="3" s="1"/>
  <c r="AA37" i="3" s="1"/>
  <c r="Q35" i="3"/>
  <c r="Z122" i="3"/>
  <c r="N11" i="4"/>
  <c r="J42" i="1"/>
  <c r="K37" i="1"/>
  <c r="J37" i="1"/>
  <c r="Z94" i="3"/>
  <c r="Q94" i="3"/>
  <c r="AD132" i="3"/>
  <c r="AC132" i="3"/>
  <c r="V132" i="3"/>
  <c r="Q27" i="3"/>
  <c r="Z27" i="3"/>
  <c r="AD34" i="3"/>
  <c r="AC34" i="3"/>
  <c r="Z58" i="3"/>
  <c r="Q58" i="3"/>
  <c r="Z110" i="3"/>
  <c r="P110" i="3"/>
  <c r="AA110" i="3"/>
  <c r="AA111" i="3" s="1"/>
  <c r="AA112" i="3" s="1"/>
  <c r="AA113" i="3" s="1"/>
  <c r="AC50" i="3"/>
  <c r="AD50" i="3"/>
  <c r="P71" i="3"/>
  <c r="AA71" i="3"/>
  <c r="AA72" i="3" s="1"/>
  <c r="AA73" i="3" s="1"/>
  <c r="AA74" i="3" s="1"/>
  <c r="AA75" i="3" s="1"/>
  <c r="N13" i="4"/>
  <c r="P142" i="3"/>
  <c r="AD78" i="3"/>
  <c r="AC78" i="3"/>
  <c r="R40" i="1"/>
  <c r="AC133" i="3"/>
  <c r="AD133" i="3"/>
  <c r="V133" i="3"/>
  <c r="N15" i="4"/>
  <c r="M15" i="4"/>
  <c r="O15" i="4" s="1"/>
  <c r="AC82" i="3"/>
  <c r="AD82" i="3"/>
  <c r="K41" i="1"/>
  <c r="AD91" i="3"/>
  <c r="AC91" i="3"/>
  <c r="V91" i="3"/>
  <c r="K40" i="1"/>
  <c r="Z127" i="3"/>
  <c r="Q127" i="3"/>
  <c r="Q40" i="3"/>
  <c r="Z40" i="3"/>
  <c r="K38" i="1"/>
  <c r="AD32" i="3"/>
  <c r="V32" i="3"/>
  <c r="AC32" i="3"/>
  <c r="AC80" i="3"/>
  <c r="AD80" i="3"/>
  <c r="V80" i="3"/>
  <c r="Z44" i="3"/>
  <c r="Q44" i="3"/>
  <c r="Z130" i="3"/>
  <c r="Q131" i="3" s="1"/>
  <c r="Q130" i="3"/>
  <c r="Z99" i="3"/>
  <c r="AA99" i="3"/>
  <c r="AA100" i="3" s="1"/>
  <c r="AA101" i="3" s="1"/>
  <c r="Q99" i="3"/>
  <c r="P99" i="3"/>
  <c r="Z154" i="3"/>
  <c r="AA154" i="3"/>
  <c r="AA155" i="3" s="1"/>
  <c r="AA156" i="3" s="1"/>
  <c r="AA157" i="3" s="1"/>
  <c r="AA158" i="3" s="1"/>
  <c r="AA159" i="3" s="1"/>
  <c r="AA160" i="3" s="1"/>
  <c r="AA161" i="3" s="1"/>
  <c r="AA162" i="3" s="1"/>
  <c r="AA163" i="3" s="1"/>
  <c r="AA164" i="3" s="1"/>
  <c r="AA165" i="3" s="1"/>
  <c r="AA166" i="3" s="1"/>
  <c r="AA167" i="3" s="1"/>
  <c r="AA168" i="3" s="1"/>
  <c r="AA169" i="3" s="1"/>
  <c r="AA170" i="3" s="1"/>
  <c r="AA171" i="3" s="1"/>
  <c r="AA172" i="3" s="1"/>
  <c r="AA173" i="3" s="1"/>
  <c r="AA174" i="3" s="1"/>
  <c r="AA175" i="3" s="1"/>
  <c r="AA176" i="3" s="1"/>
  <c r="AA177" i="3" s="1"/>
  <c r="AA178" i="3" s="1"/>
  <c r="AA179" i="3" s="1"/>
  <c r="AA180" i="3" s="1"/>
  <c r="AA181" i="3" s="1"/>
  <c r="AA182" i="3" s="1"/>
  <c r="AA183" i="3" s="1"/>
  <c r="AA184" i="3" s="1"/>
  <c r="AA185" i="3" s="1"/>
  <c r="AA186" i="3" s="1"/>
  <c r="AA187" i="3" s="1"/>
  <c r="AA188" i="3" s="1"/>
  <c r="AA189" i="3" s="1"/>
  <c r="AA190" i="3" s="1"/>
  <c r="AA191" i="3" s="1"/>
  <c r="AA192" i="3" s="1"/>
  <c r="AA193" i="3" s="1"/>
  <c r="AA194" i="3" s="1"/>
  <c r="AA195" i="3" s="1"/>
  <c r="AA196" i="3" s="1"/>
  <c r="AA197" i="3" s="1"/>
  <c r="AA198" i="3" s="1"/>
  <c r="AA199" i="3" s="1"/>
  <c r="AA200" i="3" s="1"/>
  <c r="AA201" i="3" s="1"/>
  <c r="AA202" i="3" s="1"/>
  <c r="AA203" i="3" s="1"/>
  <c r="AA204" i="3" s="1"/>
  <c r="AA205" i="3" s="1"/>
  <c r="AA206" i="3" s="1"/>
  <c r="AA207" i="3" s="1"/>
  <c r="AA208" i="3" s="1"/>
  <c r="AA209" i="3" s="1"/>
  <c r="AA210" i="3" s="1"/>
  <c r="AA211" i="3" s="1"/>
  <c r="AA212" i="3" s="1"/>
  <c r="AA213" i="3" s="1"/>
  <c r="AA214" i="3" s="1"/>
  <c r="AA215" i="3" s="1"/>
  <c r="AA216" i="3" s="1"/>
  <c r="AA217" i="3" s="1"/>
  <c r="AA218" i="3" s="1"/>
  <c r="AA219" i="3" s="1"/>
  <c r="AA220" i="3" s="1"/>
  <c r="AA221" i="3" s="1"/>
  <c r="AA222" i="3" s="1"/>
  <c r="AA223" i="3" s="1"/>
  <c r="AA224" i="3" s="1"/>
  <c r="AA225" i="3" s="1"/>
  <c r="AA226" i="3" s="1"/>
  <c r="AA227" i="3" s="1"/>
  <c r="AA228" i="3" s="1"/>
  <c r="AA229" i="3" s="1"/>
  <c r="AA230" i="3" s="1"/>
  <c r="AA231" i="3" s="1"/>
  <c r="AA232" i="3" s="1"/>
  <c r="AA233" i="3" s="1"/>
  <c r="AA234" i="3" s="1"/>
  <c r="AA235" i="3" s="1"/>
  <c r="AA236" i="3" s="1"/>
  <c r="AA237" i="3" s="1"/>
  <c r="AA238" i="3" s="1"/>
  <c r="AA239" i="3" s="1"/>
  <c r="AA240" i="3" s="1"/>
  <c r="AA241" i="3" s="1"/>
  <c r="AA242" i="3" s="1"/>
  <c r="AA243" i="3" s="1"/>
  <c r="AA244" i="3" s="1"/>
  <c r="AA245" i="3" s="1"/>
  <c r="AA246" i="3" s="1"/>
  <c r="AA247" i="3" s="1"/>
  <c r="AA248" i="3" s="1"/>
  <c r="AA249" i="3" s="1"/>
  <c r="AA250" i="3" s="1"/>
  <c r="AA251" i="3" s="1"/>
  <c r="AA252" i="3" s="1"/>
  <c r="AA253" i="3" s="1"/>
  <c r="AA254" i="3" s="1"/>
  <c r="AA255" i="3" s="1"/>
  <c r="AA256" i="3" s="1"/>
  <c r="AA257" i="3" s="1"/>
  <c r="AA258" i="3" s="1"/>
  <c r="AA259" i="3" s="1"/>
  <c r="AA260" i="3" s="1"/>
  <c r="AA261" i="3" s="1"/>
  <c r="AA262" i="3" s="1"/>
  <c r="AA263" i="3" s="1"/>
  <c r="AA264" i="3" s="1"/>
  <c r="AA265" i="3" s="1"/>
  <c r="AA266" i="3" s="1"/>
  <c r="AA267" i="3" s="1"/>
  <c r="AA268" i="3" s="1"/>
  <c r="AA269" i="3" s="1"/>
  <c r="AA270" i="3" s="1"/>
  <c r="AA271" i="3" s="1"/>
  <c r="AA272" i="3" s="1"/>
  <c r="AA273" i="3" s="1"/>
  <c r="AA274" i="3" s="1"/>
  <c r="AA275" i="3" s="1"/>
  <c r="AA276" i="3" s="1"/>
  <c r="AA277" i="3" s="1"/>
  <c r="AA278" i="3" s="1"/>
  <c r="AA279" i="3" s="1"/>
  <c r="AA280" i="3" s="1"/>
  <c r="AA281" i="3" s="1"/>
  <c r="AA282" i="3" s="1"/>
  <c r="AA283" i="3" s="1"/>
  <c r="AA284" i="3" s="1"/>
  <c r="AA285" i="3" s="1"/>
  <c r="AA286" i="3" s="1"/>
  <c r="AA287" i="3" s="1"/>
  <c r="AA288" i="3" s="1"/>
  <c r="AA289" i="3" s="1"/>
  <c r="AA290" i="3" s="1"/>
  <c r="AA291" i="3" s="1"/>
  <c r="AA292" i="3" s="1"/>
  <c r="AA293" i="3" s="1"/>
  <c r="AA294" i="3" s="1"/>
  <c r="AA295" i="3" s="1"/>
  <c r="AA296" i="3" s="1"/>
  <c r="AA297" i="3" s="1"/>
  <c r="AA298" i="3" s="1"/>
  <c r="AA299" i="3" s="1"/>
  <c r="AA300" i="3" s="1"/>
  <c r="AA301" i="3" s="1"/>
  <c r="AA302" i="3" s="1"/>
  <c r="AA303" i="3" s="1"/>
  <c r="AA304" i="3" s="1"/>
  <c r="AA305" i="3" s="1"/>
  <c r="AA306" i="3" s="1"/>
  <c r="AA307" i="3" s="1"/>
  <c r="AA308" i="3" s="1"/>
  <c r="AA309" i="3" s="1"/>
  <c r="AA310" i="3" s="1"/>
  <c r="AA311" i="3" s="1"/>
  <c r="AA312" i="3" s="1"/>
  <c r="AA313" i="3" s="1"/>
  <c r="AA314" i="3" s="1"/>
  <c r="AA315" i="3" s="1"/>
  <c r="AA316" i="3" s="1"/>
  <c r="AA317" i="3" s="1"/>
  <c r="AA318" i="3" s="1"/>
  <c r="AA319" i="3" s="1"/>
  <c r="AA320" i="3" s="1"/>
  <c r="AA321" i="3" s="1"/>
  <c r="AA322" i="3" s="1"/>
  <c r="AA323" i="3" s="1"/>
  <c r="AA324" i="3" s="1"/>
  <c r="AA325" i="3" s="1"/>
  <c r="AA326" i="3" s="1"/>
  <c r="AA327" i="3" s="1"/>
  <c r="AA328" i="3" s="1"/>
  <c r="AA329" i="3" s="1"/>
  <c r="AA330" i="3" s="1"/>
  <c r="AA331" i="3" s="1"/>
  <c r="AA332" i="3" s="1"/>
  <c r="AA333" i="3" s="1"/>
  <c r="AA334" i="3" s="1"/>
  <c r="AA335" i="3" s="1"/>
  <c r="AA336" i="3" s="1"/>
  <c r="AA337" i="3" s="1"/>
  <c r="AA338" i="3" s="1"/>
  <c r="AA339" i="3" s="1"/>
  <c r="AA340" i="3" s="1"/>
  <c r="AA341" i="3" s="1"/>
  <c r="AA342" i="3" s="1"/>
  <c r="AA343" i="3" s="1"/>
  <c r="AA344" i="3" s="1"/>
  <c r="AA345" i="3" s="1"/>
  <c r="AA346" i="3" s="1"/>
  <c r="AA347" i="3" s="1"/>
  <c r="AA348" i="3" s="1"/>
  <c r="AA349" i="3" s="1"/>
  <c r="AA350" i="3" s="1"/>
  <c r="AA351" i="3" s="1"/>
  <c r="AA352" i="3" s="1"/>
  <c r="AA353" i="3" s="1"/>
  <c r="AA354" i="3" s="1"/>
  <c r="AA355" i="3" s="1"/>
  <c r="AA356" i="3" s="1"/>
  <c r="AA357" i="3" s="1"/>
  <c r="AA358" i="3" s="1"/>
  <c r="AA359" i="3" s="1"/>
  <c r="AA360" i="3" s="1"/>
  <c r="AA361" i="3" s="1"/>
  <c r="AA362" i="3" s="1"/>
  <c r="AA363" i="3" s="1"/>
  <c r="AA364" i="3" s="1"/>
  <c r="AA365" i="3" s="1"/>
  <c r="AA366" i="3" s="1"/>
  <c r="AA367" i="3" s="1"/>
  <c r="AA368" i="3" s="1"/>
  <c r="AA369" i="3" s="1"/>
  <c r="AA370" i="3" s="1"/>
  <c r="AA371" i="3" s="1"/>
  <c r="AA372" i="3" s="1"/>
  <c r="AA373" i="3" s="1"/>
  <c r="AA374" i="3" s="1"/>
  <c r="AA375" i="3" s="1"/>
  <c r="AA376" i="3" s="1"/>
  <c r="AA377" i="3" s="1"/>
  <c r="AA378" i="3" s="1"/>
  <c r="AA379" i="3" s="1"/>
  <c r="AA380" i="3" s="1"/>
  <c r="AA381" i="3" s="1"/>
  <c r="AA382" i="3" s="1"/>
  <c r="AA383" i="3" s="1"/>
  <c r="AA384" i="3" s="1"/>
  <c r="AA385" i="3" s="1"/>
  <c r="AA386" i="3" s="1"/>
  <c r="AA387" i="3" s="1"/>
  <c r="AA388" i="3" s="1"/>
  <c r="AA389" i="3" s="1"/>
  <c r="AA390" i="3" s="1"/>
  <c r="AA391" i="3" s="1"/>
  <c r="AA392" i="3" s="1"/>
  <c r="AA393" i="3" s="1"/>
  <c r="AA394" i="3" s="1"/>
  <c r="AA395" i="3" s="1"/>
  <c r="AA396" i="3" s="1"/>
  <c r="AA397" i="3" s="1"/>
  <c r="AA398" i="3" s="1"/>
  <c r="AA399" i="3" s="1"/>
  <c r="AA400" i="3" s="1"/>
  <c r="AA401" i="3" s="1"/>
  <c r="AA402" i="3" s="1"/>
  <c r="AA403" i="3" s="1"/>
  <c r="AA404" i="3" s="1"/>
  <c r="AA405" i="3" s="1"/>
  <c r="AA406" i="3" s="1"/>
  <c r="AA407" i="3" s="1"/>
  <c r="AA408" i="3" s="1"/>
  <c r="AA409" i="3" s="1"/>
  <c r="AA410" i="3" s="1"/>
  <c r="AA411" i="3" s="1"/>
  <c r="AA412" i="3" s="1"/>
  <c r="AA413" i="3" s="1"/>
  <c r="AA414" i="3" s="1"/>
  <c r="AA415" i="3" s="1"/>
  <c r="AA416" i="3" s="1"/>
  <c r="AA417" i="3" s="1"/>
  <c r="AA418" i="3" s="1"/>
  <c r="AA419" i="3" s="1"/>
  <c r="AA420" i="3" s="1"/>
  <c r="AA421" i="3" s="1"/>
  <c r="AA422" i="3" s="1"/>
  <c r="AA423" i="3" s="1"/>
  <c r="AA424" i="3" s="1"/>
  <c r="AA425" i="3" s="1"/>
  <c r="AA426" i="3" s="1"/>
  <c r="AA427" i="3" s="1"/>
  <c r="AA428" i="3" s="1"/>
  <c r="AA429" i="3" s="1"/>
  <c r="AA430" i="3" s="1"/>
  <c r="AA431" i="3" s="1"/>
  <c r="AA432" i="3" s="1"/>
  <c r="AA433" i="3" s="1"/>
  <c r="AA434" i="3" s="1"/>
  <c r="AA435" i="3" s="1"/>
  <c r="AA436" i="3" s="1"/>
  <c r="AA437" i="3" s="1"/>
  <c r="AA438" i="3" s="1"/>
  <c r="AA439" i="3" s="1"/>
  <c r="AA440" i="3" s="1"/>
  <c r="AA441" i="3" s="1"/>
  <c r="AA442" i="3" s="1"/>
  <c r="AA443" i="3" s="1"/>
  <c r="AA444" i="3" s="1"/>
  <c r="AA445" i="3" s="1"/>
  <c r="AA446" i="3" s="1"/>
  <c r="AA447" i="3" s="1"/>
  <c r="AA448" i="3" s="1"/>
  <c r="AA449" i="3" s="1"/>
  <c r="AA450" i="3" s="1"/>
  <c r="AA451" i="3" s="1"/>
  <c r="AA452" i="3" s="1"/>
  <c r="AA453" i="3" s="1"/>
  <c r="AA454" i="3" s="1"/>
  <c r="AA455" i="3" s="1"/>
  <c r="AA456" i="3" s="1"/>
  <c r="AA457" i="3" s="1"/>
  <c r="AA458" i="3" s="1"/>
  <c r="AA459" i="3" s="1"/>
  <c r="AA460" i="3" s="1"/>
  <c r="AA461" i="3" s="1"/>
  <c r="AA462" i="3" s="1"/>
  <c r="AA463" i="3" s="1"/>
  <c r="AA464" i="3" s="1"/>
  <c r="AA465" i="3" s="1"/>
  <c r="AA466" i="3" s="1"/>
  <c r="AA467" i="3" s="1"/>
  <c r="AA468" i="3" s="1"/>
  <c r="AA469" i="3" s="1"/>
  <c r="AA470" i="3" s="1"/>
  <c r="AA471" i="3" s="1"/>
  <c r="AA472" i="3" s="1"/>
  <c r="AA473" i="3" s="1"/>
  <c r="AA474" i="3" s="1"/>
  <c r="AA475" i="3" s="1"/>
  <c r="AA476" i="3" s="1"/>
  <c r="AA477" i="3" s="1"/>
  <c r="AA478" i="3" s="1"/>
  <c r="AA479" i="3" s="1"/>
  <c r="AA480" i="3" s="1"/>
  <c r="AA481" i="3" s="1"/>
  <c r="AA482" i="3" s="1"/>
  <c r="AA483" i="3" s="1"/>
  <c r="AA484" i="3" s="1"/>
  <c r="AA485" i="3" s="1"/>
  <c r="AA486" i="3" s="1"/>
  <c r="AA487" i="3" s="1"/>
  <c r="AA488" i="3" s="1"/>
  <c r="AA489" i="3" s="1"/>
  <c r="AA490" i="3" s="1"/>
  <c r="AA491" i="3" s="1"/>
  <c r="AA492" i="3" s="1"/>
  <c r="AA493" i="3" s="1"/>
  <c r="AA494" i="3" s="1"/>
  <c r="AA495" i="3" s="1"/>
  <c r="AA496" i="3" s="1"/>
  <c r="AA497" i="3" s="1"/>
  <c r="AA498" i="3" s="1"/>
  <c r="AA499" i="3" s="1"/>
  <c r="AA500" i="3" s="1"/>
  <c r="AA501" i="3" s="1"/>
  <c r="AA502" i="3" s="1"/>
  <c r="AA503" i="3" s="1"/>
  <c r="AA504" i="3" s="1"/>
  <c r="AA505" i="3" s="1"/>
  <c r="AA506" i="3" s="1"/>
  <c r="AA507" i="3" s="1"/>
  <c r="AA508" i="3" s="1"/>
  <c r="P154" i="3"/>
  <c r="P61" i="3"/>
  <c r="AA61" i="3"/>
  <c r="V12" i="3"/>
  <c r="AD12" i="3"/>
  <c r="AC12" i="3"/>
  <c r="AD33" i="3"/>
  <c r="AC33" i="3"/>
  <c r="O40" i="1"/>
  <c r="Q103" i="3"/>
  <c r="Z103" i="3"/>
  <c r="P55" i="3"/>
  <c r="AA55" i="3"/>
  <c r="AD25" i="3"/>
  <c r="AC25" i="3"/>
  <c r="AD83" i="3"/>
  <c r="AC83" i="3"/>
  <c r="Z146" i="3"/>
  <c r="AA146" i="3"/>
  <c r="Q146" i="3"/>
  <c r="P146" i="3"/>
  <c r="P40" i="1"/>
  <c r="K39" i="1"/>
  <c r="J39" i="1"/>
  <c r="K35" i="1"/>
  <c r="J35" i="1"/>
  <c r="V25" i="1"/>
  <c r="V27" i="1" s="1"/>
  <c r="AE505" i="3"/>
  <c r="AE501" i="3"/>
  <c r="AE497" i="3"/>
  <c r="AE493" i="3"/>
  <c r="AE489" i="3"/>
  <c r="AE485" i="3"/>
  <c r="AE481" i="3"/>
  <c r="AE477" i="3"/>
  <c r="D11" i="5"/>
  <c r="AE507" i="3"/>
  <c r="AE503" i="3"/>
  <c r="AE499" i="3"/>
  <c r="AE495" i="3"/>
  <c r="AE491" i="3"/>
  <c r="AE487" i="3"/>
  <c r="AE483" i="3"/>
  <c r="AE479" i="3"/>
  <c r="AE475" i="3"/>
  <c r="AE471" i="3"/>
  <c r="AE467" i="3"/>
  <c r="AE463" i="3"/>
  <c r="AE459" i="3"/>
  <c r="AE455" i="3"/>
  <c r="AE451" i="3"/>
  <c r="AE447" i="3"/>
  <c r="AE443" i="3"/>
  <c r="AE439" i="3"/>
  <c r="AE435" i="3"/>
  <c r="AE431" i="3"/>
  <c r="AE427" i="3"/>
  <c r="AE484" i="3"/>
  <c r="AE478" i="3"/>
  <c r="AE496" i="3"/>
  <c r="AE490" i="3"/>
  <c r="AE465" i="3"/>
  <c r="AE508" i="3"/>
  <c r="AE502" i="3"/>
  <c r="AE472" i="3"/>
  <c r="AE506" i="3"/>
  <c r="AE473" i="3"/>
  <c r="AE453" i="3"/>
  <c r="AE446" i="3"/>
  <c r="AE425" i="3"/>
  <c r="AE421" i="3"/>
  <c r="AE417" i="3"/>
  <c r="AE413" i="3"/>
  <c r="AE409" i="3"/>
  <c r="AE460" i="3"/>
  <c r="AE470" i="3"/>
  <c r="AE492" i="3"/>
  <c r="AE461" i="3"/>
  <c r="AE440" i="3"/>
  <c r="AE402" i="3"/>
  <c r="AE382" i="3"/>
  <c r="AE375" i="3"/>
  <c r="AE356" i="3"/>
  <c r="AE352" i="3"/>
  <c r="AE348" i="3"/>
  <c r="AE474" i="3"/>
  <c r="AE469" i="3"/>
  <c r="AE437" i="3"/>
  <c r="AE429" i="3"/>
  <c r="AE392" i="3"/>
  <c r="AE360" i="3"/>
  <c r="AE454" i="3"/>
  <c r="AE432" i="3"/>
  <c r="AE441" i="3"/>
  <c r="AE430" i="3"/>
  <c r="AE400" i="3"/>
  <c r="AE380" i="3"/>
  <c r="AE373" i="3"/>
  <c r="AE452" i="3"/>
  <c r="AE426" i="3"/>
  <c r="AE416" i="3"/>
  <c r="AE364" i="3"/>
  <c r="AE468" i="3"/>
  <c r="AE457" i="3"/>
  <c r="AE386" i="3"/>
  <c r="AE383" i="3"/>
  <c r="AE361" i="3"/>
  <c r="AE321" i="3"/>
  <c r="AE314" i="3"/>
  <c r="AE504" i="3"/>
  <c r="AE419" i="3"/>
  <c r="AE414" i="3"/>
  <c r="AE395" i="3"/>
  <c r="AE389" i="3"/>
  <c r="AE368" i="3"/>
  <c r="AE358" i="3"/>
  <c r="AE445" i="3"/>
  <c r="AE438" i="3"/>
  <c r="AE424" i="3"/>
  <c r="AE355" i="3"/>
  <c r="AE349" i="3"/>
  <c r="AE500" i="3"/>
  <c r="AE466" i="3"/>
  <c r="AE450" i="3"/>
  <c r="AE398" i="3"/>
  <c r="AE372" i="3"/>
  <c r="AE464" i="3"/>
  <c r="AE428" i="3"/>
  <c r="AE387" i="3"/>
  <c r="AE365" i="3"/>
  <c r="AE322" i="3"/>
  <c r="AE319" i="3"/>
  <c r="AE306" i="3"/>
  <c r="AE482" i="3"/>
  <c r="AE480" i="3"/>
  <c r="AE397" i="3"/>
  <c r="AE316" i="3"/>
  <c r="AE289" i="3"/>
  <c r="AE275" i="3"/>
  <c r="AE268" i="3"/>
  <c r="AE257" i="3"/>
  <c r="AE476" i="3"/>
  <c r="AE462" i="3"/>
  <c r="AE456" i="3"/>
  <c r="AE422" i="3"/>
  <c r="AE313" i="3"/>
  <c r="AE303" i="3"/>
  <c r="AE296" i="3"/>
  <c r="AE282" i="3"/>
  <c r="AE261" i="3"/>
  <c r="AE458" i="3"/>
  <c r="AE376" i="3"/>
  <c r="AE418" i="3"/>
  <c r="AE328" i="3"/>
  <c r="AE318" i="3"/>
  <c r="AE315" i="3"/>
  <c r="AE259" i="3"/>
  <c r="AE246" i="3"/>
  <c r="AE227" i="3"/>
  <c r="AE208" i="3"/>
  <c r="AE185" i="3"/>
  <c r="AE498" i="3"/>
  <c r="AE388" i="3"/>
  <c r="AE354" i="3"/>
  <c r="AE339" i="3"/>
  <c r="AE300" i="3"/>
  <c r="AE297" i="3"/>
  <c r="AE269" i="3"/>
  <c r="AE256" i="3"/>
  <c r="AE253" i="3"/>
  <c r="AE231" i="3"/>
  <c r="AE212" i="3"/>
  <c r="AE189" i="3"/>
  <c r="AE494" i="3"/>
  <c r="AE408" i="3"/>
  <c r="AE377" i="3"/>
  <c r="AE331" i="3"/>
  <c r="AE326" i="3"/>
  <c r="AE294" i="3"/>
  <c r="AE278" i="3"/>
  <c r="AE272" i="3"/>
  <c r="AE266" i="3"/>
  <c r="AE250" i="3"/>
  <c r="AE235" i="3"/>
  <c r="AE216" i="3"/>
  <c r="AE193" i="3"/>
  <c r="AE174" i="3"/>
  <c r="AE170" i="3"/>
  <c r="AE166" i="3"/>
  <c r="AE162" i="3"/>
  <c r="AE158" i="3"/>
  <c r="AE154" i="3"/>
  <c r="AE150" i="3"/>
  <c r="AE146" i="3"/>
  <c r="AE142" i="3"/>
  <c r="AE138" i="3"/>
  <c r="AE134" i="3"/>
  <c r="AE130" i="3"/>
  <c r="AE126" i="3"/>
  <c r="AE122" i="3"/>
  <c r="AE118" i="3"/>
  <c r="AE114" i="3"/>
  <c r="AE110" i="3"/>
  <c r="AE106" i="3"/>
  <c r="AE102" i="3"/>
  <c r="AE98" i="3"/>
  <c r="AE94" i="3"/>
  <c r="AE90" i="3"/>
  <c r="AE86" i="3"/>
  <c r="AE82" i="3"/>
  <c r="AE78" i="3"/>
  <c r="AE393" i="3"/>
  <c r="AE384" i="3"/>
  <c r="AE366" i="3"/>
  <c r="AE347" i="3"/>
  <c r="AE291" i="3"/>
  <c r="AE285" i="3"/>
  <c r="AE406" i="3"/>
  <c r="AE359" i="3"/>
  <c r="AE288" i="3"/>
  <c r="AE263" i="3"/>
  <c r="AE243" i="3"/>
  <c r="AE224" i="3"/>
  <c r="AE201" i="3"/>
  <c r="AE182" i="3"/>
  <c r="AE367" i="3"/>
  <c r="AE341" i="3"/>
  <c r="AE330" i="3"/>
  <c r="AE323" i="3"/>
  <c r="AE304" i="3"/>
  <c r="AE299" i="3"/>
  <c r="AE258" i="3"/>
  <c r="AE153" i="3"/>
  <c r="AE119" i="3"/>
  <c r="AE112" i="3"/>
  <c r="AE105" i="3"/>
  <c r="AE363" i="3"/>
  <c r="AE350" i="3"/>
  <c r="AE312" i="3"/>
  <c r="AE247" i="3"/>
  <c r="AE238" i="3"/>
  <c r="AE203" i="3"/>
  <c r="AE200" i="3"/>
  <c r="AE169" i="3"/>
  <c r="AE147" i="3"/>
  <c r="AE140" i="3"/>
  <c r="AE133" i="3"/>
  <c r="AE434" i="3"/>
  <c r="AE415" i="3"/>
  <c r="AE403" i="3"/>
  <c r="AE222" i="3"/>
  <c r="AE210" i="3"/>
  <c r="AE186" i="3"/>
  <c r="AE183" i="3"/>
  <c r="AE145" i="3"/>
  <c r="AE362" i="3"/>
  <c r="AE340" i="3"/>
  <c r="AE338" i="3"/>
  <c r="AE280" i="3"/>
  <c r="AE228" i="3"/>
  <c r="AE225" i="3"/>
  <c r="AE219" i="3"/>
  <c r="AE213" i="3"/>
  <c r="AE192" i="3"/>
  <c r="AE161" i="3"/>
  <c r="AE107" i="3"/>
  <c r="AE100" i="3"/>
  <c r="AE93" i="3"/>
  <c r="R800" i="2"/>
  <c r="R790" i="2"/>
  <c r="R780" i="2"/>
  <c r="R770" i="2"/>
  <c r="R760" i="2"/>
  <c r="R750" i="2"/>
  <c r="R740" i="2"/>
  <c r="R730" i="2"/>
  <c r="R720" i="2"/>
  <c r="R710" i="2"/>
  <c r="R700" i="2"/>
  <c r="R690" i="2"/>
  <c r="R680" i="2"/>
  <c r="R670" i="2"/>
  <c r="R660" i="2"/>
  <c r="R650" i="2"/>
  <c r="R640" i="2"/>
  <c r="R630" i="2"/>
  <c r="R620" i="2"/>
  <c r="R610" i="2"/>
  <c r="R600" i="2"/>
  <c r="R590" i="2"/>
  <c r="R580" i="2"/>
  <c r="R570" i="2"/>
  <c r="R560" i="2"/>
  <c r="R550" i="2"/>
  <c r="R540" i="2"/>
  <c r="R530" i="2"/>
  <c r="R520" i="2"/>
  <c r="R510" i="2"/>
  <c r="R500" i="2"/>
  <c r="R490" i="2"/>
  <c r="R480" i="2"/>
  <c r="R470" i="2"/>
  <c r="R460" i="2"/>
  <c r="R450" i="2"/>
  <c r="R440" i="2"/>
  <c r="AE433" i="3"/>
  <c r="AE342" i="3"/>
  <c r="AE327" i="3"/>
  <c r="AE311" i="3"/>
  <c r="AE290" i="3"/>
  <c r="AE281" i="3"/>
  <c r="AE262" i="3"/>
  <c r="AE260" i="3"/>
  <c r="AE248" i="3"/>
  <c r="AE197" i="3"/>
  <c r="AE132" i="3"/>
  <c r="AE442" i="3"/>
  <c r="AE295" i="3"/>
  <c r="AE267" i="3"/>
  <c r="AE218" i="3"/>
  <c r="AE205" i="3"/>
  <c r="AE171" i="3"/>
  <c r="AE127" i="3"/>
  <c r="AE64" i="3"/>
  <c r="AE48" i="3"/>
  <c r="AE32" i="3"/>
  <c r="AE16" i="3"/>
  <c r="R808" i="2"/>
  <c r="R781" i="2"/>
  <c r="R764" i="2"/>
  <c r="R747" i="2"/>
  <c r="R703" i="2"/>
  <c r="R686" i="2"/>
  <c r="R669" i="2"/>
  <c r="R642" i="2"/>
  <c r="R625" i="2"/>
  <c r="R608" i="2"/>
  <c r="R581" i="2"/>
  <c r="R564" i="2"/>
  <c r="R547" i="2"/>
  <c r="R503" i="2"/>
  <c r="R486" i="2"/>
  <c r="R469" i="2"/>
  <c r="R442" i="2"/>
  <c r="R375" i="2"/>
  <c r="R358" i="2"/>
  <c r="R341" i="2"/>
  <c r="R314" i="2"/>
  <c r="R297" i="2"/>
  <c r="AE336" i="3"/>
  <c r="AE334" i="3"/>
  <c r="AE274" i="3"/>
  <c r="AE163" i="3"/>
  <c r="AE109" i="3"/>
  <c r="AE101" i="3"/>
  <c r="R791" i="2"/>
  <c r="R774" i="2"/>
  <c r="R757" i="2"/>
  <c r="R713" i="2"/>
  <c r="R696" i="2"/>
  <c r="R679" i="2"/>
  <c r="R652" i="2"/>
  <c r="R635" i="2"/>
  <c r="R618" i="2"/>
  <c r="R591" i="2"/>
  <c r="R574" i="2"/>
  <c r="R557" i="2"/>
  <c r="R513" i="2"/>
  <c r="R496" i="2"/>
  <c r="R479" i="2"/>
  <c r="R452" i="2"/>
  <c r="R435" i="2"/>
  <c r="R425" i="2"/>
  <c r="R415" i="2"/>
  <c r="R405" i="2"/>
  <c r="R395" i="2"/>
  <c r="R385" i="2"/>
  <c r="R368" i="2"/>
  <c r="R351" i="2"/>
  <c r="R324" i="2"/>
  <c r="R307" i="2"/>
  <c r="R290" i="2"/>
  <c r="AE332" i="3"/>
  <c r="AE302" i="3"/>
  <c r="AE279" i="3"/>
  <c r="AE265" i="3"/>
  <c r="AE251" i="3"/>
  <c r="AE241" i="3"/>
  <c r="AE233" i="3"/>
  <c r="AE223" i="3"/>
  <c r="AE444" i="3"/>
  <c r="AE404" i="3"/>
  <c r="AE379" i="3"/>
  <c r="AE357" i="3"/>
  <c r="AE353" i="3"/>
  <c r="AE293" i="3"/>
  <c r="AE286" i="3"/>
  <c r="AE221" i="3"/>
  <c r="AE117" i="3"/>
  <c r="AE96" i="3"/>
  <c r="AE85" i="3"/>
  <c r="AE74" i="3"/>
  <c r="R794" i="2"/>
  <c r="R777" i="2"/>
  <c r="R733" i="2"/>
  <c r="R716" i="2"/>
  <c r="R699" i="2"/>
  <c r="R672" i="2"/>
  <c r="R655" i="2"/>
  <c r="R638" i="2"/>
  <c r="R611" i="2"/>
  <c r="R594" i="2"/>
  <c r="R577" i="2"/>
  <c r="R533" i="2"/>
  <c r="R516" i="2"/>
  <c r="R499" i="2"/>
  <c r="R472" i="2"/>
  <c r="R455" i="2"/>
  <c r="R438" i="2"/>
  <c r="R428" i="2"/>
  <c r="R418" i="2"/>
  <c r="R408" i="2"/>
  <c r="R398" i="2"/>
  <c r="R388" i="2"/>
  <c r="R371" i="2"/>
  <c r="R344" i="2"/>
  <c r="R327" i="2"/>
  <c r="R310" i="2"/>
  <c r="R283" i="2"/>
  <c r="AE423" i="3"/>
  <c r="AE401" i="3"/>
  <c r="AE399" i="3"/>
  <c r="AE343" i="3"/>
  <c r="AE337" i="3"/>
  <c r="AE335" i="3"/>
  <c r="AE270" i="3"/>
  <c r="AE239" i="3"/>
  <c r="AE234" i="3"/>
  <c r="AE229" i="3"/>
  <c r="AE209" i="3"/>
  <c r="AE175" i="3"/>
  <c r="AE164" i="3"/>
  <c r="AE141" i="3"/>
  <c r="AE59" i="3"/>
  <c r="AE43" i="3"/>
  <c r="AE27" i="3"/>
  <c r="AE11" i="3"/>
  <c r="R793" i="2"/>
  <c r="R776" i="2"/>
  <c r="R759" i="2"/>
  <c r="R732" i="2"/>
  <c r="R715" i="2"/>
  <c r="R698" i="2"/>
  <c r="R671" i="2"/>
  <c r="R654" i="2"/>
  <c r="R637" i="2"/>
  <c r="R593" i="2"/>
  <c r="R576" i="2"/>
  <c r="R559" i="2"/>
  <c r="R532" i="2"/>
  <c r="R515" i="2"/>
  <c r="R498" i="2"/>
  <c r="R471" i="2"/>
  <c r="R454" i="2"/>
  <c r="AE405" i="3"/>
  <c r="AE385" i="3"/>
  <c r="AE381" i="3"/>
  <c r="AE307" i="3"/>
  <c r="AE264" i="3"/>
  <c r="AE252" i="3"/>
  <c r="AE206" i="3"/>
  <c r="AE184" i="3"/>
  <c r="AE104" i="3"/>
  <c r="AE95" i="3"/>
  <c r="AE80" i="3"/>
  <c r="AE73" i="3"/>
  <c r="AE407" i="3"/>
  <c r="AE317" i="3"/>
  <c r="AE217" i="3"/>
  <c r="AE204" i="3"/>
  <c r="AE202" i="3"/>
  <c r="AE168" i="3"/>
  <c r="AE152" i="3"/>
  <c r="AE148" i="3"/>
  <c r="AE391" i="3"/>
  <c r="AE345" i="3"/>
  <c r="AE305" i="3"/>
  <c r="AE301" i="3"/>
  <c r="AE226" i="3"/>
  <c r="AE230" i="3"/>
  <c r="AE173" i="3"/>
  <c r="AE136" i="3"/>
  <c r="AE89" i="3"/>
  <c r="AE76" i="3"/>
  <c r="AE51" i="3"/>
  <c r="AE41" i="3"/>
  <c r="AE21" i="3"/>
  <c r="AE412" i="3"/>
  <c r="AE196" i="3"/>
  <c r="AE187" i="3"/>
  <c r="AE60" i="3"/>
  <c r="AE53" i="3"/>
  <c r="AE44" i="3"/>
  <c r="AE28" i="3"/>
  <c r="AE9" i="3"/>
  <c r="R773" i="2"/>
  <c r="R735" i="2"/>
  <c r="R714" i="2"/>
  <c r="R707" i="2"/>
  <c r="R658" i="2"/>
  <c r="R644" i="2"/>
  <c r="R602" i="2"/>
  <c r="R539" i="2"/>
  <c r="R497" i="2"/>
  <c r="R448" i="2"/>
  <c r="R434" i="2"/>
  <c r="R410" i="2"/>
  <c r="R403" i="2"/>
  <c r="R361" i="2"/>
  <c r="R252" i="2"/>
  <c r="R221" i="2"/>
  <c r="R190" i="2"/>
  <c r="R152" i="2"/>
  <c r="R121" i="2"/>
  <c r="R90" i="2"/>
  <c r="AE310" i="3"/>
  <c r="AE144" i="3"/>
  <c r="AE124" i="3"/>
  <c r="AE120" i="3"/>
  <c r="AE108" i="3"/>
  <c r="AE92" i="3"/>
  <c r="AE88" i="3"/>
  <c r="AE67" i="3"/>
  <c r="AE37" i="3"/>
  <c r="AE14" i="3"/>
  <c r="R787" i="2"/>
  <c r="R766" i="2"/>
  <c r="R752" i="2"/>
  <c r="R745" i="2"/>
  <c r="R721" i="2"/>
  <c r="R668" i="2"/>
  <c r="R633" i="2"/>
  <c r="R595" i="2"/>
  <c r="R556" i="2"/>
  <c r="R525" i="2"/>
  <c r="R511" i="2"/>
  <c r="R483" i="2"/>
  <c r="R476" i="2"/>
  <c r="R462" i="2"/>
  <c r="R441" i="2"/>
  <c r="R427" i="2"/>
  <c r="R396" i="2"/>
  <c r="R357" i="2"/>
  <c r="R350" i="2"/>
  <c r="R336" i="2"/>
  <c r="R329" i="2"/>
  <c r="R322" i="2"/>
  <c r="R315" i="2"/>
  <c r="R276" i="2"/>
  <c r="R269" i="2"/>
  <c r="R245" i="2"/>
  <c r="R238" i="2"/>
  <c r="R214" i="2"/>
  <c r="R207" i="2"/>
  <c r="R183" i="2"/>
  <c r="R176" i="2"/>
  <c r="R169" i="2"/>
  <c r="R145" i="2"/>
  <c r="R138" i="2"/>
  <c r="R114" i="2"/>
  <c r="R107" i="2"/>
  <c r="R83" i="2"/>
  <c r="R76" i="2"/>
  <c r="R69" i="2"/>
  <c r="R59" i="2"/>
  <c r="R49" i="2"/>
  <c r="R39" i="2"/>
  <c r="R29" i="2"/>
  <c r="R19" i="2"/>
  <c r="R9" i="2"/>
  <c r="AE215" i="3"/>
  <c r="AE157" i="3"/>
  <c r="AE49" i="3"/>
  <c r="R801" i="2"/>
  <c r="R738" i="2"/>
  <c r="R731" i="2"/>
  <c r="R689" i="2"/>
  <c r="R647" i="2"/>
  <c r="R626" i="2"/>
  <c r="R619" i="2"/>
  <c r="R605" i="2"/>
  <c r="R563" i="2"/>
  <c r="R549" i="2"/>
  <c r="R518" i="2"/>
  <c r="R504" i="2"/>
  <c r="R420" i="2"/>
  <c r="R413" i="2"/>
  <c r="R389" i="2"/>
  <c r="R382" i="2"/>
  <c r="R343" i="2"/>
  <c r="R311" i="2"/>
  <c r="R304" i="2"/>
  <c r="R262" i="2"/>
  <c r="R231" i="2"/>
  <c r="R200" i="2"/>
  <c r="R162" i="2"/>
  <c r="R131" i="2"/>
  <c r="R100" i="2"/>
  <c r="AE411" i="3"/>
  <c r="AE351" i="3"/>
  <c r="AE232" i="3"/>
  <c r="AE220" i="3"/>
  <c r="AE188" i="3"/>
  <c r="AE160" i="3"/>
  <c r="AE143" i="3"/>
  <c r="AE135" i="3"/>
  <c r="AE115" i="3"/>
  <c r="AE99" i="3"/>
  <c r="AE81" i="3"/>
  <c r="AE79" i="3"/>
  <c r="AE50" i="3"/>
  <c r="AE45" i="3"/>
  <c r="AE22" i="3"/>
  <c r="AE15" i="3"/>
  <c r="R803" i="2"/>
  <c r="R761" i="2"/>
  <c r="R649" i="2"/>
  <c r="R628" i="2"/>
  <c r="R607" i="2"/>
  <c r="R572" i="2"/>
  <c r="R558" i="2"/>
  <c r="R534" i="2"/>
  <c r="R506" i="2"/>
  <c r="R457" i="2"/>
  <c r="R443" i="2"/>
  <c r="R429" i="2"/>
  <c r="R422" i="2"/>
  <c r="R391" i="2"/>
  <c r="R384" i="2"/>
  <c r="R377" i="2"/>
  <c r="R317" i="2"/>
  <c r="R306" i="2"/>
  <c r="R299" i="2"/>
  <c r="R292" i="2"/>
  <c r="R285" i="2"/>
  <c r="R271" i="2"/>
  <c r="R240" i="2"/>
  <c r="AE333" i="3"/>
  <c r="AE309" i="3"/>
  <c r="AE195" i="3"/>
  <c r="AE178" i="3"/>
  <c r="AE139" i="3"/>
  <c r="AE113" i="3"/>
  <c r="AE34" i="3"/>
  <c r="R806" i="2"/>
  <c r="R771" i="2"/>
  <c r="R719" i="2"/>
  <c r="R705" i="2"/>
  <c r="R656" i="2"/>
  <c r="AE394" i="3"/>
  <c r="AE374" i="3"/>
  <c r="AE370" i="3"/>
  <c r="AE329" i="3"/>
  <c r="AE320" i="3"/>
  <c r="AE211" i="3"/>
  <c r="AE207" i="3"/>
  <c r="AE56" i="3"/>
  <c r="AE33" i="3"/>
  <c r="AE17" i="3"/>
  <c r="R725" i="2"/>
  <c r="R682" i="2"/>
  <c r="R675" i="2"/>
  <c r="R646" i="2"/>
  <c r="R617" i="2"/>
  <c r="R592" i="2"/>
  <c r="R585" i="2"/>
  <c r="R578" i="2"/>
  <c r="R521" i="2"/>
  <c r="R449" i="2"/>
  <c r="R431" i="2"/>
  <c r="R366" i="2"/>
  <c r="R266" i="2"/>
  <c r="R248" i="2"/>
  <c r="R208" i="2"/>
  <c r="R158" i="2"/>
  <c r="R133" i="2"/>
  <c r="R97" i="2"/>
  <c r="R65" i="2"/>
  <c r="R58" i="2"/>
  <c r="R41" i="2"/>
  <c r="R34" i="2"/>
  <c r="R27" i="2"/>
  <c r="R10" i="2"/>
  <c r="R807" i="2"/>
  <c r="R233" i="2"/>
  <c r="R215" i="2"/>
  <c r="R147" i="2"/>
  <c r="R122" i="2"/>
  <c r="R68" i="2"/>
  <c r="R51" i="2"/>
  <c r="R13" i="2"/>
  <c r="AE420" i="3"/>
  <c r="AE284" i="3"/>
  <c r="AE240" i="3"/>
  <c r="AE172" i="3"/>
  <c r="AE125" i="3"/>
  <c r="AE66" i="3"/>
  <c r="R613" i="2"/>
  <c r="R332" i="2"/>
  <c r="R186" i="2"/>
  <c r="AE180" i="3"/>
  <c r="AE123" i="3"/>
  <c r="AE91" i="3"/>
  <c r="AE77" i="3"/>
  <c r="AE75" i="3"/>
  <c r="AE35" i="3"/>
  <c r="AE31" i="3"/>
  <c r="R775" i="2"/>
  <c r="R664" i="2"/>
  <c r="R657" i="2"/>
  <c r="R624" i="2"/>
  <c r="R599" i="2"/>
  <c r="R567" i="2"/>
  <c r="R542" i="2"/>
  <c r="R535" i="2"/>
  <c r="R495" i="2"/>
  <c r="R474" i="2"/>
  <c r="R402" i="2"/>
  <c r="R373" i="2"/>
  <c r="R318" i="2"/>
  <c r="R288" i="2"/>
  <c r="R277" i="2"/>
  <c r="R244" i="2"/>
  <c r="R226" i="2"/>
  <c r="R197" i="2"/>
  <c r="R165" i="2"/>
  <c r="R140" i="2"/>
  <c r="R129" i="2"/>
  <c r="R115" i="2"/>
  <c r="R104" i="2"/>
  <c r="R72" i="2"/>
  <c r="R789" i="2"/>
  <c r="R746" i="2"/>
  <c r="R739" i="2"/>
  <c r="R728" i="2"/>
  <c r="R685" i="2"/>
  <c r="R678" i="2"/>
  <c r="R653" i="2"/>
  <c r="R606" i="2"/>
  <c r="R588" i="2"/>
  <c r="R531" i="2"/>
  <c r="R524" i="2"/>
  <c r="R517" i="2"/>
  <c r="R488" i="2"/>
  <c r="R481" i="2"/>
  <c r="R456" i="2"/>
  <c r="R409" i="2"/>
  <c r="R347" i="2"/>
  <c r="R325" i="2"/>
  <c r="R295" i="2"/>
  <c r="R204" i="2"/>
  <c r="R172" i="2"/>
  <c r="R136" i="2"/>
  <c r="R111" i="2"/>
  <c r="R79" i="2"/>
  <c r="R44" i="2"/>
  <c r="R37" i="2"/>
  <c r="R20" i="2"/>
  <c r="R796" i="2"/>
  <c r="R552" i="2"/>
  <c r="R502" i="2"/>
  <c r="R477" i="2"/>
  <c r="R423" i="2"/>
  <c r="R284" i="2"/>
  <c r="R236" i="2"/>
  <c r="R222" i="2"/>
  <c r="R143" i="2"/>
  <c r="AE488" i="3"/>
  <c r="AE236" i="3"/>
  <c r="AE121" i="3"/>
  <c r="AE116" i="3"/>
  <c r="AE62" i="3"/>
  <c r="AE39" i="3"/>
  <c r="AE378" i="3"/>
  <c r="AE244" i="3"/>
  <c r="AE194" i="3"/>
  <c r="AE176" i="3"/>
  <c r="AE149" i="3"/>
  <c r="AE137" i="3"/>
  <c r="AE84" i="3"/>
  <c r="R782" i="2"/>
  <c r="R753" i="2"/>
  <c r="R692" i="2"/>
  <c r="R667" i="2"/>
  <c r="R631" i="2"/>
  <c r="R545" i="2"/>
  <c r="R538" i="2"/>
  <c r="R463" i="2"/>
  <c r="R445" i="2"/>
  <c r="R416" i="2"/>
  <c r="R380" i="2"/>
  <c r="R369" i="2"/>
  <c r="R362" i="2"/>
  <c r="R321" i="2"/>
  <c r="R273" i="2"/>
  <c r="R255" i="2"/>
  <c r="R251" i="2"/>
  <c r="R229" i="2"/>
  <c r="R211" i="2"/>
  <c r="R179" i="2"/>
  <c r="R168" i="2"/>
  <c r="R161" i="2"/>
  <c r="R118" i="2"/>
  <c r="R86" i="2"/>
  <c r="R354" i="2"/>
  <c r="R291" i="2"/>
  <c r="R154" i="2"/>
  <c r="AE30" i="3"/>
  <c r="R802" i="2"/>
  <c r="R795" i="2"/>
  <c r="R734" i="2"/>
  <c r="R659" i="2"/>
  <c r="R612" i="2"/>
  <c r="R601" i="2"/>
  <c r="R551" i="2"/>
  <c r="R501" i="2"/>
  <c r="R404" i="2"/>
  <c r="R397" i="2"/>
  <c r="R353" i="2"/>
  <c r="R349" i="2"/>
  <c r="R342" i="2"/>
  <c r="R301" i="2"/>
  <c r="R279" i="2"/>
  <c r="R235" i="2"/>
  <c r="R206" i="2"/>
  <c r="R192" i="2"/>
  <c r="R185" i="2"/>
  <c r="R153" i="2"/>
  <c r="R149" i="2"/>
  <c r="R74" i="2"/>
  <c r="R60" i="2"/>
  <c r="R53" i="2"/>
  <c r="R46" i="2"/>
  <c r="R22" i="2"/>
  <c r="R15" i="2"/>
  <c r="R264" i="2"/>
  <c r="R242" i="2"/>
  <c r="R213" i="2"/>
  <c r="R181" i="2"/>
  <c r="R63" i="2"/>
  <c r="R56" i="2"/>
  <c r="R18" i="2"/>
  <c r="AE199" i="3"/>
  <c r="AE38" i="3"/>
  <c r="R701" i="2"/>
  <c r="R662" i="2"/>
  <c r="R651" i="2"/>
  <c r="R622" i="2"/>
  <c r="R604" i="2"/>
  <c r="R529" i="2"/>
  <c r="R468" i="2"/>
  <c r="AE369" i="3"/>
  <c r="AE344" i="3"/>
  <c r="AE292" i="3"/>
  <c r="AE129" i="3"/>
  <c r="AE97" i="3"/>
  <c r="AE57" i="3"/>
  <c r="AE40" i="3"/>
  <c r="R784" i="2"/>
  <c r="R755" i="2"/>
  <c r="R748" i="2"/>
  <c r="R741" i="2"/>
  <c r="R712" i="2"/>
  <c r="R694" i="2"/>
  <c r="R687" i="2"/>
  <c r="R526" i="2"/>
  <c r="R519" i="2"/>
  <c r="R508" i="2"/>
  <c r="R465" i="2"/>
  <c r="R458" i="2"/>
  <c r="R447" i="2"/>
  <c r="R411" i="2"/>
  <c r="R386" i="2"/>
  <c r="R338" i="2"/>
  <c r="R316" i="2"/>
  <c r="R312" i="2"/>
  <c r="R275" i="2"/>
  <c r="R257" i="2"/>
  <c r="R246" i="2"/>
  <c r="R217" i="2"/>
  <c r="R174" i="2"/>
  <c r="R124" i="2"/>
  <c r="R113" i="2"/>
  <c r="R88" i="2"/>
  <c r="R81" i="2"/>
  <c r="R308" i="2"/>
  <c r="R188" i="2"/>
  <c r="R120" i="2"/>
  <c r="R102" i="2"/>
  <c r="R95" i="2"/>
  <c r="R25" i="2"/>
  <c r="AE177" i="3"/>
  <c r="AE131" i="3"/>
  <c r="AE65" i="3"/>
  <c r="AE61" i="3"/>
  <c r="R805" i="2"/>
  <c r="R769" i="2"/>
  <c r="R762" i="2"/>
  <c r="R744" i="2"/>
  <c r="R737" i="2"/>
  <c r="R597" i="2"/>
  <c r="R493" i="2"/>
  <c r="R407" i="2"/>
  <c r="R400" i="2"/>
  <c r="AE371" i="3"/>
  <c r="AE346" i="3"/>
  <c r="AE273" i="3"/>
  <c r="AE271" i="3"/>
  <c r="AE237" i="3"/>
  <c r="AE181" i="3"/>
  <c r="AE179" i="3"/>
  <c r="AE63" i="3"/>
  <c r="AE42" i="3"/>
  <c r="AE36" i="3"/>
  <c r="R798" i="2"/>
  <c r="R723" i="2"/>
  <c r="R673" i="2"/>
  <c r="R615" i="2"/>
  <c r="R583" i="2"/>
  <c r="R554" i="2"/>
  <c r="R436" i="2"/>
  <c r="R393" i="2"/>
  <c r="R364" i="2"/>
  <c r="R360" i="2"/>
  <c r="R356" i="2"/>
  <c r="R156" i="2"/>
  <c r="R32" i="2"/>
  <c r="R565" i="2"/>
  <c r="AE245" i="3"/>
  <c r="AE72" i="3"/>
  <c r="R727" i="2"/>
  <c r="R641" i="2"/>
  <c r="R446" i="2"/>
  <c r="R401" i="2"/>
  <c r="R298" i="2"/>
  <c r="R294" i="2"/>
  <c r="R219" i="2"/>
  <c r="R108" i="2"/>
  <c r="R93" i="2"/>
  <c r="R89" i="2"/>
  <c r="AE390" i="3"/>
  <c r="AE255" i="3"/>
  <c r="R749" i="2"/>
  <c r="R629" i="2"/>
  <c r="R254" i="2"/>
  <c r="R587" i="2"/>
  <c r="R337" i="2"/>
  <c r="R293" i="2"/>
  <c r="R237" i="2"/>
  <c r="R166" i="2"/>
  <c r="R99" i="2"/>
  <c r="R674" i="2"/>
  <c r="AE325" i="3"/>
  <c r="AE283" i="3"/>
  <c r="AE18" i="3"/>
  <c r="AE13" i="3"/>
  <c r="R772" i="2"/>
  <c r="R566" i="2"/>
  <c r="R487" i="2"/>
  <c r="R461" i="2"/>
  <c r="R302" i="2"/>
  <c r="R274" i="2"/>
  <c r="R223" i="2"/>
  <c r="R195" i="2"/>
  <c r="R167" i="2"/>
  <c r="R85" i="2"/>
  <c r="R77" i="2"/>
  <c r="R73" i="2"/>
  <c r="R57" i="2"/>
  <c r="R42" i="2"/>
  <c r="R38" i="2"/>
  <c r="R23" i="2"/>
  <c r="R210" i="2"/>
  <c r="R198" i="2"/>
  <c r="R119" i="2"/>
  <c r="R464" i="2"/>
  <c r="R258" i="2"/>
  <c r="R103" i="2"/>
  <c r="R84" i="2"/>
  <c r="R14" i="2"/>
  <c r="AE249" i="3"/>
  <c r="AE151" i="3"/>
  <c r="AE23" i="3"/>
  <c r="R768" i="2"/>
  <c r="R742" i="2"/>
  <c r="R697" i="2"/>
  <c r="R648" i="2"/>
  <c r="R603" i="2"/>
  <c r="R573" i="2"/>
  <c r="R562" i="2"/>
  <c r="R536" i="2"/>
  <c r="R494" i="2"/>
  <c r="R378" i="2"/>
  <c r="R374" i="2"/>
  <c r="R370" i="2"/>
  <c r="R334" i="2"/>
  <c r="R270" i="2"/>
  <c r="R234" i="2"/>
  <c r="R191" i="2"/>
  <c r="R171" i="2"/>
  <c r="R159" i="2"/>
  <c r="R151" i="2"/>
  <c r="R11" i="2"/>
  <c r="R313" i="2"/>
  <c r="R92" i="2"/>
  <c r="R45" i="2"/>
  <c r="AE69" i="3"/>
  <c r="R786" i="2"/>
  <c r="R475" i="2"/>
  <c r="R546" i="2"/>
  <c r="R365" i="2"/>
  <c r="R333" i="2"/>
  <c r="AE308" i="3"/>
  <c r="AE287" i="3"/>
  <c r="AE156" i="3"/>
  <c r="AE10" i="3"/>
  <c r="R783" i="2"/>
  <c r="R708" i="2"/>
  <c r="R584" i="2"/>
  <c r="R528" i="2"/>
  <c r="R453" i="2"/>
  <c r="R412" i="2"/>
  <c r="R330" i="2"/>
  <c r="R326" i="2"/>
  <c r="R286" i="2"/>
  <c r="R282" i="2"/>
  <c r="R278" i="2"/>
  <c r="R250" i="2"/>
  <c r="R230" i="2"/>
  <c r="R202" i="2"/>
  <c r="R187" i="2"/>
  <c r="R175" i="2"/>
  <c r="R163" i="2"/>
  <c r="R155" i="2"/>
  <c r="R139" i="2"/>
  <c r="R135" i="2"/>
  <c r="R96" i="2"/>
  <c r="R61" i="2"/>
  <c r="R30" i="2"/>
  <c r="R26" i="2"/>
  <c r="R704" i="2"/>
  <c r="R614" i="2"/>
  <c r="R419" i="2"/>
  <c r="R345" i="2"/>
  <c r="AE12" i="3"/>
  <c r="R726" i="2"/>
  <c r="R711" i="2"/>
  <c r="R505" i="2"/>
  <c r="R430" i="2"/>
  <c r="R289" i="2"/>
  <c r="R80" i="2"/>
  <c r="R64" i="2"/>
  <c r="R756" i="2"/>
  <c r="R636" i="2"/>
  <c r="R426" i="2"/>
  <c r="AE410" i="3"/>
  <c r="AE190" i="3"/>
  <c r="AE46" i="3"/>
  <c r="AE25" i="3"/>
  <c r="R779" i="2"/>
  <c r="R693" i="2"/>
  <c r="R569" i="2"/>
  <c r="R543" i="2"/>
  <c r="R509" i="2"/>
  <c r="R309" i="2"/>
  <c r="R305" i="2"/>
  <c r="R663" i="2"/>
  <c r="R127" i="2"/>
  <c r="R381" i="2"/>
  <c r="R241" i="2"/>
  <c r="R218" i="2"/>
  <c r="AE436" i="3"/>
  <c r="AE198" i="3"/>
  <c r="R778" i="2"/>
  <c r="R763" i="2"/>
  <c r="R677" i="2"/>
  <c r="R579" i="2"/>
  <c r="R568" i="2"/>
  <c r="R553" i="2"/>
  <c r="R523" i="2"/>
  <c r="R489" i="2"/>
  <c r="R478" i="2"/>
  <c r="R352" i="2"/>
  <c r="R296" i="2"/>
  <c r="R253" i="2"/>
  <c r="R106" i="2"/>
  <c r="R91" i="2"/>
  <c r="R87" i="2"/>
  <c r="R67" i="2"/>
  <c r="R17" i="2"/>
  <c r="AE324" i="3"/>
  <c r="R804" i="2"/>
  <c r="R688" i="2"/>
  <c r="R639" i="2"/>
  <c r="R609" i="2"/>
  <c r="R575" i="2"/>
  <c r="R444" i="2"/>
  <c r="R399" i="2"/>
  <c r="R300" i="2"/>
  <c r="R272" i="2"/>
  <c r="R268" i="2"/>
  <c r="R126" i="2"/>
  <c r="R75" i="2"/>
  <c r="R71" i="2"/>
  <c r="R40" i="2"/>
  <c r="R36" i="2"/>
  <c r="R21" i="2"/>
  <c r="AE159" i="3"/>
  <c r="AE155" i="3"/>
  <c r="AE55" i="3"/>
  <c r="AE29" i="3"/>
  <c r="AE24" i="3"/>
  <c r="R785" i="2"/>
  <c r="R684" i="2"/>
  <c r="R586" i="2"/>
  <c r="R485" i="2"/>
  <c r="R459" i="2"/>
  <c r="R414" i="2"/>
  <c r="R376" i="2"/>
  <c r="R232" i="2"/>
  <c r="R228" i="2"/>
  <c r="R189" i="2"/>
  <c r="R157" i="2"/>
  <c r="R98" i="2"/>
  <c r="R55" i="2"/>
  <c r="AE191" i="3"/>
  <c r="AE20" i="3"/>
  <c r="R767" i="2"/>
  <c r="R512" i="2"/>
  <c r="R243" i="2"/>
  <c r="R196" i="2"/>
  <c r="R137" i="2"/>
  <c r="R43" i="2"/>
  <c r="R132" i="2"/>
  <c r="R16" i="2"/>
  <c r="R144" i="2"/>
  <c r="R758" i="2"/>
  <c r="R596" i="2"/>
  <c r="R340" i="2"/>
  <c r="R681" i="2"/>
  <c r="R394" i="2"/>
  <c r="R348" i="2"/>
  <c r="R280" i="2"/>
  <c r="AE167" i="3"/>
  <c r="R634" i="2"/>
  <c r="R335" i="2"/>
  <c r="R101" i="2"/>
  <c r="R70" i="2"/>
  <c r="AE298" i="3"/>
  <c r="R736" i="2"/>
  <c r="R717" i="2"/>
  <c r="R632" i="2"/>
  <c r="R473" i="2"/>
  <c r="R367" i="2"/>
  <c r="R363" i="2"/>
  <c r="R303" i="2"/>
  <c r="R47" i="2"/>
  <c r="R148" i="2"/>
  <c r="R522" i="2"/>
  <c r="R259" i="2"/>
  <c r="R220" i="2"/>
  <c r="AE68" i="3"/>
  <c r="R323" i="2"/>
  <c r="AE277" i="3"/>
  <c r="AE26" i="3"/>
  <c r="AE276" i="3"/>
  <c r="AE242" i="3"/>
  <c r="R709" i="2"/>
  <c r="R527" i="2"/>
  <c r="R492" i="2"/>
  <c r="R281" i="2"/>
  <c r="R256" i="2"/>
  <c r="R247" i="2"/>
  <c r="R141" i="2"/>
  <c r="R212" i="2"/>
  <c r="R170" i="2"/>
  <c r="R128" i="2"/>
  <c r="R387" i="2"/>
  <c r="R216" i="2"/>
  <c r="R754" i="2"/>
  <c r="R623" i="2"/>
  <c r="R491" i="2"/>
  <c r="R123" i="2"/>
  <c r="R110" i="2"/>
  <c r="R62" i="2"/>
  <c r="R390" i="2"/>
  <c r="R224" i="2"/>
  <c r="R173" i="2"/>
  <c r="R160" i="2"/>
  <c r="AE83" i="3"/>
  <c r="AE254" i="3"/>
  <c r="AE54" i="3"/>
  <c r="R724" i="2"/>
  <c r="R589" i="2"/>
  <c r="R260" i="2"/>
  <c r="R12" i="2"/>
  <c r="R94" i="2"/>
  <c r="R182" i="2"/>
  <c r="AE214" i="3"/>
  <c r="AE165" i="3"/>
  <c r="AE71" i="3"/>
  <c r="R24" i="2"/>
  <c r="R541" i="2"/>
  <c r="R421" i="2"/>
  <c r="R765" i="2"/>
  <c r="R537" i="2"/>
  <c r="R417" i="2"/>
  <c r="R331" i="2"/>
  <c r="R751" i="2"/>
  <c r="R643" i="2"/>
  <c r="R484" i="2"/>
  <c r="R320" i="2"/>
  <c r="AE486" i="3"/>
  <c r="AE449" i="3"/>
  <c r="AE19" i="3"/>
  <c r="R743" i="2"/>
  <c r="R666" i="2"/>
  <c r="R616" i="2"/>
  <c r="R379" i="2"/>
  <c r="R328" i="2"/>
  <c r="R225" i="2"/>
  <c r="R54" i="2"/>
  <c r="R50" i="2"/>
  <c r="R33" i="2"/>
  <c r="R561" i="2"/>
  <c r="R507" i="2"/>
  <c r="R437" i="2"/>
  <c r="R267" i="2"/>
  <c r="R199" i="2"/>
  <c r="R797" i="2"/>
  <c r="R627" i="2"/>
  <c r="R433" i="2"/>
  <c r="R406" i="2"/>
  <c r="R383" i="2"/>
  <c r="R203" i="2"/>
  <c r="R178" i="2"/>
  <c r="R263" i="2"/>
  <c r="R514" i="2"/>
  <c r="R319" i="2"/>
  <c r="R194" i="2"/>
  <c r="R66" i="2"/>
  <c r="R28" i="2"/>
  <c r="R665" i="2"/>
  <c r="R164" i="2"/>
  <c r="R249" i="2"/>
  <c r="R177" i="2"/>
  <c r="R792" i="2"/>
  <c r="AE103" i="3"/>
  <c r="AE87" i="3"/>
  <c r="AE47" i="3"/>
  <c r="R661" i="2"/>
  <c r="R467" i="2"/>
  <c r="R676" i="2"/>
  <c r="R466" i="2"/>
  <c r="R78" i="2"/>
  <c r="R125" i="2"/>
  <c r="R571" i="2"/>
  <c r="R788" i="2"/>
  <c r="R35" i="2"/>
  <c r="R598" i="2"/>
  <c r="R432" i="2"/>
  <c r="R582" i="2"/>
  <c r="R52" i="2"/>
  <c r="R799" i="2"/>
  <c r="R451" i="2"/>
  <c r="R482" i="2"/>
  <c r="AE52" i="3"/>
  <c r="R239" i="2"/>
  <c r="R105" i="2"/>
  <c r="R193" i="2"/>
  <c r="AE70" i="3"/>
  <c r="R201" i="2"/>
  <c r="R227" i="2"/>
  <c r="R695" i="2"/>
  <c r="R109" i="2"/>
  <c r="R82" i="2"/>
  <c r="R555" i="2"/>
  <c r="R142" i="2"/>
  <c r="R209" i="2"/>
  <c r="AE128" i="3"/>
  <c r="R150" i="2"/>
  <c r="AE58" i="3"/>
  <c r="R722" i="2"/>
  <c r="R691" i="2"/>
  <c r="R117" i="2"/>
  <c r="R130" i="2"/>
  <c r="R116" i="2"/>
  <c r="R287" i="2"/>
  <c r="R392" i="2"/>
  <c r="R439" i="2"/>
  <c r="R339" i="2"/>
  <c r="AE396" i="3"/>
  <c r="R718" i="2"/>
  <c r="R683" i="2"/>
  <c r="R355" i="2"/>
  <c r="R372" i="2"/>
  <c r="R205" i="2"/>
  <c r="R146" i="2"/>
  <c r="R48" i="2"/>
  <c r="R706" i="2"/>
  <c r="R31" i="2"/>
  <c r="AE448" i="3"/>
  <c r="R702" i="2"/>
  <c r="R359" i="2"/>
  <c r="R346" i="2"/>
  <c r="R261" i="2"/>
  <c r="R184" i="2"/>
  <c r="R180" i="2"/>
  <c r="R729" i="2"/>
  <c r="R548" i="2"/>
  <c r="R134" i="2"/>
  <c r="R112" i="2"/>
  <c r="R544" i="2"/>
  <c r="R265" i="2"/>
  <c r="AE111" i="3"/>
  <c r="R424" i="2"/>
  <c r="R645" i="2"/>
  <c r="R621" i="2"/>
  <c r="Q128" i="3"/>
  <c r="AA128" i="3"/>
  <c r="Z128" i="3"/>
  <c r="Q129" i="3" s="1"/>
  <c r="P128" i="3"/>
  <c r="P75" i="3"/>
  <c r="Z52" i="3"/>
  <c r="Q53" i="3" s="1"/>
  <c r="Q52" i="3"/>
  <c r="AC66" i="3"/>
  <c r="AD66" i="3"/>
  <c r="L9" i="4"/>
  <c r="O9" i="4" s="1"/>
  <c r="I5" i="4"/>
  <c r="G5" i="4"/>
  <c r="V29" i="1"/>
  <c r="AC154" i="3" l="1"/>
  <c r="AD154" i="3"/>
  <c r="AC148" i="3"/>
  <c r="AD148" i="3"/>
  <c r="V148" i="3"/>
  <c r="Z56" i="3"/>
  <c r="Q57" i="3" s="1"/>
  <c r="Q56" i="3"/>
  <c r="Q87" i="3"/>
  <c r="Z87" i="3"/>
  <c r="AC103" i="3"/>
  <c r="V103" i="3"/>
  <c r="AD103" i="3"/>
  <c r="Z100" i="3"/>
  <c r="Q100" i="3"/>
  <c r="Q95" i="3"/>
  <c r="Z95" i="3"/>
  <c r="Q40" i="1"/>
  <c r="Q39" i="1"/>
  <c r="Q38" i="1"/>
  <c r="Q34" i="1"/>
  <c r="Q36" i="1"/>
  <c r="Q37" i="1"/>
  <c r="Q35" i="1"/>
  <c r="Z123" i="3"/>
  <c r="Q123" i="3"/>
  <c r="J46" i="1"/>
  <c r="J45" i="1"/>
  <c r="J41" i="1"/>
  <c r="E5" i="4"/>
  <c r="C5" i="4"/>
  <c r="D34" i="1"/>
  <c r="D35" i="1"/>
  <c r="AC35" i="3"/>
  <c r="AD35" i="3"/>
  <c r="AC115" i="3"/>
  <c r="AD115" i="3"/>
  <c r="V115" i="3"/>
  <c r="J34" i="1"/>
  <c r="J67" i="5"/>
  <c r="J64" i="5"/>
  <c r="J61" i="5"/>
  <c r="J58" i="5"/>
  <c r="J55" i="5"/>
  <c r="J57" i="5"/>
  <c r="B69" i="5"/>
  <c r="J66" i="5"/>
  <c r="J53" i="5"/>
  <c r="G69" i="5"/>
  <c r="E15" i="5" s="1"/>
  <c r="J68" i="5"/>
  <c r="J63" i="5"/>
  <c r="J56" i="5"/>
  <c r="J62" i="5"/>
  <c r="J60" i="5"/>
  <c r="J59" i="5"/>
  <c r="J65" i="5"/>
  <c r="J54" i="5"/>
  <c r="V30" i="1"/>
  <c r="C23" i="1" s="1"/>
  <c r="C24" i="1"/>
  <c r="AD58" i="3"/>
  <c r="AC58" i="3"/>
  <c r="V58" i="3"/>
  <c r="J38" i="1"/>
  <c r="Q141" i="3"/>
  <c r="Z141" i="3"/>
  <c r="Q120" i="3"/>
  <c r="Z120" i="3"/>
  <c r="Q121" i="3" s="1"/>
  <c r="AC116" i="3"/>
  <c r="AD116" i="3"/>
  <c r="V116" i="3"/>
  <c r="Z41" i="3"/>
  <c r="Q41" i="3"/>
  <c r="Q135" i="3"/>
  <c r="Z135" i="3"/>
  <c r="Q136" i="3" s="1"/>
  <c r="AD117" i="3"/>
  <c r="AC117" i="3"/>
  <c r="V54" i="3"/>
  <c r="AD54" i="3"/>
  <c r="AC54" i="3"/>
  <c r="AD44" i="3"/>
  <c r="AC44" i="3"/>
  <c r="V44" i="3"/>
  <c r="AC137" i="3"/>
  <c r="AD137" i="3"/>
  <c r="V137" i="3"/>
  <c r="Z59" i="3"/>
  <c r="Q59" i="3"/>
  <c r="Z148" i="3"/>
  <c r="Q149" i="3" s="1"/>
  <c r="AD53" i="3"/>
  <c r="AC53" i="3"/>
  <c r="AC40" i="3"/>
  <c r="AD40" i="3"/>
  <c r="V40" i="3"/>
  <c r="Z28" i="3"/>
  <c r="Q28" i="3"/>
  <c r="AD107" i="3"/>
  <c r="AC107" i="3"/>
  <c r="V107" i="3"/>
  <c r="AC130" i="3"/>
  <c r="AD130" i="3"/>
  <c r="V130" i="3"/>
  <c r="Z18" i="3"/>
  <c r="Q18" i="3"/>
  <c r="AD131" i="3"/>
  <c r="AC131" i="3"/>
  <c r="AD17" i="3"/>
  <c r="AC17" i="3"/>
  <c r="V17" i="3"/>
  <c r="Z138" i="3"/>
  <c r="Q138" i="3"/>
  <c r="AD147" i="3"/>
  <c r="AC147" i="3"/>
  <c r="V147" i="3"/>
  <c r="Q151" i="3"/>
  <c r="Z151" i="3"/>
  <c r="Q152" i="3" s="1"/>
  <c r="Q55" i="3"/>
  <c r="AD127" i="3"/>
  <c r="AC127" i="3"/>
  <c r="V127" i="3"/>
  <c r="AC27" i="3"/>
  <c r="AD27" i="3"/>
  <c r="V27" i="3"/>
  <c r="Q65" i="3"/>
  <c r="Q14" i="3"/>
  <c r="Z14" i="3"/>
  <c r="AD108" i="3"/>
  <c r="AC108" i="3"/>
  <c r="V108" i="3"/>
  <c r="Z155" i="3"/>
  <c r="Q155" i="3"/>
  <c r="Z109" i="3"/>
  <c r="Q110" i="3" s="1"/>
  <c r="Q109" i="3"/>
  <c r="AC150" i="3"/>
  <c r="AD150" i="3"/>
  <c r="V150" i="3"/>
  <c r="AC129" i="3"/>
  <c r="AD129" i="3"/>
  <c r="J40" i="1"/>
  <c r="AC68" i="3"/>
  <c r="AD68" i="3"/>
  <c r="V68" i="3"/>
  <c r="AD64" i="3"/>
  <c r="AC64" i="3"/>
  <c r="AD13" i="3"/>
  <c r="AC13" i="3"/>
  <c r="Z85" i="3"/>
  <c r="Q86" i="3" s="1"/>
  <c r="Q85" i="3"/>
  <c r="Z45" i="3"/>
  <c r="Q45" i="3"/>
  <c r="AC118" i="3"/>
  <c r="AD118" i="3"/>
  <c r="Z111" i="3"/>
  <c r="Q111" i="3"/>
  <c r="Q36" i="3"/>
  <c r="Z36" i="3"/>
  <c r="AD52" i="3"/>
  <c r="V52" i="3"/>
  <c r="AC52" i="3"/>
  <c r="AC99" i="3"/>
  <c r="AD99" i="3"/>
  <c r="V99" i="3"/>
  <c r="Q69" i="3"/>
  <c r="Z69" i="3"/>
  <c r="AD84" i="3"/>
  <c r="AC84" i="3"/>
  <c r="J29" i="5"/>
  <c r="B15" i="5"/>
  <c r="J46" i="5"/>
  <c r="J26" i="5"/>
  <c r="J43" i="5"/>
  <c r="J23" i="5"/>
  <c r="J40" i="5"/>
  <c r="J20" i="5"/>
  <c r="J37" i="5"/>
  <c r="J39" i="5"/>
  <c r="J19" i="5"/>
  <c r="J33" i="5"/>
  <c r="J36" i="5"/>
  <c r="J32" i="5"/>
  <c r="J27" i="5"/>
  <c r="J31" i="5"/>
  <c r="G49" i="5"/>
  <c r="D15" i="5" s="1"/>
  <c r="B49" i="5"/>
  <c r="J44" i="5"/>
  <c r="J22" i="5"/>
  <c r="J47" i="5"/>
  <c r="J25" i="5"/>
  <c r="J38" i="5"/>
  <c r="J30" i="5"/>
  <c r="J45" i="5"/>
  <c r="J48" i="5"/>
  <c r="J28" i="5"/>
  <c r="J42" i="5"/>
  <c r="J21" i="5"/>
  <c r="J35" i="5"/>
  <c r="J24" i="5"/>
  <c r="J41" i="5"/>
  <c r="J34" i="5"/>
  <c r="AD146" i="3"/>
  <c r="AC146" i="3"/>
  <c r="V146" i="3"/>
  <c r="AC128" i="3"/>
  <c r="AD128" i="3"/>
  <c r="V128" i="3"/>
  <c r="Q104" i="3"/>
  <c r="Z104" i="3"/>
  <c r="AD94" i="3"/>
  <c r="AC94" i="3"/>
  <c r="V94" i="3"/>
  <c r="J44" i="1"/>
  <c r="E30" i="5" l="1"/>
  <c r="D30" i="5"/>
  <c r="C30" i="5"/>
  <c r="G30" i="5"/>
  <c r="B30" i="5"/>
  <c r="F30" i="5"/>
  <c r="G26" i="5"/>
  <c r="F26" i="5"/>
  <c r="E26" i="5"/>
  <c r="B26" i="5"/>
  <c r="D26" i="5"/>
  <c r="C26" i="5"/>
  <c r="AC109" i="3"/>
  <c r="AD109" i="3"/>
  <c r="V109" i="3"/>
  <c r="Q29" i="3"/>
  <c r="Z29" i="3"/>
  <c r="B65" i="5"/>
  <c r="C65" i="5"/>
  <c r="D65" i="5"/>
  <c r="G65" i="5"/>
  <c r="F65" i="5"/>
  <c r="E65" i="5"/>
  <c r="Z96" i="3"/>
  <c r="Q96" i="3"/>
  <c r="E38" i="5"/>
  <c r="D38" i="5"/>
  <c r="C38" i="5"/>
  <c r="B38" i="5"/>
  <c r="G38" i="5"/>
  <c r="F38" i="5"/>
  <c r="G46" i="5"/>
  <c r="F46" i="5"/>
  <c r="E46" i="5"/>
  <c r="D46" i="5"/>
  <c r="C46" i="5"/>
  <c r="B46" i="5"/>
  <c r="AD45" i="3"/>
  <c r="AC45" i="3"/>
  <c r="V45" i="3"/>
  <c r="AC110" i="3"/>
  <c r="AD110" i="3"/>
  <c r="D59" i="5"/>
  <c r="C59" i="5"/>
  <c r="B59" i="5"/>
  <c r="G59" i="5"/>
  <c r="F59" i="5"/>
  <c r="E59" i="5"/>
  <c r="AD95" i="3"/>
  <c r="V95" i="3"/>
  <c r="AC95" i="3"/>
  <c r="E48" i="5"/>
  <c r="C48" i="5"/>
  <c r="G48" i="5"/>
  <c r="F48" i="5"/>
  <c r="D48" i="5"/>
  <c r="B48" i="5"/>
  <c r="AD151" i="3"/>
  <c r="AC151" i="3"/>
  <c r="V151" i="3"/>
  <c r="B47" i="5"/>
  <c r="G47" i="5"/>
  <c r="F47" i="5"/>
  <c r="E47" i="5"/>
  <c r="D47" i="5"/>
  <c r="C47" i="5"/>
  <c r="Q139" i="3"/>
  <c r="Z139" i="3"/>
  <c r="Q140" i="3" s="1"/>
  <c r="G22" i="5"/>
  <c r="E22" i="5"/>
  <c r="D22" i="5"/>
  <c r="C22" i="5"/>
  <c r="B22" i="5"/>
  <c r="F22" i="5"/>
  <c r="AD86" i="3"/>
  <c r="AC86" i="3"/>
  <c r="AD41" i="3"/>
  <c r="AC41" i="3"/>
  <c r="V41" i="3"/>
  <c r="Q42" i="3"/>
  <c r="Z42" i="3"/>
  <c r="Q43" i="3" s="1"/>
  <c r="F63" i="5"/>
  <c r="D63" i="5"/>
  <c r="G63" i="5"/>
  <c r="C63" i="5"/>
  <c r="B63" i="5"/>
  <c r="E63" i="5"/>
  <c r="Q70" i="3"/>
  <c r="Z70" i="3"/>
  <c r="G68" i="5"/>
  <c r="E68" i="5"/>
  <c r="D68" i="5"/>
  <c r="C68" i="5"/>
  <c r="B68" i="5"/>
  <c r="F68" i="5"/>
  <c r="G23" i="5"/>
  <c r="F23" i="5"/>
  <c r="E23" i="5"/>
  <c r="D23" i="5"/>
  <c r="C23" i="5"/>
  <c r="B23" i="5"/>
  <c r="G29" i="5"/>
  <c r="F29" i="5"/>
  <c r="E29" i="5"/>
  <c r="D29" i="5"/>
  <c r="C29" i="5"/>
  <c r="B29" i="5"/>
  <c r="Z156" i="3"/>
  <c r="Q156" i="3"/>
  <c r="Z101" i="3"/>
  <c r="Q102" i="3" s="1"/>
  <c r="Q101" i="3"/>
  <c r="AD104" i="3"/>
  <c r="AC104" i="3"/>
  <c r="V104" i="3"/>
  <c r="E56" i="5"/>
  <c r="D56" i="5"/>
  <c r="C56" i="5"/>
  <c r="B56" i="5"/>
  <c r="G56" i="5"/>
  <c r="F56" i="5"/>
  <c r="C44" i="5"/>
  <c r="B44" i="5"/>
  <c r="F44" i="5"/>
  <c r="E44" i="5"/>
  <c r="D44" i="5"/>
  <c r="G44" i="5"/>
  <c r="AD69" i="3"/>
  <c r="AC69" i="3"/>
  <c r="V69" i="3"/>
  <c r="Z15" i="3"/>
  <c r="Q16" i="3" s="1"/>
  <c r="Q15" i="3"/>
  <c r="AD149" i="3"/>
  <c r="AC149" i="3"/>
  <c r="Z88" i="3"/>
  <c r="Q88" i="3"/>
  <c r="G43" i="5"/>
  <c r="F43" i="5"/>
  <c r="D43" i="5"/>
  <c r="C43" i="5"/>
  <c r="B43" i="5"/>
  <c r="E43" i="5"/>
  <c r="G54" i="5"/>
  <c r="B54" i="5"/>
  <c r="D54" i="5"/>
  <c r="C54" i="5"/>
  <c r="E54" i="5"/>
  <c r="F54" i="5"/>
  <c r="Q46" i="3"/>
  <c r="Z46" i="3"/>
  <c r="AD100" i="3"/>
  <c r="AC100" i="3"/>
  <c r="V100" i="3"/>
  <c r="D31" i="5"/>
  <c r="B31" i="5"/>
  <c r="G31" i="5"/>
  <c r="F31" i="5"/>
  <c r="E31" i="5"/>
  <c r="C31" i="5"/>
  <c r="AC14" i="3"/>
  <c r="AD14" i="3"/>
  <c r="V14" i="3"/>
  <c r="AC59" i="3"/>
  <c r="AD59" i="3"/>
  <c r="V59" i="3"/>
  <c r="AD87" i="3"/>
  <c r="AC87" i="3"/>
  <c r="V87" i="3"/>
  <c r="B27" i="5"/>
  <c r="G27" i="5"/>
  <c r="F27" i="5"/>
  <c r="E27" i="5"/>
  <c r="D27" i="5"/>
  <c r="C27" i="5"/>
  <c r="AD65" i="3"/>
  <c r="AC65" i="3"/>
  <c r="Z60" i="3"/>
  <c r="Q60" i="3"/>
  <c r="AC121" i="3"/>
  <c r="AD121" i="3"/>
  <c r="E66" i="5"/>
  <c r="C66" i="5"/>
  <c r="G66" i="5"/>
  <c r="F66" i="5"/>
  <c r="D66" i="5"/>
  <c r="B66" i="5"/>
  <c r="AD56" i="3"/>
  <c r="AC56" i="3"/>
  <c r="V56" i="3"/>
  <c r="G32" i="5"/>
  <c r="F32" i="5"/>
  <c r="E32" i="5"/>
  <c r="D32" i="5"/>
  <c r="C32" i="5"/>
  <c r="B32" i="5"/>
  <c r="AD18" i="3"/>
  <c r="AC18" i="3"/>
  <c r="V18" i="3"/>
  <c r="AC120" i="3"/>
  <c r="AD120" i="3"/>
  <c r="V120" i="3"/>
  <c r="AD57" i="3"/>
  <c r="AC57" i="3"/>
  <c r="AD155" i="3"/>
  <c r="AC155" i="3"/>
  <c r="V155" i="3"/>
  <c r="AD135" i="3"/>
  <c r="AC135" i="3"/>
  <c r="V135" i="3"/>
  <c r="G36" i="5"/>
  <c r="F36" i="5"/>
  <c r="E36" i="5"/>
  <c r="D36" i="5"/>
  <c r="C36" i="5"/>
  <c r="B36" i="5"/>
  <c r="D41" i="5"/>
  <c r="C41" i="5"/>
  <c r="B41" i="5"/>
  <c r="F41" i="5"/>
  <c r="E41" i="5"/>
  <c r="G41" i="5"/>
  <c r="E33" i="5"/>
  <c r="D33" i="5"/>
  <c r="C33" i="5"/>
  <c r="B33" i="5"/>
  <c r="G33" i="5"/>
  <c r="F33" i="5"/>
  <c r="AD141" i="3"/>
  <c r="AC141" i="3"/>
  <c r="V141" i="3"/>
  <c r="B55" i="5"/>
  <c r="G55" i="5"/>
  <c r="F55" i="5"/>
  <c r="E55" i="5"/>
  <c r="D55" i="5"/>
  <c r="C55" i="5"/>
  <c r="Z124" i="3"/>
  <c r="Q124" i="3"/>
  <c r="F19" i="5"/>
  <c r="D19" i="5"/>
  <c r="C19" i="5"/>
  <c r="B19" i="5"/>
  <c r="G19" i="5"/>
  <c r="E19" i="5"/>
  <c r="G58" i="5"/>
  <c r="C58" i="5"/>
  <c r="B58" i="5"/>
  <c r="F58" i="5"/>
  <c r="E58" i="5"/>
  <c r="D58" i="5"/>
  <c r="G60" i="5"/>
  <c r="E60" i="5"/>
  <c r="D60" i="5"/>
  <c r="C60" i="5"/>
  <c r="B60" i="5"/>
  <c r="F60" i="5"/>
  <c r="AD85" i="3"/>
  <c r="AC85" i="3"/>
  <c r="V85" i="3"/>
  <c r="F57" i="5"/>
  <c r="G57" i="5"/>
  <c r="E57" i="5"/>
  <c r="D57" i="5"/>
  <c r="C57" i="5"/>
  <c r="B57" i="5"/>
  <c r="F39" i="5"/>
  <c r="C39" i="5"/>
  <c r="B39" i="5"/>
  <c r="D39" i="5"/>
  <c r="G39" i="5"/>
  <c r="E39" i="5"/>
  <c r="Q37" i="3"/>
  <c r="Z37" i="3"/>
  <c r="Q38" i="3" s="1"/>
  <c r="G61" i="5"/>
  <c r="F61" i="5"/>
  <c r="E61" i="5"/>
  <c r="B61" i="5"/>
  <c r="D61" i="5"/>
  <c r="C61" i="5"/>
  <c r="V28" i="3"/>
  <c r="AD28" i="3"/>
  <c r="AC28" i="3"/>
  <c r="AD138" i="3"/>
  <c r="AC138" i="3"/>
  <c r="V138" i="3"/>
  <c r="F53" i="5"/>
  <c r="E53" i="5"/>
  <c r="D53" i="5"/>
  <c r="C53" i="5"/>
  <c r="B53" i="5"/>
  <c r="G53" i="5"/>
  <c r="AC123" i="3"/>
  <c r="AD123" i="3"/>
  <c r="V123" i="3"/>
  <c r="B37" i="5"/>
  <c r="G37" i="5"/>
  <c r="F37" i="5"/>
  <c r="E37" i="5"/>
  <c r="D37" i="5"/>
  <c r="C37" i="5"/>
  <c r="AD36" i="3"/>
  <c r="AC36" i="3"/>
  <c r="V36" i="3"/>
  <c r="G64" i="5"/>
  <c r="F64" i="5"/>
  <c r="E64" i="5"/>
  <c r="D64" i="5"/>
  <c r="C64" i="5"/>
  <c r="B64" i="5"/>
  <c r="F45" i="5"/>
  <c r="D45" i="5"/>
  <c r="G45" i="5"/>
  <c r="E45" i="5"/>
  <c r="C45" i="5"/>
  <c r="B45" i="5"/>
  <c r="F25" i="5"/>
  <c r="D25" i="5"/>
  <c r="G25" i="5"/>
  <c r="E25" i="5"/>
  <c r="C25" i="5"/>
  <c r="B25" i="5"/>
  <c r="AC136" i="3"/>
  <c r="AD136" i="3"/>
  <c r="Q105" i="3"/>
  <c r="Z105" i="3"/>
  <c r="Q106" i="3" s="1"/>
  <c r="C34" i="5"/>
  <c r="F34" i="5"/>
  <c r="E34" i="5"/>
  <c r="D34" i="5"/>
  <c r="G34" i="5"/>
  <c r="B34" i="5"/>
  <c r="Q19" i="3"/>
  <c r="Z19" i="3"/>
  <c r="Z142" i="3"/>
  <c r="Q142" i="3"/>
  <c r="C24" i="5"/>
  <c r="B24" i="5"/>
  <c r="G24" i="5"/>
  <c r="F24" i="5"/>
  <c r="E24" i="5"/>
  <c r="D24" i="5"/>
  <c r="F35" i="5"/>
  <c r="E35" i="5"/>
  <c r="D35" i="5"/>
  <c r="C35" i="5"/>
  <c r="B35" i="5"/>
  <c r="G35" i="5"/>
  <c r="D21" i="5"/>
  <c r="C21" i="5"/>
  <c r="B21" i="5"/>
  <c r="G21" i="5"/>
  <c r="F21" i="5"/>
  <c r="E21" i="5"/>
  <c r="G42" i="5"/>
  <c r="E42" i="5"/>
  <c r="F42" i="5"/>
  <c r="D42" i="5"/>
  <c r="C42" i="5"/>
  <c r="B42" i="5"/>
  <c r="G20" i="5"/>
  <c r="E20" i="5"/>
  <c r="D20" i="5"/>
  <c r="C20" i="5"/>
  <c r="B20" i="5"/>
  <c r="F20" i="5"/>
  <c r="AD111" i="3"/>
  <c r="V111" i="3"/>
  <c r="AC111" i="3"/>
  <c r="AC55" i="3"/>
  <c r="AD55" i="3"/>
  <c r="V55" i="3"/>
  <c r="G67" i="5"/>
  <c r="F67" i="5"/>
  <c r="E67" i="5"/>
  <c r="D67" i="5"/>
  <c r="C67" i="5"/>
  <c r="B67" i="5"/>
  <c r="C62" i="5"/>
  <c r="B62" i="5"/>
  <c r="G62" i="5"/>
  <c r="F62" i="5"/>
  <c r="E62" i="5"/>
  <c r="D62" i="5"/>
  <c r="E28" i="5"/>
  <c r="C28" i="5"/>
  <c r="B28" i="5"/>
  <c r="F28" i="5"/>
  <c r="G28" i="5"/>
  <c r="D28" i="5"/>
  <c r="G40" i="5"/>
  <c r="F40" i="5"/>
  <c r="E40" i="5"/>
  <c r="D40" i="5"/>
  <c r="C40" i="5"/>
  <c r="B40" i="5"/>
  <c r="Z112" i="3"/>
  <c r="Q112" i="3"/>
  <c r="AC152" i="3"/>
  <c r="AD152" i="3"/>
  <c r="AD106" i="3" l="1"/>
  <c r="AC106" i="3"/>
  <c r="AC101" i="3"/>
  <c r="AD101" i="3"/>
  <c r="V101" i="3"/>
  <c r="AD105" i="3"/>
  <c r="AC105" i="3"/>
  <c r="V105" i="3"/>
  <c r="AC46" i="3"/>
  <c r="V46" i="3"/>
  <c r="AD46" i="3"/>
  <c r="AC102" i="3"/>
  <c r="AD102" i="3"/>
  <c r="AD156" i="3"/>
  <c r="AC156" i="3"/>
  <c r="Z71" i="3"/>
  <c r="Q71" i="3"/>
  <c r="Q157" i="3"/>
  <c r="Z157" i="3"/>
  <c r="V70" i="3"/>
  <c r="AD70" i="3"/>
  <c r="AC70" i="3"/>
  <c r="AD37" i="3"/>
  <c r="AC37" i="3"/>
  <c r="V37" i="3"/>
  <c r="AD16" i="3"/>
  <c r="AC16" i="3"/>
  <c r="AD124" i="3"/>
  <c r="AC124" i="3"/>
  <c r="V124" i="3"/>
  <c r="AD96" i="3"/>
  <c r="AC96" i="3"/>
  <c r="V96" i="3"/>
  <c r="AD88" i="3"/>
  <c r="AC88" i="3"/>
  <c r="V88" i="3"/>
  <c r="Z89" i="3"/>
  <c r="Q90" i="3" s="1"/>
  <c r="Q89" i="3"/>
  <c r="AC15" i="3"/>
  <c r="AD15" i="3"/>
  <c r="V15" i="3"/>
  <c r="Q47" i="3"/>
  <c r="Z47" i="3"/>
  <c r="Q97" i="3"/>
  <c r="Z97" i="3"/>
  <c r="Q98" i="3" s="1"/>
  <c r="AC43" i="3"/>
  <c r="AD43" i="3"/>
  <c r="AD29" i="3"/>
  <c r="AC29" i="3"/>
  <c r="V29" i="3"/>
  <c r="Q143" i="3"/>
  <c r="Z143" i="3"/>
  <c r="Q61" i="3"/>
  <c r="Z61" i="3"/>
  <c r="Q62" i="3" s="1"/>
  <c r="AD42" i="3"/>
  <c r="AC42" i="3"/>
  <c r="V42" i="3"/>
  <c r="Q30" i="3"/>
  <c r="Z30" i="3"/>
  <c r="Q31" i="3" s="1"/>
  <c r="Z113" i="3"/>
  <c r="Q114" i="3" s="1"/>
  <c r="Q113" i="3"/>
  <c r="Q125" i="3"/>
  <c r="Z125" i="3"/>
  <c r="Q126" i="3" s="1"/>
  <c r="AD142" i="3"/>
  <c r="AC142" i="3"/>
  <c r="V142" i="3"/>
  <c r="AD60" i="3"/>
  <c r="AC60" i="3"/>
  <c r="V60" i="3"/>
  <c r="Q20" i="3"/>
  <c r="Z20" i="3"/>
  <c r="AC140" i="3"/>
  <c r="AD140" i="3"/>
  <c r="AD139" i="3"/>
  <c r="AC139" i="3"/>
  <c r="V139" i="3"/>
  <c r="AD112" i="3"/>
  <c r="AC112" i="3"/>
  <c r="V112" i="3"/>
  <c r="AC19" i="3"/>
  <c r="AD19" i="3"/>
  <c r="V19" i="3"/>
  <c r="AC38" i="3"/>
  <c r="AD38" i="3"/>
  <c r="AD61" i="3" l="1"/>
  <c r="AC61" i="3"/>
  <c r="V61" i="3"/>
  <c r="AC62" i="3"/>
  <c r="AD62" i="3"/>
  <c r="AC97" i="3"/>
  <c r="AD97" i="3"/>
  <c r="V97" i="3"/>
  <c r="AD114" i="3"/>
  <c r="AC114" i="3"/>
  <c r="AC47" i="3"/>
  <c r="AD47" i="3"/>
  <c r="V47" i="3"/>
  <c r="AC31" i="3"/>
  <c r="AD31" i="3"/>
  <c r="AC71" i="3"/>
  <c r="AD71" i="3"/>
  <c r="V71" i="3"/>
  <c r="V125" i="3"/>
  <c r="AD125" i="3"/>
  <c r="AC125" i="3"/>
  <c r="AD113" i="3"/>
  <c r="AC113" i="3"/>
  <c r="V113" i="3"/>
  <c r="Z48" i="3"/>
  <c r="Q49" i="3" s="1"/>
  <c r="Q48" i="3"/>
  <c r="AC30" i="3"/>
  <c r="AD30" i="3"/>
  <c r="V30" i="3"/>
  <c r="Z72" i="3"/>
  <c r="Q72" i="3"/>
  <c r="AC143" i="3"/>
  <c r="V143" i="3"/>
  <c r="AD143" i="3"/>
  <c r="Q144" i="3"/>
  <c r="Z144" i="3"/>
  <c r="Q145" i="3" s="1"/>
  <c r="Z21" i="3"/>
  <c r="Q22" i="3" s="1"/>
  <c r="Q21" i="3"/>
  <c r="AD20" i="3"/>
  <c r="AC20" i="3"/>
  <c r="V20" i="3"/>
  <c r="AD98" i="3"/>
  <c r="AC98" i="3"/>
  <c r="AD126" i="3"/>
  <c r="AC126" i="3"/>
  <c r="AC89" i="3"/>
  <c r="AD89" i="3"/>
  <c r="V89" i="3"/>
  <c r="Z158" i="3"/>
  <c r="Q158" i="3"/>
  <c r="AC90" i="3"/>
  <c r="AD90" i="3"/>
  <c r="AC157" i="3"/>
  <c r="AD157" i="3"/>
  <c r="AD145" i="3" l="1"/>
  <c r="AC145" i="3"/>
  <c r="AD49" i="3"/>
  <c r="AC49" i="3"/>
  <c r="AC144" i="3"/>
  <c r="AD144" i="3"/>
  <c r="V144" i="3"/>
  <c r="AC158" i="3"/>
  <c r="AD158" i="3"/>
  <c r="Q159" i="3"/>
  <c r="Z159" i="3"/>
  <c r="Q73" i="3"/>
  <c r="Z73" i="3"/>
  <c r="AC22" i="3"/>
  <c r="AD22" i="3"/>
  <c r="V72" i="3"/>
  <c r="AD72" i="3"/>
  <c r="AC72" i="3"/>
  <c r="AD48" i="3"/>
  <c r="V48" i="3"/>
  <c r="AC48" i="3"/>
  <c r="AD21" i="3"/>
  <c r="AC21" i="3"/>
  <c r="V21" i="3"/>
  <c r="Q160" i="3" l="1"/>
  <c r="Z160" i="3"/>
  <c r="Q74" i="3"/>
  <c r="Z74" i="3"/>
  <c r="AC159" i="3"/>
  <c r="AD159" i="3"/>
  <c r="AD73" i="3"/>
  <c r="AC73" i="3"/>
  <c r="V73" i="3"/>
  <c r="Q75" i="3" l="1"/>
  <c r="Z75" i="3"/>
  <c r="Q76" i="3" s="1"/>
  <c r="AD74" i="3"/>
  <c r="AC74" i="3"/>
  <c r="V74" i="3"/>
  <c r="Q161" i="3"/>
  <c r="Z161" i="3"/>
  <c r="AD160" i="3"/>
  <c r="AC160" i="3"/>
  <c r="Q162" i="3" l="1"/>
  <c r="Z162" i="3"/>
  <c r="AD161" i="3"/>
  <c r="AC161" i="3"/>
  <c r="AD76" i="3"/>
  <c r="AC76" i="3"/>
  <c r="AC75" i="3"/>
  <c r="AD75" i="3"/>
  <c r="V75" i="3"/>
  <c r="Q163" i="3" l="1"/>
  <c r="Z163" i="3"/>
  <c r="AC162" i="3"/>
  <c r="AD162" i="3"/>
  <c r="Q164" i="3" l="1"/>
  <c r="Z164" i="3"/>
  <c r="AC163" i="3"/>
  <c r="AD163" i="3"/>
  <c r="Q165" i="3" l="1"/>
  <c r="Z165" i="3"/>
  <c r="AD164" i="3"/>
  <c r="AC164" i="3"/>
  <c r="Z166" i="3" l="1"/>
  <c r="Q166" i="3"/>
  <c r="AC165" i="3"/>
  <c r="AD165" i="3"/>
  <c r="AC166" i="3" l="1"/>
  <c r="AD166" i="3"/>
  <c r="Q167" i="3"/>
  <c r="Z167" i="3"/>
  <c r="Z168" i="3" l="1"/>
  <c r="Q168" i="3"/>
  <c r="AC167" i="3"/>
  <c r="AD167" i="3"/>
  <c r="AC168" i="3" l="1"/>
  <c r="AD168" i="3"/>
  <c r="Q169" i="3"/>
  <c r="Z169" i="3"/>
  <c r="AD169" i="3" l="1"/>
  <c r="AC169" i="3"/>
  <c r="Q170" i="3"/>
  <c r="Z170" i="3"/>
  <c r="Q171" i="3" l="1"/>
  <c r="Z171" i="3"/>
  <c r="AC170" i="3"/>
  <c r="AD170" i="3"/>
  <c r="Z172" i="3" l="1"/>
  <c r="Q172" i="3"/>
  <c r="AD171" i="3"/>
  <c r="AC171" i="3"/>
  <c r="AD172" i="3" l="1"/>
  <c r="AC172" i="3"/>
  <c r="Q173" i="3"/>
  <c r="Z173" i="3"/>
  <c r="AD173" i="3" l="1"/>
  <c r="AC173" i="3"/>
  <c r="Z174" i="3"/>
  <c r="Q174" i="3"/>
  <c r="AC174" i="3" l="1"/>
  <c r="AD174" i="3"/>
  <c r="Z175" i="3"/>
  <c r="Q175" i="3"/>
  <c r="Q176" i="3" l="1"/>
  <c r="Z176" i="3"/>
  <c r="AC175" i="3"/>
  <c r="AD175" i="3"/>
  <c r="Q177" i="3" l="1"/>
  <c r="Z177" i="3"/>
  <c r="AD176" i="3"/>
  <c r="AC176" i="3"/>
  <c r="Q178" i="3" l="1"/>
  <c r="Z178" i="3"/>
  <c r="AC177" i="3"/>
  <c r="AD177" i="3"/>
  <c r="Z179" i="3" l="1"/>
  <c r="Q179" i="3"/>
  <c r="AD178" i="3"/>
  <c r="AC178" i="3"/>
  <c r="AC179" i="3" l="1"/>
  <c r="AD179" i="3"/>
  <c r="Z180" i="3"/>
  <c r="Q180" i="3"/>
  <c r="Q181" i="3" l="1"/>
  <c r="Z181" i="3"/>
  <c r="AD180" i="3"/>
  <c r="AC180" i="3"/>
  <c r="Q182" i="3" l="1"/>
  <c r="Z182" i="3"/>
  <c r="AC181" i="3"/>
  <c r="AD181" i="3"/>
  <c r="Z183" i="3" l="1"/>
  <c r="Q183" i="3"/>
  <c r="AD182" i="3"/>
  <c r="AC182" i="3"/>
  <c r="AD183" i="3" l="1"/>
  <c r="AC183" i="3"/>
  <c r="Z184" i="3"/>
  <c r="Q184" i="3"/>
  <c r="AD184" i="3" l="1"/>
  <c r="AC184" i="3"/>
  <c r="Q185" i="3"/>
  <c r="Z185" i="3"/>
  <c r="Q186" i="3" l="1"/>
  <c r="Z186" i="3"/>
  <c r="AC185" i="3"/>
  <c r="AD185" i="3"/>
  <c r="Q187" i="3" l="1"/>
  <c r="Z187" i="3"/>
  <c r="AD186" i="3"/>
  <c r="AC186" i="3"/>
  <c r="Z188" i="3" l="1"/>
  <c r="Q188" i="3"/>
  <c r="AD187" i="3"/>
  <c r="AC187" i="3"/>
  <c r="AD188" i="3" l="1"/>
  <c r="AC188" i="3"/>
  <c r="Q189" i="3"/>
  <c r="Z189" i="3"/>
  <c r="AC189" i="3" l="1"/>
  <c r="AD189" i="3"/>
  <c r="Q190" i="3"/>
  <c r="Z190" i="3"/>
  <c r="Z191" i="3" l="1"/>
  <c r="Q191" i="3"/>
  <c r="AD190" i="3"/>
  <c r="AC190" i="3"/>
  <c r="AD191" i="3" l="1"/>
  <c r="AC191" i="3"/>
  <c r="Z192" i="3"/>
  <c r="Q192" i="3"/>
  <c r="AD192" i="3" l="1"/>
  <c r="AC192" i="3"/>
  <c r="Z193" i="3"/>
  <c r="Q193" i="3"/>
  <c r="AC193" i="3" l="1"/>
  <c r="AD193" i="3"/>
  <c r="Q194" i="3"/>
  <c r="Z194" i="3"/>
  <c r="Z195" i="3" l="1"/>
  <c r="Q195" i="3"/>
  <c r="AD194" i="3"/>
  <c r="AC194" i="3"/>
  <c r="AD195" i="3" l="1"/>
  <c r="AC195" i="3"/>
  <c r="Q196" i="3"/>
  <c r="Z196" i="3"/>
  <c r="Q197" i="3" l="1"/>
  <c r="Z197" i="3"/>
  <c r="AD196" i="3"/>
  <c r="AC196" i="3"/>
  <c r="Q198" i="3" l="1"/>
  <c r="Z198" i="3"/>
  <c r="AC197" i="3"/>
  <c r="AD197" i="3"/>
  <c r="Q199" i="3" l="1"/>
  <c r="Z199" i="3"/>
  <c r="AC198" i="3"/>
  <c r="AD198" i="3"/>
  <c r="Z200" i="3" l="1"/>
  <c r="Q200" i="3"/>
  <c r="AC199" i="3"/>
  <c r="AD199" i="3"/>
  <c r="AC200" i="3" l="1"/>
  <c r="AD200" i="3"/>
  <c r="Z201" i="3"/>
  <c r="Q201" i="3"/>
  <c r="AC201" i="3" l="1"/>
  <c r="AD201" i="3"/>
  <c r="Z202" i="3"/>
  <c r="Q202" i="3"/>
  <c r="AC202" i="3" l="1"/>
  <c r="AD202" i="3"/>
  <c r="Z203" i="3"/>
  <c r="Q203" i="3"/>
  <c r="AD203" i="3" l="1"/>
  <c r="AC203" i="3"/>
  <c r="Z204" i="3"/>
  <c r="Q204" i="3"/>
  <c r="AD204" i="3" l="1"/>
  <c r="AC204" i="3"/>
  <c r="Q205" i="3"/>
  <c r="Z205" i="3"/>
  <c r="Q206" i="3" l="1"/>
  <c r="Z206" i="3"/>
  <c r="AC205" i="3"/>
  <c r="AD205" i="3"/>
  <c r="Q207" i="3" l="1"/>
  <c r="Z207" i="3"/>
  <c r="AC206" i="3"/>
  <c r="AD206" i="3"/>
  <c r="Z208" i="3" l="1"/>
  <c r="Q208" i="3"/>
  <c r="AC207" i="3"/>
  <c r="AD207" i="3"/>
  <c r="AD208" i="3" l="1"/>
  <c r="AC208" i="3"/>
  <c r="Q209" i="3"/>
  <c r="Z209" i="3"/>
  <c r="Q210" i="3" l="1"/>
  <c r="Z210" i="3"/>
  <c r="AC209" i="3"/>
  <c r="AD209" i="3"/>
  <c r="Z211" i="3" l="1"/>
  <c r="Q211" i="3"/>
  <c r="AD210" i="3"/>
  <c r="AC210" i="3"/>
  <c r="AC211" i="3" l="1"/>
  <c r="AD211" i="3"/>
  <c r="Z212" i="3"/>
  <c r="Q212" i="3"/>
  <c r="Z213" i="3" l="1"/>
  <c r="Q213" i="3"/>
  <c r="AD212" i="3"/>
  <c r="AC212" i="3"/>
  <c r="AC213" i="3" l="1"/>
  <c r="AD213" i="3"/>
  <c r="Z214" i="3"/>
  <c r="Q214" i="3"/>
  <c r="Q215" i="3" l="1"/>
  <c r="Z215" i="3"/>
  <c r="AC214" i="3"/>
  <c r="AD214" i="3"/>
  <c r="Q216" i="3" l="1"/>
  <c r="Z216" i="3"/>
  <c r="AC215" i="3"/>
  <c r="AD215" i="3"/>
  <c r="Q217" i="3" l="1"/>
  <c r="Z217" i="3"/>
  <c r="AC216" i="3"/>
  <c r="AD216" i="3"/>
  <c r="Q218" i="3" l="1"/>
  <c r="Z218" i="3"/>
  <c r="AC217" i="3"/>
  <c r="AD217" i="3"/>
  <c r="Q219" i="3" l="1"/>
  <c r="Z219" i="3"/>
  <c r="AD218" i="3"/>
  <c r="AC218" i="3"/>
  <c r="Q220" i="3" l="1"/>
  <c r="Z220" i="3"/>
  <c r="AC219" i="3"/>
  <c r="AD219" i="3"/>
  <c r="Q221" i="3" l="1"/>
  <c r="Z221" i="3"/>
  <c r="AD220" i="3"/>
  <c r="AC220" i="3"/>
  <c r="Z222" i="3" l="1"/>
  <c r="Q222" i="3"/>
  <c r="AC221" i="3"/>
  <c r="AD221" i="3"/>
  <c r="AD222" i="3" l="1"/>
  <c r="AC222" i="3"/>
  <c r="Z223" i="3"/>
  <c r="Q223" i="3"/>
  <c r="Z224" i="3" l="1"/>
  <c r="Q224" i="3"/>
  <c r="AD223" i="3"/>
  <c r="AC223" i="3"/>
  <c r="AC224" i="3" l="1"/>
  <c r="AD224" i="3"/>
  <c r="Q225" i="3"/>
  <c r="Z225" i="3"/>
  <c r="AC225" i="3" l="1"/>
  <c r="AD225" i="3"/>
  <c r="Q226" i="3"/>
  <c r="Z226" i="3"/>
  <c r="Q227" i="3" l="1"/>
  <c r="Z227" i="3"/>
  <c r="AD226" i="3"/>
  <c r="AC226" i="3"/>
  <c r="Z228" i="3" l="1"/>
  <c r="Q228" i="3"/>
  <c r="AD227" i="3"/>
  <c r="AC227" i="3"/>
  <c r="AD228" i="3" l="1"/>
  <c r="AC228" i="3"/>
  <c r="Q229" i="3"/>
  <c r="Z229" i="3"/>
  <c r="Q230" i="3" l="1"/>
  <c r="Z230" i="3"/>
  <c r="AC229" i="3"/>
  <c r="AD229" i="3"/>
  <c r="Q231" i="3" l="1"/>
  <c r="Z231" i="3"/>
  <c r="AC230" i="3"/>
  <c r="AD230" i="3"/>
  <c r="Z232" i="3" l="1"/>
  <c r="Q232" i="3"/>
  <c r="AD231" i="3"/>
  <c r="AC231" i="3"/>
  <c r="AD232" i="3" l="1"/>
  <c r="AC232" i="3"/>
  <c r="Z233" i="3"/>
  <c r="Q233" i="3"/>
  <c r="AC233" i="3" l="1"/>
  <c r="AD233" i="3"/>
  <c r="Q234" i="3"/>
  <c r="Z234" i="3"/>
  <c r="Q235" i="3" l="1"/>
  <c r="Z235" i="3"/>
  <c r="AC234" i="3"/>
  <c r="AD234" i="3"/>
  <c r="Q236" i="3" l="1"/>
  <c r="Z236" i="3"/>
  <c r="AC235" i="3"/>
  <c r="AD235" i="3"/>
  <c r="Q237" i="3" l="1"/>
  <c r="Z237" i="3"/>
  <c r="AC236" i="3"/>
  <c r="AD236" i="3"/>
  <c r="Q238" i="3" l="1"/>
  <c r="Z238" i="3"/>
  <c r="AC237" i="3"/>
  <c r="AD237" i="3"/>
  <c r="Z239" i="3" l="1"/>
  <c r="Q239" i="3"/>
  <c r="AC238" i="3"/>
  <c r="AD238" i="3"/>
  <c r="AD239" i="3" l="1"/>
  <c r="AC239" i="3"/>
  <c r="Z240" i="3"/>
  <c r="Q240" i="3"/>
  <c r="AC240" i="3" l="1"/>
  <c r="AD240" i="3"/>
  <c r="Q241" i="3"/>
  <c r="Z241" i="3"/>
  <c r="AC241" i="3" l="1"/>
  <c r="AD241" i="3"/>
  <c r="Q242" i="3"/>
  <c r="Z242" i="3"/>
  <c r="Q243" i="3" l="1"/>
  <c r="Z243" i="3"/>
  <c r="AD242" i="3"/>
  <c r="AC242" i="3"/>
  <c r="Q244" i="3" l="1"/>
  <c r="Z244" i="3"/>
  <c r="AC243" i="3"/>
  <c r="AD243" i="3"/>
  <c r="Z245" i="3" l="1"/>
  <c r="Q245" i="3"/>
  <c r="AD244" i="3"/>
  <c r="AC244" i="3"/>
  <c r="AC245" i="3" l="1"/>
  <c r="AD245" i="3"/>
  <c r="Q246" i="3"/>
  <c r="Z246" i="3"/>
  <c r="Z247" i="3" l="1"/>
  <c r="Q247" i="3"/>
  <c r="AD246" i="3"/>
  <c r="AC246" i="3"/>
  <c r="AD247" i="3" l="1"/>
  <c r="AC247" i="3"/>
  <c r="Z248" i="3"/>
  <c r="Q248" i="3"/>
  <c r="AC248" i="3" l="1"/>
  <c r="AD248" i="3"/>
  <c r="Q249" i="3"/>
  <c r="Z249" i="3"/>
  <c r="AC249" i="3" l="1"/>
  <c r="AD249" i="3"/>
  <c r="Z250" i="3"/>
  <c r="Q250" i="3"/>
  <c r="AC250" i="3" l="1"/>
  <c r="AD250" i="3"/>
  <c r="Q251" i="3"/>
  <c r="Z251" i="3"/>
  <c r="AC251" i="3" l="1"/>
  <c r="AD251" i="3"/>
  <c r="Q252" i="3"/>
  <c r="Z252" i="3"/>
  <c r="AD252" i="3" l="1"/>
  <c r="AC252" i="3"/>
  <c r="Q253" i="3"/>
  <c r="Z253" i="3"/>
  <c r="Z254" i="3" l="1"/>
  <c r="Q254" i="3"/>
  <c r="AD253" i="3"/>
  <c r="AC253" i="3"/>
  <c r="AC254" i="3" l="1"/>
  <c r="AD254" i="3"/>
  <c r="Z255" i="3"/>
  <c r="Q255" i="3"/>
  <c r="AD255" i="3" l="1"/>
  <c r="AC255" i="3"/>
  <c r="Z256" i="3"/>
  <c r="Q256" i="3"/>
  <c r="AD256" i="3" l="1"/>
  <c r="AC256" i="3"/>
  <c r="Z257" i="3"/>
  <c r="Q257" i="3"/>
  <c r="AD257" i="3" l="1"/>
  <c r="AC257" i="3"/>
  <c r="Q258" i="3"/>
  <c r="Z258" i="3"/>
  <c r="Z259" i="3" l="1"/>
  <c r="Q259" i="3"/>
  <c r="AC258" i="3"/>
  <c r="AD258" i="3"/>
  <c r="AD259" i="3" l="1"/>
  <c r="AC259" i="3"/>
  <c r="Q260" i="3"/>
  <c r="Z260" i="3"/>
  <c r="AD260" i="3" l="1"/>
  <c r="AC260" i="3"/>
  <c r="Z261" i="3"/>
  <c r="Q261" i="3"/>
  <c r="AD261" i="3" l="1"/>
  <c r="AC261" i="3"/>
  <c r="Z262" i="3"/>
  <c r="Q262" i="3"/>
  <c r="AC262" i="3" l="1"/>
  <c r="AD262" i="3"/>
  <c r="Z263" i="3"/>
  <c r="Q263" i="3"/>
  <c r="AD263" i="3" l="1"/>
  <c r="AC263" i="3"/>
  <c r="Z264" i="3"/>
  <c r="Q264" i="3"/>
  <c r="Q265" i="3" l="1"/>
  <c r="Z265" i="3"/>
  <c r="AC264" i="3"/>
  <c r="AD264" i="3"/>
  <c r="Z266" i="3" l="1"/>
  <c r="Q266" i="3"/>
  <c r="AD265" i="3"/>
  <c r="AC265" i="3"/>
  <c r="AD266" i="3" l="1"/>
  <c r="AC266" i="3"/>
  <c r="Q267" i="3"/>
  <c r="Z267" i="3"/>
  <c r="AD267" i="3" l="1"/>
  <c r="AC267" i="3"/>
  <c r="Z268" i="3"/>
  <c r="Q268" i="3"/>
  <c r="Z269" i="3" l="1"/>
  <c r="Q269" i="3"/>
  <c r="AD268" i="3"/>
  <c r="AC268" i="3"/>
  <c r="AD269" i="3" l="1"/>
  <c r="AC269" i="3"/>
  <c r="Q270" i="3"/>
  <c r="Z270" i="3"/>
  <c r="Q271" i="3" l="1"/>
  <c r="Z271" i="3"/>
  <c r="AD270" i="3"/>
  <c r="AC270" i="3"/>
  <c r="Z272" i="3" l="1"/>
  <c r="Q272" i="3"/>
  <c r="AC271" i="3"/>
  <c r="AD271" i="3"/>
  <c r="AD272" i="3" l="1"/>
  <c r="AC272" i="3"/>
  <c r="Q273" i="3"/>
  <c r="Z273" i="3"/>
  <c r="AD273" i="3" l="1"/>
  <c r="AC273" i="3"/>
  <c r="Z274" i="3"/>
  <c r="Q274" i="3"/>
  <c r="Z275" i="3" l="1"/>
  <c r="Q275" i="3"/>
  <c r="AD274" i="3"/>
  <c r="AC274" i="3"/>
  <c r="AD275" i="3" l="1"/>
  <c r="AC275" i="3"/>
  <c r="Z276" i="3"/>
  <c r="Q276" i="3"/>
  <c r="AD276" i="3" l="1"/>
  <c r="AC276" i="3"/>
  <c r="Q277" i="3"/>
  <c r="Z277" i="3"/>
  <c r="Q278" i="3" l="1"/>
  <c r="Z278" i="3"/>
  <c r="AC277" i="3"/>
  <c r="AD277" i="3"/>
  <c r="Z279" i="3" l="1"/>
  <c r="Q279" i="3"/>
  <c r="AD278" i="3"/>
  <c r="AC278" i="3"/>
  <c r="AD279" i="3" l="1"/>
  <c r="AC279" i="3"/>
  <c r="Z280" i="3"/>
  <c r="Q280" i="3"/>
  <c r="Z281" i="3" l="1"/>
  <c r="Q281" i="3"/>
  <c r="AC280" i="3"/>
  <c r="AD280" i="3"/>
  <c r="AC281" i="3" l="1"/>
  <c r="AD281" i="3"/>
  <c r="Q282" i="3"/>
  <c r="Z282" i="3"/>
  <c r="AD282" i="3" l="1"/>
  <c r="AC282" i="3"/>
  <c r="Q283" i="3"/>
  <c r="Z283" i="3"/>
  <c r="Q284" i="3" l="1"/>
  <c r="Z284" i="3"/>
  <c r="AD283" i="3"/>
  <c r="AC283" i="3"/>
  <c r="Q285" i="3" l="1"/>
  <c r="Z285" i="3"/>
  <c r="AD284" i="3"/>
  <c r="AC284" i="3"/>
  <c r="Z286" i="3" l="1"/>
  <c r="Q286" i="3"/>
  <c r="AD285" i="3"/>
  <c r="AC285" i="3"/>
  <c r="AD286" i="3" l="1"/>
  <c r="AC286" i="3"/>
  <c r="Q287" i="3"/>
  <c r="Z287" i="3"/>
  <c r="Z288" i="3" l="1"/>
  <c r="Q288" i="3"/>
  <c r="AC287" i="3"/>
  <c r="AD287" i="3"/>
  <c r="AD288" i="3" l="1"/>
  <c r="AC288" i="3"/>
  <c r="Q289" i="3"/>
  <c r="Z289" i="3"/>
  <c r="Q290" i="3" l="1"/>
  <c r="Z290" i="3"/>
  <c r="AD289" i="3"/>
  <c r="AC289" i="3"/>
  <c r="Q291" i="3" l="1"/>
  <c r="Z291" i="3"/>
  <c r="AD290" i="3"/>
  <c r="AC290" i="3"/>
  <c r="Q292" i="3" l="1"/>
  <c r="Z292" i="3"/>
  <c r="AD291" i="3"/>
  <c r="AC291" i="3"/>
  <c r="Z293" i="3" l="1"/>
  <c r="Q293" i="3"/>
  <c r="AC292" i="3"/>
  <c r="AD292" i="3"/>
  <c r="AD293" i="3" l="1"/>
  <c r="AC293" i="3"/>
  <c r="Z294" i="3"/>
  <c r="Q294" i="3"/>
  <c r="AD294" i="3" l="1"/>
  <c r="AC294" i="3"/>
  <c r="Q295" i="3"/>
  <c r="Z295" i="3"/>
  <c r="AC295" i="3" l="1"/>
  <c r="AD295" i="3"/>
  <c r="Q296" i="3"/>
  <c r="Z296" i="3"/>
  <c r="AC296" i="3" l="1"/>
  <c r="AD296" i="3"/>
  <c r="Q297" i="3"/>
  <c r="Z297" i="3"/>
  <c r="AD297" i="3" l="1"/>
  <c r="AC297" i="3"/>
  <c r="Z298" i="3"/>
  <c r="Q298" i="3"/>
  <c r="AD298" i="3" l="1"/>
  <c r="AC298" i="3"/>
  <c r="Z299" i="3"/>
  <c r="Q299" i="3"/>
  <c r="AC299" i="3" l="1"/>
  <c r="AD299" i="3"/>
  <c r="Z300" i="3"/>
  <c r="Q300" i="3"/>
  <c r="AD300" i="3" l="1"/>
  <c r="AC300" i="3"/>
  <c r="Q301" i="3"/>
  <c r="Z301" i="3"/>
  <c r="Z302" i="3" l="1"/>
  <c r="Q302" i="3"/>
  <c r="AD301" i="3"/>
  <c r="AC301" i="3"/>
  <c r="AD302" i="3" l="1"/>
  <c r="AC302" i="3"/>
  <c r="Q303" i="3"/>
  <c r="Z303" i="3"/>
  <c r="AD303" i="3" l="1"/>
  <c r="AC303" i="3"/>
  <c r="Q304" i="3"/>
  <c r="Z304" i="3"/>
  <c r="Q305" i="3" l="1"/>
  <c r="Z305" i="3"/>
  <c r="AD304" i="3"/>
  <c r="AC304" i="3"/>
  <c r="Z306" i="3" l="1"/>
  <c r="Q306" i="3"/>
  <c r="AD305" i="3"/>
  <c r="AC305" i="3"/>
  <c r="AD306" i="3" l="1"/>
  <c r="AC306" i="3"/>
  <c r="Q307" i="3"/>
  <c r="Z307" i="3"/>
  <c r="Z308" i="3" l="1"/>
  <c r="Q308" i="3"/>
  <c r="AC307" i="3"/>
  <c r="AD307" i="3"/>
  <c r="AD308" i="3" l="1"/>
  <c r="AC308" i="3"/>
  <c r="Z309" i="3"/>
  <c r="Q309" i="3"/>
  <c r="AD309" i="3" l="1"/>
  <c r="AC309" i="3"/>
  <c r="Q310" i="3"/>
  <c r="Z310" i="3"/>
  <c r="Q311" i="3" l="1"/>
  <c r="Z311" i="3"/>
  <c r="AD310" i="3"/>
  <c r="AC310" i="3"/>
  <c r="Z312" i="3" l="1"/>
  <c r="Q312" i="3"/>
  <c r="AD311" i="3"/>
  <c r="AC311" i="3"/>
  <c r="AD312" i="3" l="1"/>
  <c r="AC312" i="3"/>
  <c r="Q313" i="3"/>
  <c r="Z313" i="3"/>
  <c r="Q314" i="3" l="1"/>
  <c r="Z314" i="3"/>
  <c r="AC313" i="3"/>
  <c r="AD313" i="3"/>
  <c r="Z315" i="3" l="1"/>
  <c r="Q315" i="3"/>
  <c r="AC314" i="3"/>
  <c r="AD314" i="3"/>
  <c r="AD315" i="3" l="1"/>
  <c r="AC315" i="3"/>
  <c r="Q316" i="3"/>
  <c r="Z316" i="3"/>
  <c r="Z317" i="3" l="1"/>
  <c r="Q317" i="3"/>
  <c r="AD316" i="3"/>
  <c r="AC316" i="3"/>
  <c r="AC317" i="3" l="1"/>
  <c r="AD317" i="3"/>
  <c r="Z318" i="3"/>
  <c r="Q318" i="3"/>
  <c r="AD318" i="3" l="1"/>
  <c r="AC318" i="3"/>
  <c r="Z319" i="3"/>
  <c r="Q319" i="3"/>
  <c r="AD319" i="3" l="1"/>
  <c r="AC319" i="3"/>
  <c r="Q320" i="3"/>
  <c r="Z320" i="3"/>
  <c r="Q321" i="3" l="1"/>
  <c r="Z321" i="3"/>
  <c r="AD320" i="3"/>
  <c r="AC320" i="3"/>
  <c r="Q322" i="3" l="1"/>
  <c r="Z322" i="3"/>
  <c r="AD321" i="3"/>
  <c r="AC321" i="3"/>
  <c r="Q323" i="3" l="1"/>
  <c r="Z323" i="3"/>
  <c r="AD322" i="3"/>
  <c r="AC322" i="3"/>
  <c r="Q324" i="3" l="1"/>
  <c r="Z324" i="3"/>
  <c r="AD323" i="3"/>
  <c r="AC323" i="3"/>
  <c r="Q325" i="3" l="1"/>
  <c r="Z325" i="3"/>
  <c r="AD324" i="3"/>
  <c r="AC324" i="3"/>
  <c r="Q326" i="3" l="1"/>
  <c r="Z326" i="3"/>
  <c r="AC325" i="3"/>
  <c r="AD325" i="3"/>
  <c r="Z327" i="3" l="1"/>
  <c r="Q327" i="3"/>
  <c r="AD326" i="3"/>
  <c r="AC326" i="3"/>
  <c r="AC327" i="3" l="1"/>
  <c r="AD327" i="3"/>
  <c r="Q328" i="3"/>
  <c r="Z328" i="3"/>
  <c r="Z329" i="3" l="1"/>
  <c r="Q329" i="3"/>
  <c r="AD328" i="3"/>
  <c r="AC328" i="3"/>
  <c r="AD329" i="3" l="1"/>
  <c r="AC329" i="3"/>
  <c r="Z330" i="3"/>
  <c r="Q330" i="3"/>
  <c r="AD330" i="3" l="1"/>
  <c r="AC330" i="3"/>
  <c r="Q331" i="3"/>
  <c r="Z331" i="3"/>
  <c r="AD331" i="3" l="1"/>
  <c r="AC331" i="3"/>
  <c r="Q332" i="3"/>
  <c r="Z332" i="3"/>
  <c r="AD332" i="3" l="1"/>
  <c r="AC332" i="3"/>
  <c r="Z333" i="3"/>
  <c r="Q333" i="3"/>
  <c r="Z334" i="3" l="1"/>
  <c r="Q334" i="3"/>
  <c r="AD333" i="3"/>
  <c r="AC333" i="3"/>
  <c r="AD334" i="3" l="1"/>
  <c r="AC334" i="3"/>
  <c r="Q335" i="3"/>
  <c r="Z335" i="3"/>
  <c r="Q336" i="3" l="1"/>
  <c r="Z336" i="3"/>
  <c r="AD335" i="3"/>
  <c r="AC335" i="3"/>
  <c r="Q337" i="3" l="1"/>
  <c r="Z337" i="3"/>
  <c r="AD336" i="3"/>
  <c r="AC336" i="3"/>
  <c r="Q338" i="3" l="1"/>
  <c r="Z338" i="3"/>
  <c r="AD337" i="3"/>
  <c r="AC337" i="3"/>
  <c r="Q339" i="3" l="1"/>
  <c r="Z339" i="3"/>
  <c r="AD338" i="3"/>
  <c r="AC338" i="3"/>
  <c r="Z340" i="3" l="1"/>
  <c r="Q340" i="3"/>
  <c r="AD339" i="3"/>
  <c r="AC339" i="3"/>
  <c r="AD340" i="3" l="1"/>
  <c r="AC340" i="3"/>
  <c r="Q341" i="3"/>
  <c r="Z341" i="3"/>
  <c r="AC341" i="3" l="1"/>
  <c r="AD341" i="3"/>
  <c r="Z342" i="3"/>
  <c r="Q342" i="3"/>
  <c r="Z343" i="3" l="1"/>
  <c r="Q343" i="3"/>
  <c r="AD342" i="3"/>
  <c r="AC342" i="3"/>
  <c r="AD343" i="3" l="1"/>
  <c r="AC343" i="3"/>
  <c r="Z344" i="3"/>
  <c r="Q344" i="3"/>
  <c r="AD344" i="3" l="1"/>
  <c r="AC344" i="3"/>
  <c r="Q345" i="3"/>
  <c r="Z345" i="3"/>
  <c r="AD345" i="3" l="1"/>
  <c r="AC345" i="3"/>
  <c r="Q346" i="3"/>
  <c r="Z346" i="3"/>
  <c r="Z347" i="3" l="1"/>
  <c r="Q347" i="3"/>
  <c r="AD346" i="3"/>
  <c r="AC346" i="3"/>
  <c r="AD347" i="3" l="1"/>
  <c r="AC347" i="3"/>
  <c r="Q348" i="3"/>
  <c r="Z348" i="3"/>
  <c r="AD348" i="3" l="1"/>
  <c r="AC348" i="3"/>
  <c r="Z349" i="3"/>
  <c r="Q349" i="3"/>
  <c r="Z350" i="3" l="1"/>
  <c r="Q350" i="3"/>
  <c r="AC349" i="3"/>
  <c r="AD349" i="3"/>
  <c r="AC350" i="3" l="1"/>
  <c r="AD350" i="3"/>
  <c r="Z351" i="3"/>
  <c r="Q351" i="3"/>
  <c r="AC351" i="3" l="1"/>
  <c r="AD351" i="3"/>
  <c r="Z352" i="3"/>
  <c r="Q352" i="3"/>
  <c r="AD352" i="3" l="1"/>
  <c r="AC352" i="3"/>
  <c r="Q353" i="3"/>
  <c r="Z353" i="3"/>
  <c r="Z354" i="3" l="1"/>
  <c r="Q354" i="3"/>
  <c r="AD353" i="3"/>
  <c r="AC353" i="3"/>
  <c r="AD354" i="3" l="1"/>
  <c r="AC354" i="3"/>
  <c r="Q355" i="3"/>
  <c r="Z355" i="3"/>
  <c r="AC355" i="3" l="1"/>
  <c r="AD355" i="3"/>
  <c r="Q356" i="3"/>
  <c r="Z356" i="3"/>
  <c r="Z357" i="3" l="1"/>
  <c r="Q357" i="3"/>
  <c r="AD356" i="3"/>
  <c r="AC356" i="3"/>
  <c r="AC357" i="3" l="1"/>
  <c r="AD357" i="3"/>
  <c r="Q358" i="3"/>
  <c r="Z358" i="3"/>
  <c r="Z359" i="3" l="1"/>
  <c r="Q359" i="3"/>
  <c r="AD358" i="3"/>
  <c r="AC358" i="3"/>
  <c r="AC359" i="3" l="1"/>
  <c r="AD359" i="3"/>
  <c r="Z360" i="3"/>
  <c r="Q360" i="3"/>
  <c r="AC360" i="3" l="1"/>
  <c r="AD360" i="3"/>
  <c r="Q361" i="3"/>
  <c r="Z361" i="3"/>
  <c r="AD361" i="3" l="1"/>
  <c r="AC361" i="3"/>
  <c r="Q362" i="3"/>
  <c r="Z362" i="3"/>
  <c r="Z363" i="3" l="1"/>
  <c r="Q363" i="3"/>
  <c r="AC362" i="3"/>
  <c r="AD362" i="3"/>
  <c r="AC363" i="3" l="1"/>
  <c r="AD363" i="3"/>
  <c r="Q364" i="3"/>
  <c r="Z364" i="3"/>
  <c r="Z365" i="3" l="1"/>
  <c r="Q365" i="3"/>
  <c r="AD364" i="3"/>
  <c r="AC364" i="3"/>
  <c r="AD365" i="3" l="1"/>
  <c r="AC365" i="3"/>
  <c r="Z366" i="3"/>
  <c r="Q366" i="3"/>
  <c r="Z367" i="3" l="1"/>
  <c r="Q367" i="3"/>
  <c r="AD366" i="3"/>
  <c r="AC366" i="3"/>
  <c r="AC367" i="3" l="1"/>
  <c r="AD367" i="3"/>
  <c r="Z368" i="3"/>
  <c r="Q368" i="3"/>
  <c r="Q369" i="3" l="1"/>
  <c r="Z369" i="3"/>
  <c r="AD368" i="3"/>
  <c r="AC368" i="3"/>
  <c r="Q370" i="3" l="1"/>
  <c r="Z370" i="3"/>
  <c r="AC369" i="3"/>
  <c r="AD369" i="3"/>
  <c r="Q371" i="3" l="1"/>
  <c r="Z371" i="3"/>
  <c r="AD370" i="3"/>
  <c r="AC370" i="3"/>
  <c r="Z372" i="3" l="1"/>
  <c r="Q372" i="3"/>
  <c r="AC371" i="3"/>
  <c r="AD371" i="3"/>
  <c r="AD372" i="3" l="1"/>
  <c r="AC372" i="3"/>
  <c r="Q373" i="3"/>
  <c r="Z373" i="3"/>
  <c r="Z374" i="3" l="1"/>
  <c r="Q374" i="3"/>
  <c r="AD373" i="3"/>
  <c r="AC373" i="3"/>
  <c r="AD374" i="3" l="1"/>
  <c r="AC374" i="3"/>
  <c r="Z375" i="3"/>
  <c r="Q375" i="3"/>
  <c r="AC375" i="3" l="1"/>
  <c r="AD375" i="3"/>
  <c r="Z376" i="3"/>
  <c r="Q376" i="3"/>
  <c r="AD376" i="3" l="1"/>
  <c r="AC376" i="3"/>
  <c r="Q377" i="3"/>
  <c r="Z377" i="3"/>
  <c r="AD377" i="3" l="1"/>
  <c r="AC377" i="3"/>
  <c r="Z378" i="3"/>
  <c r="Q378" i="3"/>
  <c r="AD378" i="3" l="1"/>
  <c r="AC378" i="3"/>
  <c r="Q379" i="3"/>
  <c r="Z379" i="3"/>
  <c r="AC379" i="3" l="1"/>
  <c r="AD379" i="3"/>
  <c r="Q380" i="3"/>
  <c r="Z380" i="3"/>
  <c r="Q381" i="3" l="1"/>
  <c r="Z381" i="3"/>
  <c r="AD380" i="3"/>
  <c r="AC380" i="3"/>
  <c r="Z382" i="3" l="1"/>
  <c r="Q382" i="3"/>
  <c r="AD381" i="3"/>
  <c r="AC381" i="3"/>
  <c r="AD382" i="3" l="1"/>
  <c r="AC382" i="3"/>
  <c r="Q383" i="3"/>
  <c r="Z383" i="3"/>
  <c r="Q384" i="3" l="1"/>
  <c r="Z384" i="3"/>
  <c r="AC383" i="3"/>
  <c r="AD383" i="3"/>
  <c r="Q385" i="3" l="1"/>
  <c r="Z385" i="3"/>
  <c r="AD384" i="3"/>
  <c r="AC384" i="3"/>
  <c r="Q386" i="3" l="1"/>
  <c r="Z386" i="3"/>
  <c r="AD385" i="3"/>
  <c r="AC385" i="3"/>
  <c r="Q387" i="3" l="1"/>
  <c r="Z387" i="3"/>
  <c r="AD386" i="3"/>
  <c r="AC386" i="3"/>
  <c r="Z388" i="3" l="1"/>
  <c r="Q388" i="3"/>
  <c r="AC387" i="3"/>
  <c r="AD387" i="3"/>
  <c r="AD388" i="3" l="1"/>
  <c r="AC388" i="3"/>
  <c r="Q389" i="3"/>
  <c r="Z389" i="3"/>
  <c r="Z390" i="3" l="1"/>
  <c r="Q390" i="3"/>
  <c r="AD389" i="3"/>
  <c r="AC389" i="3"/>
  <c r="AD390" i="3" l="1"/>
  <c r="AC390" i="3"/>
  <c r="Z391" i="3"/>
  <c r="Q391" i="3"/>
  <c r="Z392" i="3" l="1"/>
  <c r="Q392" i="3"/>
  <c r="AC391" i="3"/>
  <c r="AD391" i="3"/>
  <c r="AD392" i="3" l="1"/>
  <c r="AC392" i="3"/>
  <c r="Z393" i="3"/>
  <c r="Q393" i="3"/>
  <c r="AD393" i="3" l="1"/>
  <c r="AC393" i="3"/>
  <c r="Q394" i="3"/>
  <c r="Z394" i="3"/>
  <c r="Z395" i="3" l="1"/>
  <c r="Q395" i="3"/>
  <c r="AD394" i="3"/>
  <c r="AC394" i="3"/>
  <c r="AC395" i="3" l="1"/>
  <c r="AD395" i="3"/>
  <c r="Z396" i="3"/>
  <c r="Q396" i="3"/>
  <c r="Z397" i="3" l="1"/>
  <c r="Q397" i="3"/>
  <c r="AD396" i="3"/>
  <c r="AC396" i="3"/>
  <c r="AD397" i="3" l="1"/>
  <c r="AC397" i="3"/>
  <c r="Q398" i="3"/>
  <c r="Z398" i="3"/>
  <c r="Q399" i="3" l="1"/>
  <c r="Z399" i="3"/>
  <c r="AC398" i="3"/>
  <c r="AD398" i="3"/>
  <c r="Z400" i="3" l="1"/>
  <c r="Q400" i="3"/>
  <c r="AC399" i="3"/>
  <c r="AD399" i="3"/>
  <c r="AC400" i="3" l="1"/>
  <c r="AD400" i="3"/>
  <c r="Z401" i="3"/>
  <c r="Q401" i="3"/>
  <c r="AD401" i="3" l="1"/>
  <c r="AC401" i="3"/>
  <c r="Z402" i="3"/>
  <c r="Q402" i="3"/>
  <c r="AD402" i="3" l="1"/>
  <c r="AC402" i="3"/>
  <c r="Z403" i="3"/>
  <c r="Q403" i="3"/>
  <c r="AC403" i="3" l="1"/>
  <c r="AD403" i="3"/>
  <c r="Q404" i="3"/>
  <c r="Z404" i="3"/>
  <c r="Q405" i="3" l="1"/>
  <c r="Z405" i="3"/>
  <c r="AD404" i="3"/>
  <c r="AC404" i="3"/>
  <c r="Q406" i="3" l="1"/>
  <c r="Z406" i="3"/>
  <c r="AD405" i="3"/>
  <c r="AC405" i="3"/>
  <c r="Z407" i="3" l="1"/>
  <c r="Q407" i="3"/>
  <c r="AD406" i="3"/>
  <c r="AC406" i="3"/>
  <c r="AC407" i="3" l="1"/>
  <c r="AD407" i="3"/>
  <c r="Z408" i="3"/>
  <c r="Q408" i="3"/>
  <c r="AC408" i="3" l="1"/>
  <c r="AD408" i="3"/>
  <c r="Q409" i="3"/>
  <c r="Z409" i="3"/>
  <c r="Z410" i="3" l="1"/>
  <c r="Q410" i="3"/>
  <c r="AD409" i="3"/>
  <c r="AC409" i="3"/>
  <c r="AC410" i="3" l="1"/>
  <c r="AD410" i="3"/>
  <c r="Z411" i="3"/>
  <c r="Q411" i="3"/>
  <c r="AC411" i="3" l="1"/>
  <c r="AD411" i="3"/>
  <c r="Q412" i="3"/>
  <c r="Z412" i="3"/>
  <c r="Z413" i="3" l="1"/>
  <c r="Q413" i="3"/>
  <c r="AC412" i="3"/>
  <c r="AD412" i="3"/>
  <c r="AD413" i="3" l="1"/>
  <c r="AC413" i="3"/>
  <c r="Q414" i="3"/>
  <c r="Z414" i="3"/>
  <c r="Q415" i="3" l="1"/>
  <c r="Z415" i="3"/>
  <c r="AD414" i="3"/>
  <c r="AC414" i="3"/>
  <c r="Z416" i="3" l="1"/>
  <c r="Q416" i="3"/>
  <c r="AC415" i="3"/>
  <c r="AD415" i="3"/>
  <c r="AD416" i="3" l="1"/>
  <c r="AC416" i="3"/>
  <c r="Q417" i="3"/>
  <c r="Z417" i="3"/>
  <c r="Q418" i="3" l="1"/>
  <c r="Z418" i="3"/>
  <c r="AD417" i="3"/>
  <c r="AC417" i="3"/>
  <c r="Z419" i="3" l="1"/>
  <c r="Q419" i="3"/>
  <c r="AD418" i="3"/>
  <c r="AC418" i="3"/>
  <c r="AC419" i="3" l="1"/>
  <c r="AD419" i="3"/>
  <c r="Q420" i="3"/>
  <c r="Z420" i="3"/>
  <c r="Q421" i="3" l="1"/>
  <c r="Z421" i="3"/>
  <c r="AD420" i="3"/>
  <c r="AC420" i="3"/>
  <c r="Z422" i="3" l="1"/>
  <c r="Q422" i="3"/>
  <c r="AD421" i="3"/>
  <c r="AC421" i="3"/>
  <c r="AC422" i="3" l="1"/>
  <c r="AD422" i="3"/>
  <c r="Z423" i="3"/>
  <c r="Q423" i="3"/>
  <c r="AC423" i="3" l="1"/>
  <c r="AD423" i="3"/>
  <c r="Q424" i="3"/>
  <c r="Z424" i="3"/>
  <c r="Q425" i="3" l="1"/>
  <c r="Z425" i="3"/>
  <c r="AD424" i="3"/>
  <c r="AC424" i="3"/>
  <c r="Q426" i="3" l="1"/>
  <c r="Z426" i="3"/>
  <c r="AD425" i="3"/>
  <c r="AC425" i="3"/>
  <c r="Q427" i="3" l="1"/>
  <c r="Z427" i="3"/>
  <c r="AC426" i="3"/>
  <c r="AD426" i="3"/>
  <c r="Z428" i="3" l="1"/>
  <c r="Q428" i="3"/>
  <c r="AC427" i="3"/>
  <c r="AD427" i="3"/>
  <c r="AC428" i="3" l="1"/>
  <c r="AD428" i="3"/>
  <c r="Q429" i="3"/>
  <c r="Z429" i="3"/>
  <c r="Z430" i="3" l="1"/>
  <c r="Q430" i="3"/>
  <c r="AD429" i="3"/>
  <c r="AC429" i="3"/>
  <c r="AD430" i="3" l="1"/>
  <c r="AC430" i="3"/>
  <c r="Z431" i="3"/>
  <c r="Q431" i="3"/>
  <c r="AD431" i="3" l="1"/>
  <c r="AC431" i="3"/>
  <c r="Z432" i="3"/>
  <c r="Q432" i="3"/>
  <c r="AD432" i="3" l="1"/>
  <c r="AC432" i="3"/>
  <c r="Z433" i="3"/>
  <c r="Q433" i="3"/>
  <c r="Z434" i="3" l="1"/>
  <c r="Q434" i="3"/>
  <c r="AD433" i="3"/>
  <c r="AC433" i="3"/>
  <c r="AD434" i="3" l="1"/>
  <c r="AC434" i="3"/>
  <c r="Q435" i="3"/>
  <c r="Z435" i="3"/>
  <c r="Z436" i="3" l="1"/>
  <c r="Q436" i="3"/>
  <c r="AD435" i="3"/>
  <c r="AC435" i="3"/>
  <c r="AD436" i="3" l="1"/>
  <c r="AC436" i="3"/>
  <c r="Q437" i="3"/>
  <c r="Z437" i="3"/>
  <c r="Z438" i="3" l="1"/>
  <c r="Q438" i="3"/>
  <c r="AD437" i="3"/>
  <c r="AC437" i="3"/>
  <c r="AC438" i="3" l="1"/>
  <c r="AD438" i="3"/>
  <c r="Q439" i="3"/>
  <c r="Z439" i="3"/>
  <c r="Z440" i="3" l="1"/>
  <c r="Q440" i="3"/>
  <c r="AD439" i="3"/>
  <c r="AC439" i="3"/>
  <c r="AD440" i="3" l="1"/>
  <c r="AC440" i="3"/>
  <c r="Q441" i="3"/>
  <c r="Z441" i="3"/>
  <c r="Q442" i="3" l="1"/>
  <c r="Z442" i="3"/>
  <c r="AD441" i="3"/>
  <c r="AC441" i="3"/>
  <c r="Z443" i="3" l="1"/>
  <c r="Q443" i="3"/>
  <c r="AC442" i="3"/>
  <c r="AD442" i="3"/>
  <c r="AD443" i="3" l="1"/>
  <c r="AC443" i="3"/>
  <c r="Z444" i="3"/>
  <c r="Q444" i="3"/>
  <c r="AD444" i="3" l="1"/>
  <c r="AC444" i="3"/>
  <c r="Z445" i="3"/>
  <c r="Q445" i="3"/>
  <c r="Q446" i="3" l="1"/>
  <c r="Z446" i="3"/>
  <c r="AD445" i="3"/>
  <c r="AC445" i="3"/>
  <c r="Z447" i="3" l="1"/>
  <c r="Q447" i="3"/>
  <c r="AD446" i="3"/>
  <c r="AC446" i="3"/>
  <c r="AC447" i="3" l="1"/>
  <c r="AD447" i="3"/>
  <c r="Z448" i="3"/>
  <c r="Q448" i="3"/>
  <c r="AD448" i="3" l="1"/>
  <c r="AC448" i="3"/>
  <c r="Z449" i="3"/>
  <c r="Q449" i="3"/>
  <c r="AC449" i="3" l="1"/>
  <c r="AD449" i="3"/>
  <c r="Z450" i="3"/>
  <c r="Q450" i="3"/>
  <c r="AC450" i="3" l="1"/>
  <c r="AD450" i="3"/>
  <c r="Q451" i="3"/>
  <c r="Z451" i="3"/>
  <c r="Z452" i="3" l="1"/>
  <c r="Q452" i="3"/>
  <c r="AD451" i="3"/>
  <c r="AC451" i="3"/>
  <c r="AC452" i="3" l="1"/>
  <c r="AD452" i="3"/>
  <c r="Z453" i="3"/>
  <c r="Q453" i="3"/>
  <c r="AD453" i="3" l="1"/>
  <c r="AC453" i="3"/>
  <c r="Q454" i="3"/>
  <c r="Z454" i="3"/>
  <c r="Z455" i="3" l="1"/>
  <c r="Q455" i="3"/>
  <c r="AD454" i="3"/>
  <c r="AC454" i="3"/>
  <c r="AD455" i="3" l="1"/>
  <c r="AC455" i="3"/>
  <c r="Q456" i="3"/>
  <c r="Z456" i="3"/>
  <c r="Q457" i="3" l="1"/>
  <c r="Z457" i="3"/>
  <c r="AC456" i="3"/>
  <c r="AD456" i="3"/>
  <c r="Z458" i="3" l="1"/>
  <c r="Q458" i="3"/>
  <c r="AC457" i="3"/>
  <c r="AD457" i="3"/>
  <c r="AD458" i="3" l="1"/>
  <c r="AC458" i="3"/>
  <c r="Q459" i="3"/>
  <c r="Z459" i="3"/>
  <c r="Z460" i="3" l="1"/>
  <c r="Q460" i="3"/>
  <c r="AD459" i="3"/>
  <c r="AC459" i="3"/>
  <c r="AD460" i="3" l="1"/>
  <c r="AC460" i="3"/>
  <c r="Q461" i="3"/>
  <c r="Z461" i="3"/>
  <c r="AC461" i="3" l="1"/>
  <c r="AD461" i="3"/>
  <c r="Q462" i="3"/>
  <c r="Z462" i="3"/>
  <c r="AC462" i="3" l="1"/>
  <c r="AD462" i="3"/>
  <c r="Z463" i="3"/>
  <c r="Q463" i="3"/>
  <c r="AD463" i="3" l="1"/>
  <c r="AC463" i="3"/>
  <c r="Q464" i="3"/>
  <c r="Z464" i="3"/>
  <c r="Q465" i="3" l="1"/>
  <c r="Z465" i="3"/>
  <c r="AD464" i="3"/>
  <c r="AC464" i="3"/>
  <c r="Q466" i="3" l="1"/>
  <c r="Z466" i="3"/>
  <c r="AC465" i="3"/>
  <c r="AD465" i="3"/>
  <c r="Z467" i="3" l="1"/>
  <c r="Q467" i="3"/>
  <c r="AC466" i="3"/>
  <c r="AD466" i="3"/>
  <c r="AC467" i="3" l="1"/>
  <c r="AD467" i="3"/>
  <c r="Q468" i="3"/>
  <c r="Z468" i="3"/>
  <c r="Q469" i="3" l="1"/>
  <c r="Z469" i="3"/>
  <c r="AC468" i="3"/>
  <c r="AD468" i="3"/>
  <c r="Q470" i="3" l="1"/>
  <c r="Z470" i="3"/>
  <c r="AC469" i="3"/>
  <c r="AD469" i="3"/>
  <c r="Q471" i="3" l="1"/>
  <c r="Z471" i="3"/>
  <c r="AD470" i="3"/>
  <c r="AC470" i="3"/>
  <c r="Q472" i="3" l="1"/>
  <c r="Z472" i="3"/>
  <c r="AC471" i="3"/>
  <c r="AD471" i="3"/>
  <c r="Z473" i="3" l="1"/>
  <c r="Q473" i="3"/>
  <c r="AD472" i="3"/>
  <c r="AC472" i="3"/>
  <c r="AC473" i="3" l="1"/>
  <c r="AD473" i="3"/>
  <c r="Q474" i="3"/>
  <c r="Z474" i="3"/>
  <c r="Z475" i="3" l="1"/>
  <c r="Q475" i="3"/>
  <c r="AD474" i="3"/>
  <c r="AC474" i="3"/>
  <c r="AD475" i="3" l="1"/>
  <c r="AC475" i="3"/>
  <c r="Q476" i="3"/>
  <c r="Z476" i="3"/>
  <c r="AC476" i="3" l="1"/>
  <c r="AD476" i="3"/>
  <c r="Z477" i="3"/>
  <c r="Q477" i="3"/>
  <c r="AC477" i="3" l="1"/>
  <c r="AD477" i="3"/>
  <c r="Z478" i="3"/>
  <c r="Q478" i="3"/>
  <c r="AD478" i="3" l="1"/>
  <c r="AC478" i="3"/>
  <c r="Q479" i="3"/>
  <c r="Z479" i="3"/>
  <c r="Z480" i="3" l="1"/>
  <c r="Q480" i="3"/>
  <c r="AC479" i="3"/>
  <c r="AD479" i="3"/>
  <c r="AD480" i="3" l="1"/>
  <c r="AC480" i="3"/>
  <c r="Z481" i="3"/>
  <c r="Q481" i="3"/>
  <c r="AC481" i="3" l="1"/>
  <c r="AD481" i="3"/>
  <c r="Z482" i="3"/>
  <c r="Q482" i="3"/>
  <c r="AC482" i="3" l="1"/>
  <c r="AD482" i="3"/>
  <c r="Q483" i="3"/>
  <c r="Z483" i="3"/>
  <c r="Z484" i="3" l="1"/>
  <c r="Q484" i="3"/>
  <c r="AC483" i="3"/>
  <c r="AD483" i="3"/>
  <c r="AD484" i="3" l="1"/>
  <c r="AC484" i="3"/>
  <c r="Q485" i="3"/>
  <c r="Z485" i="3"/>
  <c r="Q486" i="3" l="1"/>
  <c r="Z486" i="3"/>
  <c r="AC485" i="3"/>
  <c r="AD485" i="3"/>
  <c r="Z487" i="3" l="1"/>
  <c r="Q487" i="3"/>
  <c r="AD486" i="3"/>
  <c r="AC486" i="3"/>
  <c r="AD487" i="3" l="1"/>
  <c r="AC487" i="3"/>
  <c r="Z488" i="3"/>
  <c r="Q488" i="3"/>
  <c r="Z489" i="3" l="1"/>
  <c r="Q489" i="3"/>
  <c r="AC488" i="3"/>
  <c r="AD488" i="3"/>
  <c r="AC489" i="3" l="1"/>
  <c r="AD489" i="3"/>
  <c r="Z490" i="3"/>
  <c r="Q490" i="3"/>
  <c r="AD490" i="3" l="1"/>
  <c r="AC490" i="3"/>
  <c r="Z491" i="3"/>
  <c r="Q491" i="3"/>
  <c r="Z492" i="3" l="1"/>
  <c r="Q492" i="3"/>
  <c r="AC491" i="3"/>
  <c r="AD491" i="3"/>
  <c r="AD492" i="3" l="1"/>
  <c r="AC492" i="3"/>
  <c r="Q493" i="3"/>
  <c r="Z493" i="3"/>
  <c r="Q494" i="3" l="1"/>
  <c r="Z494" i="3"/>
  <c r="AC493" i="3"/>
  <c r="AD493" i="3"/>
  <c r="Z495" i="3" l="1"/>
  <c r="Q495" i="3"/>
  <c r="AD494" i="3"/>
  <c r="AC494" i="3"/>
  <c r="AC495" i="3" l="1"/>
  <c r="AD495" i="3"/>
  <c r="Z496" i="3"/>
  <c r="Q496" i="3"/>
  <c r="AD496" i="3" l="1"/>
  <c r="AC496" i="3"/>
  <c r="Z497" i="3"/>
  <c r="Q497" i="3"/>
  <c r="Q498" i="3" l="1"/>
  <c r="Z498" i="3"/>
  <c r="AC497" i="3"/>
  <c r="AD497" i="3"/>
  <c r="Z499" i="3" l="1"/>
  <c r="Q499" i="3"/>
  <c r="AD498" i="3"/>
  <c r="AC498" i="3"/>
  <c r="AD499" i="3" l="1"/>
  <c r="AC499" i="3"/>
  <c r="Q500" i="3"/>
  <c r="Z500" i="3"/>
  <c r="Z501" i="3" l="1"/>
  <c r="Q501" i="3"/>
  <c r="AD500" i="3"/>
  <c r="AC500" i="3"/>
  <c r="AC501" i="3" l="1"/>
  <c r="AD501" i="3"/>
  <c r="Q502" i="3"/>
  <c r="Z502" i="3"/>
  <c r="Q503" i="3" l="1"/>
  <c r="Z503" i="3"/>
  <c r="AD502" i="3"/>
  <c r="AC502" i="3"/>
  <c r="Q504" i="3" l="1"/>
  <c r="Z504" i="3"/>
  <c r="AD503" i="3"/>
  <c r="AC503" i="3"/>
  <c r="Q505" i="3" l="1"/>
  <c r="Z505" i="3"/>
  <c r="AD504" i="3"/>
  <c r="AC504" i="3"/>
  <c r="Z506" i="3" l="1"/>
  <c r="Q506" i="3"/>
  <c r="AC505" i="3"/>
  <c r="AD505" i="3"/>
  <c r="AD506" i="3" l="1"/>
  <c r="AC506" i="3"/>
  <c r="Z507" i="3"/>
  <c r="Q507" i="3"/>
  <c r="AC507" i="3" l="1"/>
  <c r="AD507" i="3"/>
  <c r="Z508" i="3"/>
  <c r="Q508" i="3"/>
  <c r="AD508" i="3" l="1"/>
  <c r="I31" i="6" s="1"/>
  <c r="AC508" i="3"/>
  <c r="V19" i="1"/>
  <c r="G11" i="1" s="1"/>
  <c r="V18" i="1"/>
  <c r="V20" i="1"/>
  <c r="G12" i="1" s="1"/>
  <c r="I5" i="6" l="1"/>
  <c r="V25" i="3"/>
  <c r="V67" i="3"/>
  <c r="V33" i="3"/>
  <c r="V13" i="3"/>
  <c r="V26" i="3"/>
  <c r="V93" i="3"/>
  <c r="V51" i="3"/>
  <c r="V79" i="3"/>
  <c r="V35" i="3"/>
  <c r="V82" i="3"/>
  <c r="V154" i="3"/>
  <c r="V129" i="3"/>
  <c r="V118" i="3"/>
  <c r="V131" i="3"/>
  <c r="V53" i="3"/>
  <c r="V117" i="3"/>
  <c r="V65" i="3"/>
  <c r="V149" i="3"/>
  <c r="V110" i="3"/>
  <c r="V152" i="3"/>
  <c r="V86" i="3"/>
  <c r="V121" i="3"/>
  <c r="V57" i="3"/>
  <c r="V136" i="3"/>
  <c r="V43" i="3"/>
  <c r="V140" i="3"/>
  <c r="V38" i="3"/>
  <c r="V102" i="3"/>
  <c r="V106" i="3"/>
  <c r="V16" i="3"/>
  <c r="V90" i="3"/>
  <c r="V98" i="3"/>
  <c r="V126" i="3"/>
  <c r="V62" i="3"/>
  <c r="V114" i="3"/>
  <c r="V31" i="3"/>
  <c r="V145" i="3"/>
  <c r="V49" i="3"/>
  <c r="V22" i="3"/>
  <c r="V76" i="3"/>
  <c r="I5" i="3" l="1"/>
  <c r="D37" i="1"/>
</calcChain>
</file>

<file path=xl/sharedStrings.xml><?xml version="1.0" encoding="utf-8"?>
<sst xmlns="http://schemas.openxmlformats.org/spreadsheetml/2006/main" count="3488" uniqueCount="626">
  <si>
    <t>CARNET DE BORD DU VÉHICULE</t>
  </si>
  <si>
    <t>Synthèse de l'activité</t>
  </si>
  <si>
    <t>ANNÉE</t>
  </si>
  <si>
    <t>Calculs intermédiaires (ne pas modifier)</t>
  </si>
  <si>
    <t>PÉRIODE</t>
  </si>
  <si>
    <t>Année complète</t>
  </si>
  <si>
    <t>Rang de la période</t>
  </si>
  <si>
    <t>Mois</t>
  </si>
  <si>
    <t>Professionnel</t>
  </si>
  <si>
    <t>Domicile – travail</t>
  </si>
  <si>
    <t>Personnel</t>
  </si>
  <si>
    <t>Énergie</t>
  </si>
  <si>
    <t>Entretien et réparations</t>
  </si>
  <si>
    <t>Frais fixes et divers</t>
  </si>
  <si>
    <t>Total TTC</t>
  </si>
  <si>
    <t>Km</t>
  </si>
  <si>
    <t>Coût au km</t>
  </si>
  <si>
    <t>Premier mois</t>
  </si>
  <si>
    <t>janv.</t>
  </si>
  <si>
    <t>Dernier mois</t>
  </si>
  <si>
    <t>févr.</t>
  </si>
  <si>
    <t>DISTANCE PARCOURUE</t>
  </si>
  <si>
    <t>PART PROFESSIONNELLE</t>
  </si>
  <si>
    <t>DÉPENSES TTC</t>
  </si>
  <si>
    <t>COÛT AU KILOMÈTRE</t>
  </si>
  <si>
    <t>Début de période</t>
  </si>
  <si>
    <t>mars</t>
  </si>
  <si>
    <t>Fin de période</t>
  </si>
  <si>
    <t>avr.</t>
  </si>
  <si>
    <t>Km de la période</t>
  </si>
  <si>
    <t>mai</t>
  </si>
  <si>
    <t>Déplacements</t>
  </si>
  <si>
    <t>juin</t>
  </si>
  <si>
    <t>STATUT</t>
  </si>
  <si>
    <t>CONSOMMATION MOYENNE</t>
  </si>
  <si>
    <t>ÉNERGIE AUX 100 KM</t>
  </si>
  <si>
    <t>AVANCES À REMBOURSER</t>
  </si>
  <si>
    <t>Km professionnels</t>
  </si>
  <si>
    <t>juil.</t>
  </si>
  <si>
    <t>Km domicile – travail</t>
  </si>
  <si>
    <t>août</t>
  </si>
  <si>
    <t>TITULAIRE</t>
  </si>
  <si>
    <t>Km personnels</t>
  </si>
  <si>
    <t>sept.</t>
  </si>
  <si>
    <t>Dépenses TTC</t>
  </si>
  <si>
    <t>oct.</t>
  </si>
  <si>
    <t>GESTIONNAIRE</t>
  </si>
  <si>
    <t>Kilomètres parcourus par mois</t>
  </si>
  <si>
    <t>Dépenses TTC par mois et coût au kilomètre</t>
  </si>
  <si>
    <t>Dépenses HT</t>
  </si>
  <si>
    <t>nov.</t>
  </si>
  <si>
    <t>Énergie TTC</t>
  </si>
  <si>
    <t>déc.</t>
  </si>
  <si>
    <t>1RE MISE EN CIRCULATION</t>
  </si>
  <si>
    <t>Quantité d'énergie</t>
  </si>
  <si>
    <t>Pleins et recharges</t>
  </si>
  <si>
    <t>COMPTEUR ACTUEL</t>
  </si>
  <si>
    <t>Distance retenue (conso.)</t>
  </si>
  <si>
    <t>Quantité retenue (conso.)</t>
  </si>
  <si>
    <t>SITUATION AU</t>
  </si>
  <si>
    <t>Pleins complets retenus</t>
  </si>
  <si>
    <t>Avances à rembourser</t>
  </si>
  <si>
    <t>ÉCHÉANCE LA PLUS URGENTE</t>
  </si>
  <si>
    <t>Nombre d'avances</t>
  </si>
  <si>
    <t>Km professionnels de l'année</t>
  </si>
  <si>
    <t>Km domicile – travail de l'année</t>
  </si>
  <si>
    <t>Base des IK (km)</t>
  </si>
  <si>
    <t>ASSUREUR</t>
  </si>
  <si>
    <t>Ligne du barème</t>
  </si>
  <si>
    <t>Indemnités kilométriques (€)</t>
  </si>
  <si>
    <t>N° DE CONTRAT</t>
  </si>
  <si>
    <t>Km privés</t>
  </si>
  <si>
    <t>Prochaine date d'échéance</t>
  </si>
  <si>
    <t>Opération concernée</t>
  </si>
  <si>
    <t>POINTS D'ATTENTION</t>
  </si>
  <si>
    <t>Coûts par catégorie</t>
  </si>
  <si>
    <t>Activité par centre de coût</t>
  </si>
  <si>
    <t>CATÉGORIE</t>
  </si>
  <si>
    <t>MONTANT TTC</t>
  </si>
  <si>
    <t>PART</t>
  </si>
  <si>
    <t>POIDS</t>
  </si>
  <si>
    <t>CENTRE DE COÛT</t>
  </si>
  <si>
    <t>DÉPLAC.</t>
  </si>
  <si>
    <t>KM</t>
  </si>
  <si>
    <t>PART KM</t>
  </si>
  <si>
    <t>DÉPENSES</t>
  </si>
  <si>
    <t>Échéances en retard</t>
  </si>
  <si>
    <t>Échéances à prévoir</t>
  </si>
  <si>
    <t>Déplacements à vérifier</t>
  </si>
  <si>
    <t>Dépenses à vérifier</t>
  </si>
  <si>
    <t>Usage privé signalé</t>
  </si>
  <si>
    <t>Non affecté</t>
  </si>
  <si>
    <t>Total</t>
  </si>
  <si>
    <t>ACCÈS RAPIDE</t>
  </si>
  <si>
    <t>›  Déplacements</t>
  </si>
  <si>
    <t>Activité par conducteur</t>
  </si>
  <si>
    <t>›  Dépenses</t>
  </si>
  <si>
    <t>CONDUCTEUR</t>
  </si>
  <si>
    <t>PART PRO</t>
  </si>
  <si>
    <t>AVANCES</t>
  </si>
  <si>
    <t>›  Entretien</t>
  </si>
  <si>
    <t>›  Relevé mensuel</t>
  </si>
  <si>
    <t>›  Paramètres</t>
  </si>
  <si>
    <t>›  Mode d'emploi</t>
  </si>
  <si>
    <t>Énergie sur la période</t>
  </si>
  <si>
    <t>VOLUME ACHETÉ</t>
  </si>
  <si>
    <t>PRIX MOYEN</t>
  </si>
  <si>
    <t>PLEINS ET RECHARGES</t>
  </si>
  <si>
    <t>DISTANCE MOYENNE ENTRE DEUX PLEINS</t>
  </si>
  <si>
    <t>JOURNAL DES DÉPLACEMENTS</t>
  </si>
  <si>
    <t>DÉPLACEMENTS</t>
  </si>
  <si>
    <t>DISTANCE TOTALE</t>
  </si>
  <si>
    <t>LIGNES À VÉRIFIER</t>
  </si>
  <si>
    <t>DERNIER RELEVÉ DU COMPTEUR</t>
  </si>
  <si>
    <t>Une ligne par déplacement, dans l'ordre chronologique : la distance, l'imputation et la continuité du compteur se calculent seules.</t>
  </si>
  <si>
    <t>Saisie</t>
  </si>
  <si>
    <t>Calcul automatique</t>
  </si>
  <si>
    <t>N°</t>
  </si>
  <si>
    <t>Date</t>
  </si>
  <si>
    <t>Heure</t>
  </si>
  <si>
    <t>Conducteur</t>
  </si>
  <si>
    <t>Centre de coût</t>
  </si>
  <si>
    <t>Lieu de départ</t>
  </si>
  <si>
    <t>Destination</t>
  </si>
  <si>
    <t>Motif du déplacement / client</t>
  </si>
  <si>
    <t>Nature du trajet</t>
  </si>
  <si>
    <t>Compteur
départ</t>
  </si>
  <si>
    <t>Compteur
arrivée</t>
  </si>
  <si>
    <t>Distance
(km)</t>
  </si>
  <si>
    <t>Écart de
compteur</t>
  </si>
  <si>
    <t>Contrôle</t>
  </si>
  <si>
    <t>Observations</t>
  </si>
  <si>
    <t>Rang
relevé</t>
  </si>
  <si>
    <t>Thomas Girard</t>
  </si>
  <si>
    <t>Siège – ZA des Tanneurs</t>
  </si>
  <si>
    <t>Bourgoin-Jallieu</t>
  </si>
  <si>
    <t>Intervention – Polyclinique des Alpes</t>
  </si>
  <si>
    <t>Vienne</t>
  </si>
  <si>
    <t>Mise en service – Laboratoire Cérès</t>
  </si>
  <si>
    <t>Karim Benali</t>
  </si>
  <si>
    <t>Villeurbanne</t>
  </si>
  <si>
    <t>Intervention – Clinique du Parc</t>
  </si>
  <si>
    <t>Bron</t>
  </si>
  <si>
    <t>Dépannage – Résidence Les Tilleuls</t>
  </si>
  <si>
    <t>Vénissieux</t>
  </si>
  <si>
    <t>Maintenance – Imprimerie Morand</t>
  </si>
  <si>
    <t>Meyzieu</t>
  </si>
  <si>
    <t>Maintenance préventive – Groupe Solvéo</t>
  </si>
  <si>
    <t>Sophie Lemaire</t>
  </si>
  <si>
    <t>Annecy</t>
  </si>
  <si>
    <t>Rendez-vous prospect – Lacustra</t>
  </si>
  <si>
    <t>Givors</t>
  </si>
  <si>
    <t>Dépannage – Collège Les Platanes</t>
  </si>
  <si>
    <t>Mâcon</t>
  </si>
  <si>
    <t>Rendez-vous client – Cave des Coteaux</t>
  </si>
  <si>
    <t>Domicile (astreinte)</t>
  </si>
  <si>
    <t>Astreinte – retour au domicile et reprise le lendemain</t>
  </si>
  <si>
    <t>Grenoble</t>
  </si>
  <si>
    <t>Rendez-vous client – Groupe Alpinéa</t>
  </si>
  <si>
    <t>Saint-Étienne</t>
  </si>
  <si>
    <t>Rendez-vous prospect – Forez Industrie</t>
  </si>
  <si>
    <t>Saint-Priest</t>
  </si>
  <si>
    <t>Intervention – Entrepôts Valmy</t>
  </si>
  <si>
    <t>Décines-Charpieu</t>
  </si>
  <si>
    <t>Remplacement de pièce – Complexe sportif Nord</t>
  </si>
  <si>
    <t>Villefranche-sur-Saône</t>
  </si>
  <si>
    <t>Maintenance – Hôtel du Beaujolais</t>
  </si>
  <si>
    <t>Lyon 2e</t>
  </si>
  <si>
    <t>Réunion client – Cabinet Delorme</t>
  </si>
  <si>
    <t>Élodie Faure</t>
  </si>
  <si>
    <t>Réunion fournisseur – Électra Pièces</t>
  </si>
  <si>
    <t>Lyon 7e</t>
  </si>
  <si>
    <t>Salon professionnel de la maintenance</t>
  </si>
  <si>
    <t>Lyon 3e</t>
  </si>
  <si>
    <t>Rendez-vous bancaire</t>
  </si>
  <si>
    <t>Transport de cartons personnels</t>
  </si>
  <si>
    <t>À régulariser avec le responsable</t>
  </si>
  <si>
    <t>JOURNAL DES DÉPENSES</t>
  </si>
  <si>
    <t>DONT ÉNERGIE</t>
  </si>
  <si>
    <t>TVA</t>
  </si>
  <si>
    <t>Carburant, entretien, péages, assurance… Une ligne par facture ou ticket. Quantité et plein complet : pour l'énergie uniquement.</t>
  </si>
  <si>
    <t>Compteur
(km)</t>
  </si>
  <si>
    <t>Catégorie</t>
  </si>
  <si>
    <t>Opération d'entretien
(facultatif)</t>
  </si>
  <si>
    <t>Fournisseur / lieu</t>
  </si>
  <si>
    <t>Détail</t>
  </si>
  <si>
    <t>Plein
complet</t>
  </si>
  <si>
    <t>Montant
TTC</t>
  </si>
  <si>
    <t>Taux
TVA</t>
  </si>
  <si>
    <t>Montant
HT</t>
  </si>
  <si>
    <t>Prix
unitaire</t>
  </si>
  <si>
    <t>Mode de règlement</t>
  </si>
  <si>
    <t>Avance
conducteur</t>
  </si>
  <si>
    <t>N° de pièce</t>
  </si>
  <si>
    <t>Regroupement</t>
  </si>
  <si>
    <t>Km plein
complet</t>
  </si>
  <si>
    <t>Quantité
en attente</t>
  </si>
  <si>
    <t>Taux TVA
retenu</t>
  </si>
  <si>
    <t>Distance
conso.</t>
  </si>
  <si>
    <t>Quantité
conso.</t>
  </si>
  <si>
    <t>Assurance</t>
  </si>
  <si>
    <t>Mutuelle Horizon Assurances</t>
  </si>
  <si>
    <t>Prime annuelle – contrat flotte</t>
  </si>
  <si>
    <t>Prélèvement</t>
  </si>
  <si>
    <t>Non</t>
  </si>
  <si>
    <t>PJ-0001</t>
  </si>
  <si>
    <t>Carburant</t>
  </si>
  <si>
    <t>Hypermarché – Porte Est</t>
  </si>
  <si>
    <t>Gazole</t>
  </si>
  <si>
    <t>Oui</t>
  </si>
  <si>
    <t>Carte carburant</t>
  </si>
  <si>
    <t>CC-0002</t>
  </si>
  <si>
    <t>Péage</t>
  </si>
  <si>
    <t>Autoroute</t>
  </si>
  <si>
    <t>Aller-retour Annecy</t>
  </si>
  <si>
    <t>Carte bancaire personnelle</t>
  </si>
  <si>
    <t>PJ-0003</t>
  </si>
  <si>
    <t>Stationnement</t>
  </si>
  <si>
    <t>Parking – Annecy</t>
  </si>
  <si>
    <t>Stationnement rendez-vous client</t>
  </si>
  <si>
    <t>PJ-0004</t>
  </si>
  <si>
    <t>CC-0005</t>
  </si>
  <si>
    <t>Aller-retour Mâcon</t>
  </si>
  <si>
    <t>PJ-0006</t>
  </si>
  <si>
    <t>Aller-retour Grenoble</t>
  </si>
  <si>
    <t>PJ-0007</t>
  </si>
  <si>
    <t>Station – Avenue Jean-Mermoz</t>
  </si>
  <si>
    <t>CC-0008</t>
  </si>
  <si>
    <t>Équipement</t>
  </si>
  <si>
    <t>Vérification extincteur</t>
  </si>
  <si>
    <t>Sécurité Incendie Rhône</t>
  </si>
  <si>
    <t>Vérification annuelle de l'extincteur</t>
  </si>
  <si>
    <t>Virement</t>
  </si>
  <si>
    <t>PJ-0009</t>
  </si>
  <si>
    <t>PJ-0010</t>
  </si>
  <si>
    <t>CC-0011</t>
  </si>
  <si>
    <t>Parking – Lyon 2e</t>
  </si>
  <si>
    <t>PJ-0012</t>
  </si>
  <si>
    <t>PJ-0013</t>
  </si>
  <si>
    <t>CC-0014</t>
  </si>
  <si>
    <t>Lavage</t>
  </si>
  <si>
    <t>Station de lavage – ZA des Tanneurs</t>
  </si>
  <si>
    <t>Lavage extérieur et aspiration</t>
  </si>
  <si>
    <t>PJ-0015</t>
  </si>
  <si>
    <t>PJ-0016</t>
  </si>
  <si>
    <t>CC-0017</t>
  </si>
  <si>
    <t>CC-0018</t>
  </si>
  <si>
    <t>PJ-0019</t>
  </si>
  <si>
    <t>Parking – Grenoble</t>
  </si>
  <si>
    <t>PJ-0020</t>
  </si>
  <si>
    <t>Parking – Lyon 7e</t>
  </si>
  <si>
    <t>PJ-0021</t>
  </si>
  <si>
    <t>PJ-0022</t>
  </si>
  <si>
    <t>CC-0023</t>
  </si>
  <si>
    <t>Contrôle technique</t>
  </si>
  <si>
    <t>Centre de contrôle des Tanneurs</t>
  </si>
  <si>
    <t>Premier contrôle périodique – favorable</t>
  </si>
  <si>
    <t>Carte bancaire entreprise</t>
  </si>
  <si>
    <t>PJ-0024</t>
  </si>
  <si>
    <t>CC-0025</t>
  </si>
  <si>
    <t>PJ-0026</t>
  </si>
  <si>
    <t>Station – ZA des Tanneurs</t>
  </si>
  <si>
    <t>CC-0027</t>
  </si>
  <si>
    <t>PJ-0028</t>
  </si>
  <si>
    <t>PJ-0029</t>
  </si>
  <si>
    <t>CC-0030</t>
  </si>
  <si>
    <t>PJ-0031</t>
  </si>
  <si>
    <t>PJ-0032</t>
  </si>
  <si>
    <t>PJ-0033</t>
  </si>
  <si>
    <t>PJ-0034</t>
  </si>
  <si>
    <t>CC-0035</t>
  </si>
  <si>
    <t>Aller-retour Villefranche-sur-Saône</t>
  </si>
  <si>
    <t>PJ-0036</t>
  </si>
  <si>
    <t>PJ-0037</t>
  </si>
  <si>
    <t>PJ-0038</t>
  </si>
  <si>
    <t>PJ-0039</t>
  </si>
  <si>
    <t>PJ-0040</t>
  </si>
  <si>
    <t>CC-0041</t>
  </si>
  <si>
    <t>Aller-retour Bourgoin-Jallieu</t>
  </si>
  <si>
    <t>PJ-0042</t>
  </si>
  <si>
    <t>CC-0043</t>
  </si>
  <si>
    <t>PJ-0044</t>
  </si>
  <si>
    <t>CC-0045</t>
  </si>
  <si>
    <t>PJ-0046</t>
  </si>
  <si>
    <t>PJ-0047</t>
  </si>
  <si>
    <t>PJ-0048</t>
  </si>
  <si>
    <t>CC-0049</t>
  </si>
  <si>
    <t>PJ-0050</t>
  </si>
  <si>
    <t>Entretien</t>
  </si>
  <si>
    <t>Révision / vidange</t>
  </si>
  <si>
    <t>Garage Central Automobiles</t>
  </si>
  <si>
    <t>Révision : vidange, filtres à huile, à air et à gazole</t>
  </si>
  <si>
    <t>PJ-0051</t>
  </si>
  <si>
    <t>PJ-0052</t>
  </si>
  <si>
    <t>PJ-0053</t>
  </si>
  <si>
    <t>CC-0054</t>
  </si>
  <si>
    <t>PJ-0055</t>
  </si>
  <si>
    <t>PJ-0056</t>
  </si>
  <si>
    <t>CC-0057</t>
  </si>
  <si>
    <t>PJ-0058</t>
  </si>
  <si>
    <t>CC-0059</t>
  </si>
  <si>
    <t>PJ-0060</t>
  </si>
  <si>
    <t>PJ-0061</t>
  </si>
  <si>
    <t>PJ-0062</t>
  </si>
  <si>
    <t>PJ-0063</t>
  </si>
  <si>
    <t>PJ-0064</t>
  </si>
  <si>
    <t>CC-0065</t>
  </si>
  <si>
    <t>PJ-0066</t>
  </si>
  <si>
    <t>PJ-0067</t>
  </si>
  <si>
    <t>Station autoroute – Aire des Balmes</t>
  </si>
  <si>
    <t>CC-0068</t>
  </si>
  <si>
    <t>PJ-0069</t>
  </si>
  <si>
    <t>PJ-0070</t>
  </si>
  <si>
    <t>CC-0071</t>
  </si>
  <si>
    <t>PJ-0072</t>
  </si>
  <si>
    <t>PJ-0073</t>
  </si>
  <si>
    <t>CC-0074</t>
  </si>
  <si>
    <t>PJ-0075</t>
  </si>
  <si>
    <t>Réparation</t>
  </si>
  <si>
    <t>Remplacement du rétroviseur droit</t>
  </si>
  <si>
    <t>PJ-0076</t>
  </si>
  <si>
    <t>PJ-0077</t>
  </si>
  <si>
    <t>CC-0078</t>
  </si>
  <si>
    <t>PJ-0079</t>
  </si>
  <si>
    <t>PJ-0080</t>
  </si>
  <si>
    <t>PJ-0081</t>
  </si>
  <si>
    <t>CC-0082</t>
  </si>
  <si>
    <t>PJ-0083</t>
  </si>
  <si>
    <t>PJ-0084</t>
  </si>
  <si>
    <t>CC-0085</t>
  </si>
  <si>
    <t>PJ-0086</t>
  </si>
  <si>
    <t>PJ-0087</t>
  </si>
  <si>
    <t>PJ-0088</t>
  </si>
  <si>
    <t>PJ-0089</t>
  </si>
  <si>
    <t>CC-0090</t>
  </si>
  <si>
    <t>PJ-0091</t>
  </si>
  <si>
    <t>PJ-0092</t>
  </si>
  <si>
    <t>PJ-0093</t>
  </si>
  <si>
    <t>CC-0094</t>
  </si>
  <si>
    <t>PJ-0095</t>
  </si>
  <si>
    <t>PJ-0096</t>
  </si>
  <si>
    <t>PJ-0097</t>
  </si>
  <si>
    <t>CC-0098</t>
  </si>
  <si>
    <t>PJ-0099</t>
  </si>
  <si>
    <t>PJ-0100</t>
  </si>
  <si>
    <t>PJ-0101</t>
  </si>
  <si>
    <t>CC-0102</t>
  </si>
  <si>
    <t>PJ-0103</t>
  </si>
  <si>
    <t>PJ-0104</t>
  </si>
  <si>
    <t>Plaquettes et disques de frein</t>
  </si>
  <si>
    <t>Plaquettes et disques avant</t>
  </si>
  <si>
    <t>PJ-0105</t>
  </si>
  <si>
    <t>CC-0106</t>
  </si>
  <si>
    <t>PJ-0107</t>
  </si>
  <si>
    <t>PJ-0108</t>
  </si>
  <si>
    <t>CC-0109</t>
  </si>
  <si>
    <t>CC-0110</t>
  </si>
  <si>
    <t>PJ-0111</t>
  </si>
  <si>
    <t>PJ-0112</t>
  </si>
  <si>
    <t>CC-0113</t>
  </si>
  <si>
    <t>PJ-0114</t>
  </si>
  <si>
    <t>PJ-0115</t>
  </si>
  <si>
    <t>PJ-0116</t>
  </si>
  <si>
    <t>PJ-0117</t>
  </si>
  <si>
    <t>CC-0118</t>
  </si>
  <si>
    <t>PJ-0119</t>
  </si>
  <si>
    <t>PJ-0120</t>
  </si>
  <si>
    <t>CC-0121</t>
  </si>
  <si>
    <t>PJ-0122</t>
  </si>
  <si>
    <t>CC-0123</t>
  </si>
  <si>
    <t>PJ-0124</t>
  </si>
  <si>
    <t>PJ-0125</t>
  </si>
  <si>
    <t>PJ-0126</t>
  </si>
  <si>
    <t>PJ-0127</t>
  </si>
  <si>
    <t>CC-0128</t>
  </si>
  <si>
    <t>PJ-0129</t>
  </si>
  <si>
    <t>PJ-0130</t>
  </si>
  <si>
    <t>PJ-0131</t>
  </si>
  <si>
    <t>CC-0132</t>
  </si>
  <si>
    <t>Pneumatiques</t>
  </si>
  <si>
    <t>Centre Pneus Rhône-Est</t>
  </si>
  <si>
    <t>4 pneus toutes saisons, montage et équilibrage</t>
  </si>
  <si>
    <t>PJ-0133</t>
  </si>
  <si>
    <t>PJ-0134</t>
  </si>
  <si>
    <t>PJ-0135</t>
  </si>
  <si>
    <t>Équip'Auto Pro</t>
  </si>
  <si>
    <t>Chaînes à neige et raclette</t>
  </si>
  <si>
    <t>PJ-0136</t>
  </si>
  <si>
    <t>CC-0137</t>
  </si>
  <si>
    <t>PJ-0138</t>
  </si>
  <si>
    <t>PJ-0139</t>
  </si>
  <si>
    <t>PJ-0140</t>
  </si>
  <si>
    <t>CC-0141</t>
  </si>
  <si>
    <t>PJ-0142</t>
  </si>
  <si>
    <t>PJ-0143</t>
  </si>
  <si>
    <t>CC-0144</t>
  </si>
  <si>
    <t>PJ-0145</t>
  </si>
  <si>
    <t>CC-0146</t>
  </si>
  <si>
    <t>PJ-0147</t>
  </si>
  <si>
    <t>PLAN D'ENTRETIEN ET ÉCHÉANCES</t>
  </si>
  <si>
    <t>OPÉRATIONS SUIVIES</t>
  </si>
  <si>
    <t>EN RETARD</t>
  </si>
  <si>
    <t>À PRÉVOIR</t>
  </si>
  <si>
    <t>OPÉRATION CONCERNÉE</t>
  </si>
  <si>
    <t>Périodicités et dernière réalisation connue.</t>
  </si>
  <si>
    <t>SAISIE INITIALE</t>
  </si>
  <si>
    <t>DERNIÈRE RÉALISATION</t>
  </si>
  <si>
    <t>PROCHAINE ÉCHÉANCE</t>
  </si>
  <si>
    <t>RESTE À COURIR</t>
  </si>
  <si>
    <t>Opération suivie</t>
  </si>
  <si>
    <t>Tous les
(km)</t>
  </si>
  <si>
    <t>Tous les
(mois)</t>
  </si>
  <si>
    <t>Compteur</t>
  </si>
  <si>
    <t>Origine</t>
  </si>
  <si>
    <t>Jours</t>
  </si>
  <si>
    <t>Kilomètres</t>
  </si>
  <si>
    <t>Avancement</t>
  </si>
  <si>
    <t>Statut</t>
  </si>
  <si>
    <t>Dernière date
(journal)</t>
  </si>
  <si>
    <t>Dernier km
(journal)</t>
  </si>
  <si>
    <t>Selon le carnet d'entretien constructeur</t>
  </si>
  <si>
    <t>Courroie de distribution</t>
  </si>
  <si>
    <t>Comptée depuis la mise en circulation</t>
  </si>
  <si>
    <t>Contrôle d'usure à chaque révision</t>
  </si>
  <si>
    <t>Pneus d'origine jusqu'au remplacement</t>
  </si>
  <si>
    <t>Recharge de climatisation</t>
  </si>
  <si>
    <t>1er contrôle à 4 ans, puis tous les 2 ans</t>
  </si>
  <si>
    <t>Renouvellement annuel du contrat flotte</t>
  </si>
  <si>
    <t>Équipement de sécurité du véhicule</t>
  </si>
  <si>
    <t>RELEVÉ MENSUEL DES DÉPLACEMENTS</t>
  </si>
  <si>
    <t>MOIS</t>
  </si>
  <si>
    <t>Mars</t>
  </si>
  <si>
    <t>◄ à choisir</t>
  </si>
  <si>
    <t>INFORMATIONS</t>
  </si>
  <si>
    <t>Titulaire</t>
  </si>
  <si>
    <t>Véhicule</t>
  </si>
  <si>
    <t>Statut du véhicule</t>
  </si>
  <si>
    <t>Puissance fiscale</t>
  </si>
  <si>
    <t>DÉPLACEMENTS PRO</t>
  </si>
  <si>
    <t>KILOMÈTRES PROFESSIONNELS</t>
  </si>
  <si>
    <t>FRAIS À REMBOURSER</t>
  </si>
  <si>
    <t>INDEMNITÉS KILOMÉTRIQUES</t>
  </si>
  <si>
    <t>DÉPLACEMENTS PROFESSIONNELS DU MOIS</t>
  </si>
  <si>
    <t>Départ</t>
  </si>
  <si>
    <t>Motif / client</t>
  </si>
  <si>
    <t>FRAIS AVANCÉS À REMBOURSER</t>
  </si>
  <si>
    <t>Pièce</t>
  </si>
  <si>
    <t>Le conducteur – date et signature</t>
  </si>
  <si>
    <t>Visa du responsable – date et signature</t>
  </si>
  <si>
    <t>PARAMÈTRES</t>
  </si>
  <si>
    <t>DATE DE SITUATION</t>
  </si>
  <si>
    <t>CONDUCTEURS AUTORISÉS</t>
  </si>
  <si>
    <t>CONSOMMATION DE RÉFÉRENCE</t>
  </si>
  <si>
    <t>À compléter en premier : ces informations alimentent les calculs, les contrôles et les listes du classeur.</t>
  </si>
  <si>
    <t>VÉHICULE</t>
  </si>
  <si>
    <t>TITULAIRE ET SUIVI DU CARNET</t>
  </si>
  <si>
    <t>LISTES DÉROULANTES</t>
  </si>
  <si>
    <t>Immatriculation</t>
  </si>
  <si>
    <t>FT-317-KV</t>
  </si>
  <si>
    <t>Titulaire / entreprise</t>
  </si>
  <si>
    <t>Altéis Maintenance SAS</t>
  </si>
  <si>
    <t>Nature du trajet *</t>
  </si>
  <si>
    <t>Énergie *</t>
  </si>
  <si>
    <t>Statut du véhicule *</t>
  </si>
  <si>
    <t>Opérations d'entretien suivies</t>
  </si>
  <si>
    <t>Regroupements *</t>
  </si>
  <si>
    <t>Taux de TVA</t>
  </si>
  <si>
    <t>Périodes d'analyse</t>
  </si>
  <si>
    <t>Marque</t>
  </si>
  <si>
    <t>Norvane</t>
  </si>
  <si>
    <t>N° SIRET</t>
  </si>
  <si>
    <t>999 000 222 00031</t>
  </si>
  <si>
    <t>Véhicule de service</t>
  </si>
  <si>
    <t>Janvier</t>
  </si>
  <si>
    <t>Modèle / version</t>
  </si>
  <si>
    <t>Fourgonnette L1 1.5 diesel</t>
  </si>
  <si>
    <t>Gestionnaire du véhicule</t>
  </si>
  <si>
    <t>Essence</t>
  </si>
  <si>
    <t>Véhicule de fonction</t>
  </si>
  <si>
    <t>Février</t>
  </si>
  <si>
    <t>1er trimestre</t>
  </si>
  <si>
    <t>Assureur</t>
  </si>
  <si>
    <t>Hybride essence</t>
  </si>
  <si>
    <t>Véhicule personnel</t>
  </si>
  <si>
    <t>2e trimestre</t>
  </si>
  <si>
    <t>Puissance fiscale (CV)</t>
  </si>
  <si>
    <t>N° de contrat</t>
  </si>
  <si>
    <t>FL-2027-00318</t>
  </si>
  <si>
    <t>Hybride rechargeable</t>
  </si>
  <si>
    <t>Location longue durée</t>
  </si>
  <si>
    <t>Avril</t>
  </si>
  <si>
    <t>3e trimestre</t>
  </si>
  <si>
    <t>Date de 1re mise en circulation</t>
  </si>
  <si>
    <t>Date d'ouverture du carnet</t>
  </si>
  <si>
    <t>Électrique</t>
  </si>
  <si>
    <t>Mai</t>
  </si>
  <si>
    <t>4e trimestre</t>
  </si>
  <si>
    <t>N° d'identification (VIN)</t>
  </si>
  <si>
    <t>VNV0EXEMPLE004582</t>
  </si>
  <si>
    <t>Kilométrage à l'ouverture du carnet</t>
  </si>
  <si>
    <t>GPL</t>
  </si>
  <si>
    <t>Espèces</t>
  </si>
  <si>
    <t>Juin</t>
  </si>
  <si>
    <t>Capacité du réservoir (L) ou de la batterie (kWh)</t>
  </si>
  <si>
    <t>Kilométrage actuel</t>
  </si>
  <si>
    <t>Superéthanol E85</t>
  </si>
  <si>
    <t>Juillet</t>
  </si>
  <si>
    <t>Date de situation</t>
  </si>
  <si>
    <t>Août</t>
  </si>
  <si>
    <t>Date de situation : date du jour, ou date de la dernière saisie si elle est postérieure.</t>
  </si>
  <si>
    <t>Batterie</t>
  </si>
  <si>
    <t>Septembre</t>
  </si>
  <si>
    <t>Géométrie / parallélisme</t>
  </si>
  <si>
    <t>Octobre</t>
  </si>
  <si>
    <t>RÉGLAGES DU SUIVI</t>
  </si>
  <si>
    <t>Novembre</t>
  </si>
  <si>
    <t>Nom et prénom</t>
  </si>
  <si>
    <t>Service / centre de coût</t>
  </si>
  <si>
    <t>Actif</t>
  </si>
  <si>
    <t>Décembre</t>
  </si>
  <si>
    <t>Service technique</t>
  </si>
  <si>
    <t>Usage privé autorisé</t>
  </si>
  <si>
    <t>Alerte avant échéance (jours)</t>
  </si>
  <si>
    <t>Service commercial</t>
  </si>
  <si>
    <t>Alerte avant échéance (km)</t>
  </si>
  <si>
    <t>Direction</t>
  </si>
  <si>
    <t>Tolérance d'écart de compteur (km)</t>
  </si>
  <si>
    <t>Écart de consommation signalé (au-delà de)</t>
  </si>
  <si>
    <t>Domicile – travail inclus dans les IK</t>
  </si>
  <si>
    <t>Majoration IK des véhicules 100 % électriques</t>
  </si>
  <si>
    <t>* Valeurs utilisées par les calculs : complétez en bas de liste sans renommer les valeurs existantes.</t>
  </si>
  <si>
    <t>Unité de carburant / d'énergie</t>
  </si>
  <si>
    <t>Consommation de référence (/100 km)</t>
  </si>
  <si>
    <t>BARÈME KILOMÉTRIQUE DES VOITURES</t>
  </si>
  <si>
    <t>CATÉGORIES DE DÉPENSE</t>
  </si>
  <si>
    <t>Utilisé pour un véhicule personnel (indemnités kilométriques). d = distance professionnelle de l'année. À vérifier et actualiser à chaque publication annuelle.</t>
  </si>
  <si>
    <t>La TVA par défaut s'applique quand le taux n'est pas saisi. Le regroupement alimente le graphique des dépenses ; « Énergie » active le calcul de consommation.</t>
  </si>
  <si>
    <t>d ≤ 5 000 km
(€/km)</t>
  </si>
  <si>
    <t>5 001 – 20 000 km
(€/km)</t>
  </si>
  <si>
    <t>5 001 – 20 000 km
(+ forfait)</t>
  </si>
  <si>
    <t>d &gt; 20 000 km
(€/km)</t>
  </si>
  <si>
    <t>TVA par défaut</t>
  </si>
  <si>
    <t>Recharge électrique</t>
  </si>
  <si>
    <t>CENTRES DE COÛT / SERVICES</t>
  </si>
  <si>
    <t>Responsable / observations</t>
  </si>
  <si>
    <t>Interventions et maintenance chez les clients</t>
  </si>
  <si>
    <t>Rendez-vous clients et prospects</t>
  </si>
  <si>
    <t>Déplacements de direction</t>
  </si>
  <si>
    <t>Autre dépense</t>
  </si>
  <si>
    <t>Logistique</t>
  </si>
  <si>
    <t>Livraisons et approvisionnements</t>
  </si>
  <si>
    <t>MODE D'EMPLOI</t>
  </si>
  <si>
    <t>EN BREF</t>
  </si>
  <si>
    <t>Ce carnet de bord suit un véhicule tout au long de l'année : chaque déplacement avec ses relevés de compteur, chaque dépense (carburant, entretien, péages, assurance…) et les échéances à ne pas manquer. La synthèse calcule kilomètres, part professionnelle, coût au kilomètre, consommation réelle et, pour un véhicule personnel, les indemnités kilométriques. Le relevé mensuel s'imprime pour chaque conducteur.</t>
  </si>
  <si>
    <t>LE PARCOURS EN TROIS TEMPS</t>
  </si>
  <si>
    <t>1</t>
  </si>
  <si>
    <t>PARAMÉTRER – une seule fois</t>
  </si>
  <si>
    <t>Paramètres</t>
  </si>
  <si>
    <t>Véhicule, titulaire, date d'ouverture et kilométrage de départ ; conducteurs autorisés et leur centre de coût ; réglages (usage privé, seuils d'alerte) ; catégories de dépense.</t>
  </si>
  <si>
    <t>Pour chaque opération suivie : périodicité en km et/ou en mois, et dernière réalisation connue.</t>
  </si>
  <si>
    <t>2</t>
  </si>
  <si>
    <t>SAISIR – au fil de l'eau</t>
  </si>
  <si>
    <t>Après chaque trajet : date, conducteur, départ, destination, motif, nature et relevés du compteur. Distance, imputation et contrôles se calculent.</t>
  </si>
  <si>
    <t>Dépenses</t>
  </si>
  <si>
    <t>Une ligne par ticket ou facture. Pour l'énergie : compteur, quantité et « Plein complet ». Pour l'entretien : l'opération suivie met à jour le plan d'entretien.</t>
  </si>
  <si>
    <t>3</t>
  </si>
  <si>
    <t>ANALYSER ET JUSTIFIER – chaque mois</t>
  </si>
  <si>
    <t>Synthèse</t>
  </si>
  <si>
    <t>Choisissez l'année et la période (année, trimestre ou mois) : indicateurs, graphiques, coûts par catégorie, par centre de coût et par conducteur.</t>
  </si>
  <si>
    <t>Relevé mensuel</t>
  </si>
  <si>
    <t>Choisissez un conducteur et un mois : liste des déplacements professionnels, frais avancés à rembourser et cadre de signature, prêts à imprimer.</t>
  </si>
  <si>
    <t>CODES COULEUR</t>
  </si>
  <si>
    <t>Cellule à renseigner : valeur libre ou liste déroulante.</t>
  </si>
  <si>
    <t>Calcul</t>
  </si>
  <si>
    <t>Calcul automatique : ne pas modifier ni effacer.</t>
  </si>
  <si>
    <t>En-tête bordeaux</t>
  </si>
  <si>
    <t>Colonne à saisir (filet champagne).</t>
  </si>
  <si>
    <t>En-tête ardoise</t>
  </si>
  <si>
    <t>Colonne calculée.</t>
  </si>
  <si>
    <t>Conforme · À jour</t>
  </si>
  <si>
    <t>Aucun point relevé.</t>
  </si>
  <si>
    <t>À vérifier · À prévoir</t>
  </si>
  <si>
    <t>Information manquante, écart à justifier ou échéance proche.</t>
  </si>
  <si>
    <t>Incohérent · En retard</t>
  </si>
  <si>
    <t>Erreur de saisie probable, usage non autorisé ou échéance dépassée.</t>
  </si>
  <si>
    <t>CONTRÔLES AUTOMATIQUES</t>
  </si>
  <si>
    <t>Incomplet</t>
  </si>
  <si>
    <t>Information manquante ; le motif est obligatoire pour un trajet professionnel.</t>
  </si>
  <si>
    <t>Km non enregistrés</t>
  </si>
  <si>
    <t>Le compteur de départ dépasse l'arrivée précédente : un trajet n'a pas été noté.</t>
  </si>
  <si>
    <t>Chevauchement</t>
  </si>
  <si>
    <t>Le compteur de départ est inférieur à l'arrivée précédente.</t>
  </si>
  <si>
    <t>Compteur incohérent</t>
  </si>
  <si>
    <t>Compteur d'arrivée inférieur au compteur de départ.</t>
  </si>
  <si>
    <t>Ordre des dates</t>
  </si>
  <si>
    <t>Date antérieure à la ligne précédente : triez le journal par date.</t>
  </si>
  <si>
    <t>Usage privé non autorisé</t>
  </si>
  <si>
    <t>Trajet « Personnel » alors que l'usage privé est interdit (Paramètres).</t>
  </si>
  <si>
    <t>Plein incomplet</t>
  </si>
  <si>
    <t>Carburant ou recharge sans compteur, quantité ou indication de plein complet.</t>
  </si>
  <si>
    <t>Conso. atypique</t>
  </si>
  <si>
    <t>Consommation éloignée de la moyenne : plein partiel oublié ou erreur de relevé.</t>
  </si>
  <si>
    <t>Quantité &gt; réservoir</t>
  </si>
  <si>
    <t>Quantité supérieure à la capacité déclarée du réservoir ou de la batterie.</t>
  </si>
  <si>
    <t>Compteur manquant</t>
  </si>
  <si>
    <t>Opération d'entretien sans compteur : l'échéance en km ne peut être recalculée.</t>
  </si>
  <si>
    <t>À prévoir / En retard</t>
  </si>
  <si>
    <t>Échéance proche (seuils en jours et en km) ou dépassée.</t>
  </si>
  <si>
    <t>QUESTIONS FRÉQUENTES</t>
  </si>
  <si>
    <t>Comment la consommation est-elle calculée ?</t>
  </si>
  <si>
    <t>« De plein à plein » : à chaque plein complet, la quantité versée depuis le plein complet précédent (pleins partiels compris) est rapportée aux kilomètres parcourus.</t>
  </si>
  <si>
    <t>Comment obtenir le montant HT ?</t>
  </si>
  <si>
    <t>Saisissez le montant TTC ; le taux de TVA de la ligne ou, à défaut, celui de la catégorie (Paramètres) donne le HT et la TVA.</t>
  </si>
  <si>
    <t>Les indemnités kilométriques sont-elles calculées ?</t>
  </si>
  <si>
    <t>Oui pour un « Véhicule personnel » : barème de l'onglet Paramètres appliqué aux kilomètres professionnels de l'année (domicile – travail selon le réglage). Actualisez le barème à chaque publication annuelle.</t>
  </si>
  <si>
    <t>Comment suivre plusieurs véhicules ?</t>
  </si>
  <si>
    <t>Tenez un carnet par véhicule : enregistrez une copie du fichier pour chacun.</t>
  </si>
  <si>
    <t>Comment démarrer avec mon véhicule ?</t>
  </si>
  <si>
    <t>Remplacez les données de Paramètres et d'Entretien, puis effacez les cellules blanches des journaux (Déplacements et Dépenses) : les exemples fournis sont fictifs.</t>
  </si>
  <si>
    <t>REPÈRES UTILES</t>
  </si>
  <si>
    <t>■</t>
  </si>
  <si>
    <t>Un carnet par véhicule ; pour chaque trajet : date, conducteur, lieux de départ et d'arrivée, motif et kilomètres, y compris pour les trajets habituels.</t>
  </si>
  <si>
    <t>Véhicule de fonction : les trajets domicile – travail relèvent de l'usage privé.</t>
  </si>
  <si>
    <t>Péages et stationnement liés à un déplacement professionnel ne sont pas couverts par le barème kilométrique : ils se remboursent en plus, sur justificatif.</t>
  </si>
  <si>
    <t>Conservez tickets et factures : le carnet organise les justificatifs mais ne les remplace pas.</t>
  </si>
  <si>
    <t>Capacité : 800 déplacements, 500 dépenses et 14 opérations d'entretien ; listes et catégories modifiables dans Paramètres.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</si>
</sst>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#,##0&quot; km&quot;"/>
    <numFmt numFmtId="165" formatCode="0&quot; j&quot;"/>
    <numFmt numFmtId="166" formatCode="0&quot; CV&quot;"/>
    <numFmt numFmtId="167" formatCode="0.000"/>
    <numFmt numFmtId="168" formatCode="#,##0&quot; €&quot;"/>
    <numFmt numFmtId="169" formatCode="0&quot; CV et moins&quot;"/>
    <numFmt numFmtId="170" formatCode="0&quot; CV et plus&quot;"/>
    <numFmt numFmtId="171" formatCode="0.0%"/>
    <numFmt numFmtId="172" formatCode="hh:mm"/>
    <numFmt numFmtId="173" formatCode="#,##0;\-#,##0;&quot;–&quot;"/>
    <numFmt numFmtId="174" formatCode="\+#,##0;\-#,##0;&quot;&quot;"/>
    <numFmt numFmtId="175" formatCode="#,##0.00&quot; €&quot;"/>
    <numFmt numFmtId="176" formatCode="#,##0.00&quot; €&quot;;\-#,##0.00&quot; €&quot;;&quot;–&quot;"/>
    <numFmt numFmtId="177" formatCode="0.000&quot; €&quot;"/>
    <numFmt numFmtId="178" formatCode="#,##0;\-#,##0;0"/>
    <numFmt numFmtId="179" formatCode="dd/mm/yyyy;;"/>
    <numFmt numFmtId="180" formatCode="0;\-0;&quot;✓&quot;"/>
    <numFmt numFmtId="181" formatCode="#,##0&quot; €&quot;;\-#,##0&quot; €&quot;;&quot;✓&quot;"/>
    <numFmt numFmtId="182" formatCode="0.00&quot; €/km&quot;"/>
    <numFmt numFmtId="183" formatCode="0.0"/>
    <numFmt numFmtId="184" formatCode="0.00&quot; €&quot;"/>
    <numFmt numFmtId="185" formatCode=";;;"/>
    <numFmt numFmtId="187" formatCode="#,##0&quot; €&quot;;\-#,##0&quot; €&quot;;&quot;–&quot;"/>
  </numFmts>
  <fonts count="54" x14ac:knownFonts="1">
    <font>
      <sz val="11"/>
      <color theme="1"/>
      <name val="Calibri"/>
      <family val="2"/>
      <scheme val="minor"/>
    </font>
    <font>
      <b/>
      <sz val="8.5"/>
      <color rgb="FFC4A265"/>
      <name val="Calibri"/>
    </font>
    <font>
      <b/>
      <sz val="18"/>
      <color rgb="FFFFFFFF"/>
      <name val="Calibri"/>
    </font>
    <font>
      <b/>
      <sz val="7.5"/>
      <color rgb="FF8C949E"/>
      <name val="Calibri"/>
    </font>
    <font>
      <b/>
      <sz val="15"/>
      <color rgb="FF5A1A2C"/>
      <name val="Calibri"/>
    </font>
    <font>
      <i/>
      <sz val="9"/>
      <color rgb="FF8C949E"/>
      <name val="Calibri"/>
    </font>
    <font>
      <sz val="8"/>
      <color rgb="FF262A30"/>
      <name val="Calibri"/>
    </font>
    <font>
      <sz val="8"/>
      <color rgb="FF4A5360"/>
      <name val="Calibri"/>
    </font>
    <font>
      <b/>
      <sz val="10.5"/>
      <color rgb="FF5A1A2C"/>
      <name val="Calibri"/>
    </font>
    <font>
      <sz val="10"/>
      <color rgb="FF4A5360"/>
      <name val="Calibri"/>
    </font>
    <font>
      <sz val="10"/>
      <color rgb="FF262A30"/>
      <name val="Calibri"/>
    </font>
    <font>
      <b/>
      <sz val="12"/>
      <color rgb="FF5A1A2C"/>
      <name val="Calibri"/>
    </font>
    <font>
      <b/>
      <sz val="10"/>
      <color rgb="FF4A5360"/>
      <name val="Calibri"/>
    </font>
    <font>
      <i/>
      <sz val="8.5"/>
      <color rgb="FF8C949E"/>
      <name val="Calibri"/>
    </font>
    <font>
      <b/>
      <sz val="9"/>
      <color rgb="FFFFFFFF"/>
      <name val="Calibri"/>
    </font>
    <font>
      <b/>
      <sz val="10"/>
      <color rgb="FF262A30"/>
      <name val="Calibri"/>
    </font>
    <font>
      <i/>
      <sz val="9"/>
      <color rgb="FF8A6100"/>
      <name val="Calibri"/>
    </font>
    <font>
      <sz val="10"/>
      <color rgb="FFE8D9C0"/>
      <name val="Calibri"/>
    </font>
    <font>
      <b/>
      <sz val="8"/>
      <color rgb="FFFFFFFF"/>
      <name val="Calibri"/>
    </font>
    <font>
      <b/>
      <sz val="9"/>
      <color rgb="FF4A5360"/>
      <name val="Calibri"/>
    </font>
    <font>
      <sz val="8.5"/>
      <color rgb="FF8C949E"/>
      <name val="Calibri"/>
    </font>
    <font>
      <b/>
      <sz val="8"/>
      <color rgb="FF8C6A2E"/>
      <name val="Calibri"/>
    </font>
    <font>
      <b/>
      <sz val="8"/>
      <color rgb="FF8C949E"/>
      <name val="Calibri"/>
    </font>
    <font>
      <sz val="8"/>
      <color rgb="FF8C949E"/>
      <name val="Calibri"/>
    </font>
    <font>
      <sz val="9.5"/>
      <color rgb="FF8C949E"/>
      <name val="Calibri"/>
    </font>
    <font>
      <b/>
      <sz val="7.5"/>
      <color rgb="FF8C6A2E"/>
      <name val="Calibri"/>
    </font>
    <font>
      <sz val="9.5"/>
      <color rgb="FF262A30"/>
      <name val="Calibri"/>
    </font>
    <font>
      <b/>
      <sz val="9.5"/>
      <color rgb="FF262A30"/>
      <name val="Calibri"/>
    </font>
    <font>
      <b/>
      <sz val="10"/>
      <color rgb="FFFFFFFF"/>
      <name val="Calibri"/>
    </font>
    <font>
      <b/>
      <sz val="9"/>
      <color rgb="FF5A1A2C"/>
      <name val="Calibri"/>
    </font>
    <font>
      <b/>
      <sz val="18"/>
      <color rgb="FF5A1A2C"/>
      <name val="Calibri"/>
    </font>
    <font>
      <b/>
      <sz val="11"/>
      <color rgb="FF5A1A2C"/>
      <name val="Calibri"/>
    </font>
    <font>
      <sz val="10"/>
      <color rgb="FF8C949E"/>
      <name val="Calibri"/>
    </font>
    <font>
      <b/>
      <sz val="8.5"/>
      <color rgb="FF8C949E"/>
      <name val="Calibri"/>
    </font>
    <font>
      <b/>
      <sz val="12"/>
      <color rgb="FFFFFFFF"/>
      <name val="Calibri"/>
    </font>
    <font>
      <b/>
      <sz val="22"/>
      <color rgb="FF5A1A2C"/>
      <name val="Calibri"/>
    </font>
    <font>
      <sz val="9"/>
      <color rgb="FFE8D9C0"/>
      <name val="Calibri"/>
    </font>
    <font>
      <b/>
      <sz val="7.5"/>
      <color rgb="FFC4A265"/>
      <name val="Calibri"/>
    </font>
    <font>
      <sz val="10.5"/>
      <color rgb="FFFFFFFF"/>
      <name val="Calibri"/>
    </font>
    <font>
      <b/>
      <sz val="15"/>
      <color rgb="FFFFFFFF"/>
      <name val="Calibri"/>
    </font>
    <font>
      <b/>
      <sz val="9"/>
      <color rgb="FFC4A265"/>
      <name val="Calibri"/>
    </font>
    <font>
      <sz val="10"/>
      <color rgb="FFFFFFFF"/>
      <name val="Calibri"/>
    </font>
    <font>
      <b/>
      <sz val="20"/>
      <color rgb="FF5A1A2C"/>
      <name val="Calibri"/>
    </font>
    <font>
      <b/>
      <sz val="10"/>
      <color rgb="FF5A1A2C"/>
      <name val="Calibri"/>
    </font>
    <font>
      <b/>
      <sz val="13"/>
      <color rgb="FF5A1A2C"/>
      <name val="Calibri"/>
    </font>
    <font>
      <b/>
      <sz val="14"/>
      <color rgb="FFC4A265"/>
      <name val="Calibri"/>
    </font>
    <font>
      <b/>
      <sz val="11"/>
      <color rgb="FFFFFFFF"/>
      <name val="Calibri"/>
    </font>
    <font>
      <b/>
      <u/>
      <sz val="10.5"/>
      <color rgb="FF5A1A2C"/>
      <name val="Calibri"/>
    </font>
    <font>
      <b/>
      <sz val="10"/>
      <color rgb="FF236B3E"/>
      <name val="Calibri"/>
    </font>
    <font>
      <b/>
      <sz val="10"/>
      <color rgb="FF8A6100"/>
      <name val="Calibri"/>
    </font>
    <font>
      <b/>
      <sz val="10"/>
      <color rgb="FFA3222B"/>
      <name val="Calibri"/>
    </font>
    <font>
      <b/>
      <sz val="9.5"/>
      <color rgb="FF8A6100"/>
      <name val="Calibri"/>
    </font>
    <font>
      <b/>
      <sz val="9.5"/>
      <color rgb="FFA3222B"/>
      <name val="Calibri"/>
    </font>
    <font>
      <b/>
      <sz val="8"/>
      <color rgb="FFC4A265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5A1A2C"/>
        <bgColor rgb="FF5A1A2C"/>
      </patternFill>
    </fill>
    <fill>
      <patternFill patternType="solid">
        <fgColor rgb="FFC4A265"/>
        <bgColor rgb="FFC4A265"/>
      </patternFill>
    </fill>
    <fill>
      <patternFill patternType="solid">
        <fgColor rgb="FFFFFFFF"/>
        <bgColor rgb="FFFFFFFF"/>
      </patternFill>
    </fill>
    <fill>
      <patternFill patternType="solid">
        <fgColor rgb="FFF2F0ED"/>
        <bgColor rgb="FFF2F0ED"/>
      </patternFill>
    </fill>
    <fill>
      <patternFill patternType="solid">
        <fgColor rgb="FFFFF8E8"/>
        <bgColor rgb="FFFFF8E8"/>
      </patternFill>
    </fill>
    <fill>
      <patternFill patternType="solid">
        <fgColor rgb="FF4A5360"/>
        <bgColor rgb="FF4A5360"/>
      </patternFill>
    </fill>
    <fill>
      <patternFill patternType="solid">
        <fgColor rgb="FFC9CDD2"/>
        <bgColor rgb="FFC9CDD2"/>
      </patternFill>
    </fill>
    <fill>
      <patternFill patternType="solid">
        <fgColor rgb="FFF6EFE2"/>
        <bgColor rgb="FFF6EFE2"/>
      </patternFill>
    </fill>
    <fill>
      <patternFill patternType="solid">
        <fgColor rgb="FFF5F4F1"/>
        <bgColor rgb="FFF5F4F1"/>
      </patternFill>
    </fill>
    <fill>
      <patternFill patternType="solid">
        <fgColor rgb="FF7A2B40"/>
        <bgColor rgb="FF7A2B40"/>
      </patternFill>
    </fill>
    <fill>
      <patternFill patternType="solid">
        <fgColor rgb="FFE3F1E7"/>
        <bgColor rgb="FFE3F1E7"/>
      </patternFill>
    </fill>
    <fill>
      <patternFill patternType="solid">
        <fgColor rgb="FFFBF0D9"/>
        <bgColor rgb="FFFBF0D9"/>
      </patternFill>
    </fill>
    <fill>
      <patternFill patternType="solid">
        <fgColor rgb="FFF8DCDD"/>
        <bgColor rgb="FFF8DCDD"/>
      </patternFill>
    </fill>
  </fills>
  <borders count="55">
    <border>
      <left/>
      <right/>
      <top/>
      <bottom/>
      <diagonal/>
    </border>
    <border>
      <left style="medium">
        <color rgb="FFC4A265"/>
      </left>
      <right/>
      <top/>
      <bottom/>
      <diagonal/>
    </border>
    <border>
      <left style="thin">
        <color rgb="FFE0DCD5"/>
      </left>
      <right style="thin">
        <color rgb="FFE0DCD5"/>
      </right>
      <top style="thin">
        <color rgb="FFE0DCD5"/>
      </top>
      <bottom style="thin">
        <color rgb="FFE0DCD5"/>
      </bottom>
      <diagonal/>
    </border>
    <border>
      <left/>
      <right/>
      <top/>
      <bottom style="medium">
        <color rgb="FFC4A265"/>
      </bottom>
      <diagonal/>
    </border>
    <border>
      <left/>
      <right/>
      <top/>
      <bottom style="thin">
        <color rgb="FFE0DCD5"/>
      </bottom>
      <diagonal/>
    </border>
    <border>
      <left style="thin">
        <color rgb="FFFFFFFF"/>
      </left>
      <right style="thin">
        <color rgb="FFFFFFFF"/>
      </right>
      <top/>
      <bottom style="medium">
        <color rgb="FFC4A265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C4A265"/>
      </left>
      <right/>
      <top style="medium">
        <color rgb="FFC4A265"/>
      </top>
      <bottom style="medium">
        <color rgb="FFC4A265"/>
      </bottom>
      <diagonal/>
    </border>
    <border>
      <left/>
      <right/>
      <top style="medium">
        <color rgb="FFC4A265"/>
      </top>
      <bottom style="medium">
        <color rgb="FFC4A265"/>
      </bottom>
      <diagonal/>
    </border>
    <border>
      <left/>
      <right style="medium">
        <color rgb="FFC4A265"/>
      </right>
      <top style="medium">
        <color rgb="FFC4A265"/>
      </top>
      <bottom style="medium">
        <color rgb="FFC4A265"/>
      </bottom>
      <diagonal/>
    </border>
    <border>
      <left style="medium">
        <color rgb="FFC4A265"/>
      </left>
      <right style="medium">
        <color rgb="FFC4A265"/>
      </right>
      <top style="medium">
        <color rgb="FFC4A265"/>
      </top>
      <bottom style="medium">
        <color rgb="FFC4A265"/>
      </bottom>
      <diagonal/>
    </border>
    <border>
      <left style="thick">
        <color rgb="FF5A1A2C"/>
      </left>
      <right/>
      <top/>
      <bottom/>
      <diagonal/>
    </border>
    <border>
      <left style="thin">
        <color rgb="FFBDB6AC"/>
      </left>
      <right/>
      <top style="thin">
        <color rgb="FFBDB6AC"/>
      </top>
      <bottom/>
      <diagonal/>
    </border>
    <border>
      <left/>
      <right/>
      <top style="thin">
        <color rgb="FFBDB6AC"/>
      </top>
      <bottom/>
      <diagonal/>
    </border>
    <border>
      <left/>
      <right style="thin">
        <color rgb="FFBDB6AC"/>
      </right>
      <top style="thin">
        <color rgb="FFBDB6AC"/>
      </top>
      <bottom/>
      <diagonal/>
    </border>
    <border>
      <left style="thin">
        <color rgb="FFBDB6AC"/>
      </left>
      <right/>
      <top/>
      <bottom/>
      <diagonal/>
    </border>
    <border>
      <left/>
      <right/>
      <top/>
      <bottom/>
      <diagonal/>
    </border>
    <border>
      <left/>
      <right style="thin">
        <color rgb="FFBDB6AC"/>
      </right>
      <top/>
      <bottom/>
      <diagonal/>
    </border>
    <border>
      <left style="thin">
        <color rgb="FFBDB6AC"/>
      </left>
      <right/>
      <top/>
      <bottom style="thin">
        <color rgb="FFBDB6AC"/>
      </bottom>
      <diagonal/>
    </border>
    <border>
      <left/>
      <right/>
      <top/>
      <bottom style="thin">
        <color rgb="FFBDB6AC"/>
      </bottom>
      <diagonal/>
    </border>
    <border>
      <left/>
      <right style="thin">
        <color rgb="FFBDB6AC"/>
      </right>
      <top/>
      <bottom style="thin">
        <color rgb="FFBDB6AC"/>
      </bottom>
      <diagonal/>
    </border>
    <border>
      <left style="thick">
        <color rgb="FFC4A265"/>
      </left>
      <right/>
      <top style="thick">
        <color rgb="FFC4A265"/>
      </top>
      <bottom/>
      <diagonal/>
    </border>
    <border>
      <left/>
      <right style="thick">
        <color rgb="FFC4A265"/>
      </right>
      <top style="thick">
        <color rgb="FFC4A265"/>
      </top>
      <bottom/>
      <diagonal/>
    </border>
    <border>
      <left style="thick">
        <color rgb="FFC4A265"/>
      </left>
      <right/>
      <top/>
      <bottom style="thick">
        <color rgb="FFC4A265"/>
      </bottom>
      <diagonal/>
    </border>
    <border>
      <left/>
      <right style="thick">
        <color rgb="FFC4A265"/>
      </right>
      <top/>
      <bottom style="thick">
        <color rgb="FFC4A265"/>
      </bottom>
      <diagonal/>
    </border>
    <border>
      <left/>
      <right/>
      <top/>
      <bottom style="thin">
        <color rgb="FFC4A265"/>
      </bottom>
      <diagonal/>
    </border>
    <border>
      <left/>
      <right/>
      <top style="medium">
        <color rgb="FF5A1A2C"/>
      </top>
      <bottom style="medium">
        <color rgb="FF5A1A2C"/>
      </bottom>
      <diagonal/>
    </border>
    <border>
      <left/>
      <right style="thin">
        <color rgb="FFE0DCD5"/>
      </right>
      <top/>
      <bottom/>
      <diagonal/>
    </border>
    <border>
      <left/>
      <right/>
      <top/>
      <bottom style="thin">
        <color rgb="FFE0DCD5"/>
      </bottom>
      <diagonal/>
    </border>
    <border>
      <left/>
      <right style="thin">
        <color rgb="FFE0DCD5"/>
      </right>
      <top/>
      <bottom style="thin">
        <color rgb="FFE0DCD5"/>
      </bottom>
      <diagonal/>
    </border>
    <border>
      <left style="thick">
        <color rgb="FF5A1A2C"/>
      </left>
      <right style="thin">
        <color rgb="FFE0DCD5"/>
      </right>
      <top style="thin">
        <color rgb="FFE0DCD5"/>
      </top>
      <bottom/>
      <diagonal/>
    </border>
    <border>
      <left/>
      <right/>
      <top style="thin">
        <color rgb="FFE0DCD5"/>
      </top>
      <bottom/>
      <diagonal/>
    </border>
    <border>
      <left/>
      <right style="thin">
        <color rgb="FFE0DCD5"/>
      </right>
      <top style="thin">
        <color rgb="FFE0DCD5"/>
      </top>
      <bottom/>
      <diagonal/>
    </border>
    <border>
      <left style="thick">
        <color rgb="FF5A1A2C"/>
      </left>
      <right style="thin">
        <color rgb="FFE0DCD5"/>
      </right>
      <top/>
      <bottom/>
      <diagonal/>
    </border>
    <border>
      <left/>
      <right style="thin">
        <color rgb="FFE0DCD5"/>
      </right>
      <top/>
      <bottom/>
      <diagonal/>
    </border>
    <border>
      <left style="thick">
        <color rgb="FF5A1A2C"/>
      </left>
      <right style="thin">
        <color rgb="FFE0DCD5"/>
      </right>
      <top/>
      <bottom style="thin">
        <color rgb="FFE0DCD5"/>
      </bottom>
      <diagonal/>
    </border>
    <border>
      <left/>
      <right/>
      <top/>
      <bottom style="thin">
        <color rgb="FFE0DCD5"/>
      </bottom>
      <diagonal/>
    </border>
    <border>
      <left/>
      <right style="thin">
        <color rgb="FFE0DCD5"/>
      </right>
      <top/>
      <bottom style="thin">
        <color rgb="FFE0DCD5"/>
      </bottom>
      <diagonal/>
    </border>
    <border>
      <left style="thin">
        <color rgb="FFE0DCD5"/>
      </left>
      <right/>
      <top/>
      <bottom/>
      <diagonal/>
    </border>
    <border>
      <left style="thin">
        <color rgb="FFE0DCD5"/>
      </left>
      <right/>
      <top/>
      <bottom style="thin">
        <color rgb="FFE0DCD5"/>
      </bottom>
      <diagonal/>
    </border>
    <border>
      <left style="thin">
        <color rgb="FFE0DCD5"/>
      </left>
      <right/>
      <top/>
      <bottom style="thin">
        <color rgb="FFE0DCD5"/>
      </bottom>
      <diagonal/>
    </border>
    <border>
      <left/>
      <right/>
      <top/>
      <bottom style="thin">
        <color rgb="FFE0DCD5"/>
      </bottom>
      <diagonal/>
    </border>
    <border>
      <left/>
      <right style="thin">
        <color rgb="FFE0DCD5"/>
      </right>
      <top/>
      <bottom style="thin">
        <color rgb="FFE0DCD5"/>
      </bottom>
      <diagonal/>
    </border>
    <border>
      <left style="thin">
        <color rgb="FFE0DCD5"/>
      </left>
      <right/>
      <top style="thin">
        <color rgb="FFC4A265"/>
      </top>
      <bottom style="thin">
        <color rgb="FFE0DCD5"/>
      </bottom>
      <diagonal/>
    </border>
    <border>
      <left/>
      <right/>
      <top style="thin">
        <color rgb="FFC4A265"/>
      </top>
      <bottom style="thin">
        <color rgb="FFE0DCD5"/>
      </bottom>
      <diagonal/>
    </border>
    <border>
      <left/>
      <right style="thin">
        <color rgb="FFE0DCD5"/>
      </right>
      <top style="thin">
        <color rgb="FFC4A265"/>
      </top>
      <bottom style="thin">
        <color rgb="FFE0DCD5"/>
      </bottom>
      <diagonal/>
    </border>
    <border>
      <left style="medium">
        <color rgb="FFC4A265"/>
      </left>
      <right/>
      <top/>
      <bottom/>
      <diagonal/>
    </border>
    <border>
      <left style="medium">
        <color rgb="FFC4A265"/>
      </left>
      <right/>
      <top/>
      <bottom style="thin">
        <color rgb="FFE0DCD5"/>
      </bottom>
      <diagonal/>
    </border>
    <border>
      <left style="thin">
        <color rgb="FFE0DCD5"/>
      </left>
      <right style="thin">
        <color rgb="FFE0DCD5"/>
      </right>
      <top style="thin">
        <color rgb="FFE0DCD5"/>
      </top>
      <bottom style="thin">
        <color rgb="FFC4A265"/>
      </bottom>
      <diagonal/>
    </border>
    <border>
      <left/>
      <right/>
      <top style="thin">
        <color rgb="FFE0DCD5"/>
      </top>
      <bottom style="thin">
        <color rgb="FFC4A265"/>
      </bottom>
      <diagonal/>
    </border>
    <border>
      <left/>
      <right style="thin">
        <color rgb="FFE0DCD5"/>
      </right>
      <top style="thin">
        <color rgb="FFE0DCD5"/>
      </top>
      <bottom style="thin">
        <color rgb="FFC4A265"/>
      </bottom>
      <diagonal/>
    </border>
    <border>
      <left style="thin">
        <color rgb="FFE0DCD5"/>
      </left>
      <right/>
      <top/>
      <bottom/>
      <diagonal/>
    </border>
    <border>
      <left style="thin">
        <color rgb="FFE0DCD5"/>
      </left>
      <right/>
      <top/>
      <bottom/>
      <diagonal/>
    </border>
    <border>
      <left style="thin">
        <color rgb="FFE0DCD5"/>
      </left>
      <right/>
      <top/>
      <bottom style="thin">
        <color rgb="FFE0DCD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2" borderId="0" xfId="0" applyFill="1"/>
    <xf numFmtId="0" fontId="0" fillId="10" borderId="0" xfId="0" applyFill="1"/>
    <xf numFmtId="0" fontId="1" fillId="2" borderId="0" xfId="0" applyFont="1" applyFill="1"/>
    <xf numFmtId="0" fontId="30" fillId="10" borderId="0" xfId="0" applyFont="1" applyFill="1" applyAlignment="1">
      <alignment vertical="center"/>
    </xf>
    <xf numFmtId="0" fontId="22" fillId="10" borderId="0" xfId="0" applyFont="1" applyFill="1" applyAlignment="1">
      <alignment horizontal="right" vertical="center" indent="1"/>
    </xf>
    <xf numFmtId="0" fontId="33" fillId="0" borderId="0" xfId="0" applyFont="1"/>
    <xf numFmtId="0" fontId="32" fillId="10" borderId="0" xfId="0" applyFont="1" applyFill="1" applyAlignment="1">
      <alignment vertical="center"/>
    </xf>
    <xf numFmtId="0" fontId="20" fillId="0" borderId="0" xfId="0" applyFont="1"/>
    <xf numFmtId="4" fontId="20" fillId="0" borderId="0" xfId="0" applyNumberFormat="1" applyFont="1"/>
    <xf numFmtId="0" fontId="0" fillId="3" borderId="0" xfId="0" applyFill="1"/>
    <xf numFmtId="14" fontId="20" fillId="0" borderId="0" xfId="0" applyNumberFormat="1" applyFont="1"/>
    <xf numFmtId="0" fontId="0" fillId="4" borderId="38" xfId="0" applyFill="1" applyBorder="1"/>
    <xf numFmtId="0" fontId="0" fillId="4" borderId="16" xfId="0" applyFill="1" applyBorder="1"/>
    <xf numFmtId="0" fontId="0" fillId="4" borderId="27" xfId="0" applyFill="1" applyBorder="1"/>
    <xf numFmtId="0" fontId="0" fillId="2" borderId="25" xfId="0" applyFill="1" applyBorder="1"/>
    <xf numFmtId="0" fontId="0" fillId="4" borderId="39" xfId="0" applyFill="1" applyBorder="1"/>
    <xf numFmtId="0" fontId="0" fillId="4" borderId="28" xfId="0" applyFill="1" applyBorder="1"/>
    <xf numFmtId="0" fontId="0" fillId="4" borderId="29" xfId="0" applyFill="1" applyBorder="1"/>
    <xf numFmtId="0" fontId="0" fillId="0" borderId="41" xfId="0" applyBorder="1"/>
    <xf numFmtId="0" fontId="3" fillId="4" borderId="41" xfId="0" applyFont="1" applyFill="1" applyBorder="1" applyAlignment="1">
      <alignment horizontal="right" vertical="center" wrapText="1" inden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right" vertical="center" wrapText="1" indent="1"/>
    </xf>
    <xf numFmtId="0" fontId="41" fillId="2" borderId="0" xfId="0" applyFont="1" applyFill="1" applyAlignment="1">
      <alignment vertical="center"/>
    </xf>
    <xf numFmtId="180" fontId="28" fillId="11" borderId="26" xfId="0" applyNumberFormat="1" applyFont="1" applyFill="1" applyBorder="1" applyAlignment="1">
      <alignment horizontal="center" vertical="center"/>
    </xf>
    <xf numFmtId="176" fontId="9" fillId="4" borderId="16" xfId="0" applyNumberFormat="1" applyFont="1" applyFill="1" applyBorder="1" applyAlignment="1">
      <alignment horizontal="right" vertical="center" indent="1"/>
    </xf>
    <xf numFmtId="9" fontId="9" fillId="4" borderId="16" xfId="0" applyNumberFormat="1" applyFont="1" applyFill="1" applyBorder="1" applyAlignment="1">
      <alignment horizontal="right" vertical="center" indent="1"/>
    </xf>
    <xf numFmtId="173" fontId="9" fillId="4" borderId="16" xfId="0" applyNumberFormat="1" applyFont="1" applyFill="1" applyBorder="1" applyAlignment="1">
      <alignment horizontal="center" vertical="center"/>
    </xf>
    <xf numFmtId="173" fontId="9" fillId="4" borderId="16" xfId="0" applyNumberFormat="1" applyFont="1" applyFill="1" applyBorder="1" applyAlignment="1">
      <alignment horizontal="right" vertical="center" indent="1"/>
    </xf>
    <xf numFmtId="187" fontId="9" fillId="4" borderId="27" xfId="0" applyNumberFormat="1" applyFont="1" applyFill="1" applyBorder="1" applyAlignment="1">
      <alignment horizontal="right" vertical="center" indent="1"/>
    </xf>
    <xf numFmtId="181" fontId="28" fillId="11" borderId="26" xfId="0" applyNumberFormat="1" applyFont="1" applyFill="1" applyBorder="1" applyAlignment="1">
      <alignment horizontal="center" vertical="center"/>
    </xf>
    <xf numFmtId="173" fontId="43" fillId="4" borderId="28" xfId="0" applyNumberFormat="1" applyFont="1" applyFill="1" applyBorder="1" applyAlignment="1">
      <alignment horizontal="center" vertical="center"/>
    </xf>
    <xf numFmtId="173" fontId="43" fillId="4" borderId="28" xfId="0" applyNumberFormat="1" applyFont="1" applyFill="1" applyBorder="1" applyAlignment="1">
      <alignment horizontal="right" vertical="center" indent="1"/>
    </xf>
    <xf numFmtId="9" fontId="43" fillId="4" borderId="28" xfId="0" applyNumberFormat="1" applyFont="1" applyFill="1" applyBorder="1" applyAlignment="1">
      <alignment horizontal="right" vertical="center" indent="1"/>
    </xf>
    <xf numFmtId="168" fontId="43" fillId="4" borderId="29" xfId="0" applyNumberFormat="1" applyFont="1" applyFill="1" applyBorder="1" applyAlignment="1">
      <alignment horizontal="right" vertical="center" indent="1"/>
    </xf>
    <xf numFmtId="176" fontId="9" fillId="4" borderId="27" xfId="0" applyNumberFormat="1" applyFont="1" applyFill="1" applyBorder="1" applyAlignment="1">
      <alignment horizontal="right" vertical="center" indent="1"/>
    </xf>
    <xf numFmtId="175" fontId="43" fillId="4" borderId="44" xfId="0" applyNumberFormat="1" applyFont="1" applyFill="1" applyBorder="1" applyAlignment="1">
      <alignment horizontal="right" vertical="center" indent="1"/>
    </xf>
    <xf numFmtId="9" fontId="43" fillId="4" borderId="44" xfId="0" applyNumberFormat="1" applyFont="1" applyFill="1" applyBorder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left" indent="1"/>
    </xf>
    <xf numFmtId="1" fontId="4" fillId="0" borderId="1" xfId="0" applyNumberFormat="1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1" fontId="9" fillId="5" borderId="2" xfId="0" applyNumberFormat="1" applyFont="1" applyFill="1" applyBorder="1" applyAlignment="1">
      <alignment horizontal="center" vertical="center"/>
    </xf>
    <xf numFmtId="14" fontId="10" fillId="4" borderId="2" xfId="0" applyNumberFormat="1" applyFont="1" applyFill="1" applyBorder="1" applyAlignment="1">
      <alignment horizontal="center" vertical="center"/>
    </xf>
    <xf numFmtId="172" fontId="10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 indent="1"/>
    </xf>
    <xf numFmtId="0" fontId="9" fillId="5" borderId="2" xfId="0" applyFont="1" applyFill="1" applyBorder="1" applyAlignment="1">
      <alignment horizontal="left" vertical="center" indent="1"/>
    </xf>
    <xf numFmtId="3" fontId="10" fillId="4" borderId="2" xfId="0" applyNumberFormat="1" applyFont="1" applyFill="1" applyBorder="1" applyAlignment="1">
      <alignment horizontal="right" vertical="center" indent="1"/>
    </xf>
    <xf numFmtId="173" fontId="12" fillId="5" borderId="2" xfId="0" applyNumberFormat="1" applyFont="1" applyFill="1" applyBorder="1" applyAlignment="1">
      <alignment horizontal="right" vertical="center" indent="1"/>
    </xf>
    <xf numFmtId="174" fontId="9" fillId="5" borderId="2" xfId="0" applyNumberFormat="1" applyFont="1" applyFill="1" applyBorder="1" applyAlignment="1">
      <alignment horizontal="right" vertical="center" indent="1"/>
    </xf>
    <xf numFmtId="0" fontId="19" fillId="5" borderId="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5" fontId="4" fillId="0" borderId="1" xfId="0" applyNumberFormat="1" applyFont="1" applyBorder="1" applyAlignment="1">
      <alignment horizontal="left" vertical="center" indent="1"/>
    </xf>
    <xf numFmtId="4" fontId="10" fillId="4" borderId="2" xfId="0" applyNumberFormat="1" applyFont="1" applyFill="1" applyBorder="1" applyAlignment="1">
      <alignment horizontal="right" vertical="center" indent="1"/>
    </xf>
    <xf numFmtId="0" fontId="10" fillId="4" borderId="2" xfId="0" applyFont="1" applyFill="1" applyBorder="1" applyAlignment="1">
      <alignment horizontal="center" vertical="center"/>
    </xf>
    <xf numFmtId="175" fontId="10" fillId="4" borderId="2" xfId="0" applyNumberFormat="1" applyFont="1" applyFill="1" applyBorder="1" applyAlignment="1">
      <alignment horizontal="right" vertical="center" indent="1"/>
    </xf>
    <xf numFmtId="171" fontId="10" fillId="4" borderId="2" xfId="0" applyNumberFormat="1" applyFont="1" applyFill="1" applyBorder="1" applyAlignment="1">
      <alignment horizontal="center" vertical="center"/>
    </xf>
    <xf numFmtId="175" fontId="9" fillId="5" borderId="2" xfId="0" applyNumberFormat="1" applyFont="1" applyFill="1" applyBorder="1" applyAlignment="1">
      <alignment horizontal="right" vertical="center" indent="1"/>
    </xf>
    <xf numFmtId="176" fontId="9" fillId="5" borderId="2" xfId="0" applyNumberFormat="1" applyFont="1" applyFill="1" applyBorder="1" applyAlignment="1">
      <alignment horizontal="right" vertical="center" indent="1"/>
    </xf>
    <xf numFmtId="177" fontId="9" fillId="5" borderId="2" xfId="0" applyNumberFormat="1" applyFont="1" applyFill="1" applyBorder="1" applyAlignment="1">
      <alignment horizontal="right" vertical="center" indent="1"/>
    </xf>
    <xf numFmtId="2" fontId="12" fillId="5" borderId="2" xfId="0" applyNumberFormat="1" applyFont="1" applyFill="1" applyBorder="1" applyAlignment="1">
      <alignment horizontal="right" vertical="center" indent="1"/>
    </xf>
    <xf numFmtId="0" fontId="5" fillId="0" borderId="0" xfId="0" applyFont="1"/>
    <xf numFmtId="0" fontId="15" fillId="4" borderId="2" xfId="0" applyFont="1" applyFill="1" applyBorder="1" applyAlignment="1">
      <alignment horizontal="left" vertical="center" indent="1"/>
    </xf>
    <xf numFmtId="1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right" vertical="center" indent="1"/>
    </xf>
    <xf numFmtId="14" fontId="12" fillId="5" borderId="2" xfId="0" applyNumberFormat="1" applyFont="1" applyFill="1" applyBorder="1" applyAlignment="1">
      <alignment horizontal="center" vertical="center"/>
    </xf>
    <xf numFmtId="3" fontId="12" fillId="5" borderId="2" xfId="0" applyNumberFormat="1" applyFont="1" applyFill="1" applyBorder="1" applyAlignment="1">
      <alignment horizontal="right" vertical="center" indent="1"/>
    </xf>
    <xf numFmtId="178" fontId="9" fillId="5" borderId="2" xfId="0" applyNumberFormat="1" applyFont="1" applyFill="1" applyBorder="1" applyAlignment="1">
      <alignment horizontal="right" vertical="center" indent="1"/>
    </xf>
    <xf numFmtId="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79" fontId="2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indent="1"/>
    </xf>
    <xf numFmtId="0" fontId="23" fillId="0" borderId="0" xfId="0" applyFont="1"/>
    <xf numFmtId="0" fontId="11" fillId="9" borderId="10" xfId="0" applyFont="1" applyFill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14" fontId="23" fillId="0" borderId="0" xfId="0" applyNumberFormat="1" applyFont="1"/>
    <xf numFmtId="0" fontId="8" fillId="0" borderId="3" xfId="0" applyFont="1" applyBorder="1"/>
    <xf numFmtId="0" fontId="0" fillId="0" borderId="3" xfId="0" applyBorder="1"/>
    <xf numFmtId="0" fontId="24" fillId="0" borderId="4" xfId="0" applyFont="1" applyBorder="1" applyAlignment="1">
      <alignment horizontal="left" vertical="center" indent="1"/>
    </xf>
    <xf numFmtId="0" fontId="15" fillId="0" borderId="4" xfId="0" applyFont="1" applyBorder="1" applyAlignment="1">
      <alignment horizontal="left" vertical="center" indent="1"/>
    </xf>
    <xf numFmtId="14" fontId="15" fillId="0" borderId="4" xfId="0" applyNumberFormat="1" applyFont="1" applyBorder="1" applyAlignment="1">
      <alignment horizontal="left" vertical="center" indent="1"/>
    </xf>
    <xf numFmtId="0" fontId="25" fillId="9" borderId="11" xfId="0" applyFont="1" applyFill="1" applyBorder="1" applyAlignment="1">
      <alignment horizontal="left" indent="1"/>
    </xf>
    <xf numFmtId="164" fontId="4" fillId="9" borderId="11" xfId="0" applyNumberFormat="1" applyFont="1" applyFill="1" applyBorder="1" applyAlignment="1">
      <alignment horizontal="left" vertical="center" indent="1"/>
    </xf>
    <xf numFmtId="175" fontId="4" fillId="9" borderId="11" xfId="0" applyNumberFormat="1" applyFont="1" applyFill="1" applyBorder="1" applyAlignment="1">
      <alignment horizontal="left" vertical="center" indent="1"/>
    </xf>
    <xf numFmtId="0" fontId="14" fillId="2" borderId="6" xfId="0" applyFont="1" applyFill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/>
    </xf>
    <xf numFmtId="17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center" indent="1" shrinkToFit="1"/>
    </xf>
    <xf numFmtId="3" fontId="27" fillId="0" borderId="0" xfId="0" applyNumberFormat="1" applyFont="1" applyAlignment="1">
      <alignment horizontal="right" vertical="center" indent="1"/>
    </xf>
    <xf numFmtId="164" fontId="28" fillId="2" borderId="0" xfId="0" applyNumberFormat="1" applyFont="1" applyFill="1" applyAlignment="1">
      <alignment horizontal="right" vertical="center" indent="1"/>
    </xf>
    <xf numFmtId="0" fontId="26" fillId="0" borderId="0" xfId="0" applyFont="1" applyAlignment="1">
      <alignment horizontal="center" vertical="center"/>
    </xf>
    <xf numFmtId="175" fontId="27" fillId="0" borderId="0" xfId="0" applyNumberFormat="1" applyFont="1" applyAlignment="1">
      <alignment horizontal="right" vertical="center" indent="1"/>
    </xf>
    <xf numFmtId="175" fontId="28" fillId="2" borderId="0" xfId="0" applyNumberFormat="1" applyFont="1" applyFill="1" applyAlignment="1">
      <alignment horizontal="right" vertical="center" indent="1"/>
    </xf>
    <xf numFmtId="0" fontId="9" fillId="0" borderId="4" xfId="0" applyFont="1" applyBorder="1" applyAlignment="1">
      <alignment horizontal="left" vertical="center" wrapText="1" indent="1"/>
    </xf>
    <xf numFmtId="0" fontId="13" fillId="0" borderId="0" xfId="0" applyFont="1"/>
    <xf numFmtId="169" fontId="10" fillId="4" borderId="2" xfId="0" applyNumberFormat="1" applyFont="1" applyFill="1" applyBorder="1" applyAlignment="1">
      <alignment horizontal="center" vertical="center"/>
    </xf>
    <xf numFmtId="167" fontId="10" fillId="4" borderId="2" xfId="0" applyNumberFormat="1" applyFont="1" applyFill="1" applyBorder="1" applyAlignment="1">
      <alignment horizontal="center" vertical="center"/>
    </xf>
    <xf numFmtId="168" fontId="10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170" fontId="10" fillId="4" borderId="2" xfId="0" applyNumberFormat="1" applyFont="1" applyFill="1" applyBorder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9" borderId="4" xfId="0" applyFill="1" applyBorder="1"/>
    <xf numFmtId="0" fontId="47" fillId="0" borderId="4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0" fontId="51" fillId="13" borderId="41" xfId="0" applyFont="1" applyFill="1" applyBorder="1" applyAlignment="1">
      <alignment horizontal="center" vertical="center" shrinkToFit="1"/>
    </xf>
    <xf numFmtId="0" fontId="10" fillId="0" borderId="41" xfId="0" applyFont="1" applyBorder="1" applyAlignment="1">
      <alignment horizontal="left" vertical="center" wrapText="1" indent="1"/>
    </xf>
    <xf numFmtId="0" fontId="52" fillId="14" borderId="41" xfId="0" applyFont="1" applyFill="1" applyBorder="1" applyAlignment="1">
      <alignment horizontal="center" vertical="center" shrinkToFit="1"/>
    </xf>
    <xf numFmtId="0" fontId="53" fillId="0" borderId="0" xfId="0" applyFont="1" applyAlignment="1">
      <alignment horizontal="center" vertical="center"/>
    </xf>
    <xf numFmtId="0" fontId="3" fillId="4" borderId="40" xfId="0" applyFont="1" applyFill="1" applyBorder="1" applyAlignment="1">
      <alignment horizontal="left" vertical="center" wrapText="1" indent="1"/>
    </xf>
    <xf numFmtId="0" fontId="0" fillId="0" borderId="41" xfId="0" applyBorder="1"/>
    <xf numFmtId="0" fontId="38" fillId="2" borderId="0" xfId="0" applyFont="1" applyFill="1" applyAlignment="1">
      <alignment horizontal="left" vertical="center" shrinkToFit="1"/>
    </xf>
    <xf numFmtId="0" fontId="0" fillId="0" borderId="0" xfId="0"/>
    <xf numFmtId="0" fontId="3" fillId="4" borderId="42" xfId="0" applyFont="1" applyFill="1" applyBorder="1" applyAlignment="1">
      <alignment horizontal="center" vertical="center" wrapText="1"/>
    </xf>
    <xf numFmtId="0" fontId="0" fillId="0" borderId="42" xfId="0" applyBorder="1"/>
    <xf numFmtId="0" fontId="20" fillId="4" borderId="35" xfId="0" applyFont="1" applyFill="1" applyBorder="1" applyAlignment="1">
      <alignment horizontal="left" vertical="top" indent="1"/>
    </xf>
    <xf numFmtId="0" fontId="0" fillId="0" borderId="36" xfId="0" applyBorder="1"/>
    <xf numFmtId="0" fontId="0" fillId="0" borderId="37" xfId="0" applyBorder="1"/>
    <xf numFmtId="184" fontId="42" fillId="4" borderId="33" xfId="0" applyNumberFormat="1" applyFont="1" applyFill="1" applyBorder="1" applyAlignment="1">
      <alignment horizontal="left" vertical="center" indent="1"/>
    </xf>
    <xf numFmtId="0" fontId="0" fillId="0" borderId="34" xfId="0" applyBorder="1"/>
    <xf numFmtId="185" fontId="9" fillId="4" borderId="27" xfId="0" applyNumberFormat="1" applyFont="1" applyFill="1" applyBorder="1" applyAlignment="1">
      <alignment horizontal="left" vertical="center" indent="1" shrinkToFit="1"/>
    </xf>
    <xf numFmtId="0" fontId="0" fillId="0" borderId="27" xfId="0" applyBorder="1"/>
    <xf numFmtId="0" fontId="15" fillId="4" borderId="38" xfId="0" applyFont="1" applyFill="1" applyBorder="1" applyAlignment="1">
      <alignment horizontal="left" vertical="center" indent="1" shrinkToFit="1"/>
    </xf>
    <xf numFmtId="0" fontId="0" fillId="0" borderId="16" xfId="0" applyBorder="1"/>
    <xf numFmtId="0" fontId="31" fillId="4" borderId="48" xfId="0" applyFont="1" applyFill="1" applyBorder="1" applyAlignment="1">
      <alignment horizontal="left" vertical="center" indent="1"/>
    </xf>
    <xf numFmtId="0" fontId="0" fillId="0" borderId="49" xfId="0" applyBorder="1"/>
    <xf numFmtId="0" fontId="0" fillId="0" borderId="50" xfId="0" applyBorder="1"/>
    <xf numFmtId="0" fontId="40" fillId="2" borderId="0" xfId="0" applyFont="1" applyFill="1"/>
    <xf numFmtId="0" fontId="44" fillId="4" borderId="46" xfId="0" applyFont="1" applyFill="1" applyBorder="1" applyAlignment="1">
      <alignment horizontal="left" vertical="center" indent="1"/>
    </xf>
    <xf numFmtId="0" fontId="41" fillId="2" borderId="0" xfId="0" applyFont="1" applyFill="1" applyAlignment="1">
      <alignment vertical="center"/>
    </xf>
    <xf numFmtId="0" fontId="44" fillId="4" borderId="52" xfId="0" applyFont="1" applyFill="1" applyBorder="1" applyAlignment="1">
      <alignment horizontal="left" vertical="center" indent="1"/>
    </xf>
    <xf numFmtId="0" fontId="44" fillId="4" borderId="47" xfId="0" applyFont="1" applyFill="1" applyBorder="1" applyAlignment="1">
      <alignment horizontal="left" vertical="center" indent="1"/>
    </xf>
    <xf numFmtId="0" fontId="0" fillId="0" borderId="28" xfId="0" applyBorder="1"/>
    <xf numFmtId="0" fontId="0" fillId="0" borderId="29" xfId="0" applyBorder="1"/>
    <xf numFmtId="0" fontId="44" fillId="4" borderId="53" xfId="0" applyFont="1" applyFill="1" applyBorder="1" applyAlignment="1">
      <alignment horizontal="left" vertical="center" indent="1"/>
    </xf>
    <xf numFmtId="14" fontId="38" fillId="2" borderId="0" xfId="0" applyNumberFormat="1" applyFont="1" applyFill="1" applyAlignment="1">
      <alignment horizontal="left" vertical="center" shrinkToFit="1"/>
    </xf>
    <xf numFmtId="0" fontId="31" fillId="4" borderId="7" xfId="0" applyFont="1" applyFill="1" applyBorder="1" applyAlignment="1">
      <alignment horizontal="left" vertical="center" indent="1"/>
    </xf>
    <xf numFmtId="0" fontId="0" fillId="4" borderId="9" xfId="0" applyFill="1" applyBorder="1"/>
    <xf numFmtId="164" fontId="39" fillId="2" borderId="0" xfId="0" applyNumberFormat="1" applyFont="1" applyFill="1" applyAlignment="1">
      <alignment horizontal="left" vertical="center" shrinkToFit="1"/>
    </xf>
    <xf numFmtId="0" fontId="37" fillId="2" borderId="0" xfId="0" applyFont="1" applyFill="1"/>
    <xf numFmtId="0" fontId="34" fillId="2" borderId="0" xfId="0" applyFont="1" applyFill="1" applyAlignment="1">
      <alignment vertical="center" wrapText="1" shrinkToFit="1"/>
    </xf>
    <xf numFmtId="0" fontId="42" fillId="4" borderId="33" xfId="0" applyFont="1" applyFill="1" applyBorder="1" applyAlignment="1">
      <alignment horizontal="left" vertical="center" indent="1"/>
    </xf>
    <xf numFmtId="0" fontId="22" fillId="4" borderId="30" xfId="0" applyFont="1" applyFill="1" applyBorder="1" applyAlignment="1">
      <alignment horizontal="left" indent="1"/>
    </xf>
    <xf numFmtId="0" fontId="0" fillId="0" borderId="31" xfId="0" applyBorder="1"/>
    <xf numFmtId="0" fontId="0" fillId="0" borderId="32" xfId="0" applyBorder="1"/>
    <xf numFmtId="9" fontId="42" fillId="4" borderId="33" xfId="0" applyNumberFormat="1" applyFont="1" applyFill="1" applyBorder="1" applyAlignment="1">
      <alignment horizontal="left" vertical="center" indent="1"/>
    </xf>
    <xf numFmtId="0" fontId="3" fillId="4" borderId="51" xfId="0" applyFont="1" applyFill="1" applyBorder="1" applyAlignment="1">
      <alignment horizontal="left" indent="1"/>
    </xf>
    <xf numFmtId="0" fontId="36" fillId="2" borderId="0" xfId="0" applyFont="1" applyFill="1" applyAlignment="1">
      <alignment horizontal="center" vertical="center"/>
    </xf>
    <xf numFmtId="182" fontId="42" fillId="4" borderId="33" xfId="0" applyNumberFormat="1" applyFont="1" applyFill="1" applyBorder="1" applyAlignment="1">
      <alignment horizontal="left" vertical="center" indent="1"/>
    </xf>
    <xf numFmtId="0" fontId="43" fillId="4" borderId="45" xfId="0" applyFont="1" applyFill="1" applyBorder="1" applyAlignment="1">
      <alignment horizontal="left" vertical="center" indent="1" shrinkToFit="1"/>
    </xf>
    <xf numFmtId="0" fontId="0" fillId="0" borderId="45" xfId="0" applyBorder="1"/>
    <xf numFmtId="0" fontId="43" fillId="4" borderId="39" xfId="0" applyFont="1" applyFill="1" applyBorder="1" applyAlignment="1">
      <alignment horizontal="left" vertical="center" indent="1" shrinkToFit="1"/>
    </xf>
    <xf numFmtId="0" fontId="35" fillId="4" borderId="21" xfId="0" applyFont="1" applyFill="1" applyBorder="1" applyAlignment="1">
      <alignment horizontal="center" vertical="center"/>
    </xf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164" fontId="42" fillId="4" borderId="33" xfId="0" applyNumberFormat="1" applyFont="1" applyFill="1" applyBorder="1" applyAlignment="1">
      <alignment horizontal="left" vertical="center" indent="1"/>
    </xf>
    <xf numFmtId="175" fontId="42" fillId="4" borderId="33" xfId="0" applyNumberFormat="1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indent="1"/>
    </xf>
    <xf numFmtId="168" fontId="42" fillId="4" borderId="33" xfId="0" applyNumberFormat="1" applyFont="1" applyFill="1" applyBorder="1" applyAlignment="1">
      <alignment horizontal="left" vertical="center" indent="1"/>
    </xf>
    <xf numFmtId="0" fontId="34" fillId="2" borderId="0" xfId="0" applyFont="1" applyFill="1" applyAlignment="1">
      <alignment horizontal="left" vertical="center" shrinkToFit="1"/>
    </xf>
    <xf numFmtId="183" fontId="42" fillId="4" borderId="33" xfId="0" applyNumberFormat="1" applyFont="1" applyFill="1" applyBorder="1" applyAlignment="1">
      <alignment horizontal="left" vertical="center" indent="1"/>
    </xf>
    <xf numFmtId="0" fontId="43" fillId="4" borderId="43" xfId="0" applyFont="1" applyFill="1" applyBorder="1" applyAlignment="1">
      <alignment horizontal="left" vertical="center" indent="1" shrinkToFit="1"/>
    </xf>
    <xf numFmtId="0" fontId="0" fillId="0" borderId="44" xfId="0" applyBorder="1"/>
    <xf numFmtId="0" fontId="3" fillId="0" borderId="1" xfId="0" applyFont="1" applyBorder="1" applyAlignment="1">
      <alignment horizontal="left" indent="1"/>
    </xf>
    <xf numFmtId="164" fontId="4" fillId="0" borderId="1" xfId="0" applyNumberFormat="1" applyFont="1" applyBorder="1" applyAlignment="1">
      <alignment horizontal="left" vertical="center" indent="1"/>
    </xf>
    <xf numFmtId="1" fontId="4" fillId="0" borderId="1" xfId="0" applyNumberFormat="1" applyFont="1" applyBorder="1" applyAlignment="1">
      <alignment horizontal="left" vertical="center" indent="1"/>
    </xf>
    <xf numFmtId="9" fontId="4" fillId="0" borderId="1" xfId="0" applyNumberFormat="1" applyFont="1" applyBorder="1" applyAlignment="1">
      <alignment horizontal="left" vertical="center" indent="1"/>
    </xf>
    <xf numFmtId="175" fontId="4" fillId="0" borderId="1" xfId="0" applyNumberFormat="1" applyFont="1" applyBorder="1" applyAlignment="1">
      <alignment horizontal="left" vertical="center" indent="1"/>
    </xf>
    <xf numFmtId="0" fontId="7" fillId="5" borderId="2" xfId="0" applyFont="1" applyFill="1" applyBorder="1" applyAlignment="1">
      <alignment horizontal="center" vertical="center"/>
    </xf>
    <xf numFmtId="0" fontId="0" fillId="5" borderId="2" xfId="0" applyFill="1" applyBorder="1"/>
    <xf numFmtId="0" fontId="21" fillId="9" borderId="6" xfId="0" applyFont="1" applyFill="1" applyBorder="1" applyAlignment="1">
      <alignment horizontal="center" vertical="center"/>
    </xf>
    <xf numFmtId="0" fontId="0" fillId="9" borderId="6" xfId="0" applyFill="1" applyBorder="1"/>
    <xf numFmtId="14" fontId="4" fillId="0" borderId="1" xfId="0" applyNumberFormat="1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4" fontId="15" fillId="0" borderId="4" xfId="0" applyNumberFormat="1" applyFont="1" applyBorder="1" applyAlignment="1">
      <alignment horizontal="left" vertical="center" indent="1"/>
    </xf>
    <xf numFmtId="0" fontId="0" fillId="0" borderId="4" xfId="0" applyBorder="1"/>
    <xf numFmtId="0" fontId="15" fillId="0" borderId="4" xfId="0" applyFont="1" applyBorder="1" applyAlignment="1">
      <alignment horizontal="left" vertical="center" inden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9" fillId="0" borderId="0" xfId="0" applyFont="1" applyAlignment="1">
      <alignment horizontal="left" vertical="center" indent="1"/>
    </xf>
    <xf numFmtId="0" fontId="24" fillId="0" borderId="4" xfId="0" applyFont="1" applyBorder="1" applyAlignment="1">
      <alignment horizontal="left" vertical="center" indent="1"/>
    </xf>
    <xf numFmtId="0" fontId="4" fillId="9" borderId="11" xfId="0" applyFont="1" applyFill="1" applyBorder="1" applyAlignment="1">
      <alignment horizontal="left" vertical="center" indent="1"/>
    </xf>
    <xf numFmtId="0" fontId="0" fillId="9" borderId="0" xfId="0" applyFill="1"/>
    <xf numFmtId="0" fontId="13" fillId="0" borderId="0" xfId="0" applyFont="1" applyAlignment="1">
      <alignment horizontal="left" vertical="top" wrapText="1" indent="1"/>
    </xf>
    <xf numFmtId="0" fontId="25" fillId="9" borderId="11" xfId="0" applyFont="1" applyFill="1" applyBorder="1" applyAlignment="1">
      <alignment horizontal="left" indent="1"/>
    </xf>
    <xf numFmtId="0" fontId="11" fillId="9" borderId="7" xfId="0" applyFont="1" applyFill="1" applyBorder="1" applyAlignment="1">
      <alignment horizontal="left" vertical="center" indent="1"/>
    </xf>
    <xf numFmtId="0" fontId="0" fillId="9" borderId="8" xfId="0" applyFill="1" applyBorder="1"/>
    <xf numFmtId="0" fontId="0" fillId="9" borderId="9" xfId="0" applyFill="1" applyBorder="1"/>
    <xf numFmtId="0" fontId="28" fillId="2" borderId="0" xfId="0" applyFont="1" applyFill="1" applyAlignment="1">
      <alignment horizontal="left" vertical="center" indent="1"/>
    </xf>
    <xf numFmtId="0" fontId="28" fillId="2" borderId="0" xfId="0" applyFont="1" applyFill="1"/>
    <xf numFmtId="1" fontId="4" fillId="9" borderId="11" xfId="0" applyNumberFormat="1" applyFont="1" applyFill="1" applyBorder="1" applyAlignment="1">
      <alignment horizontal="left" vertical="center" indent="1"/>
    </xf>
    <xf numFmtId="0" fontId="10" fillId="4" borderId="2" xfId="0" applyFont="1" applyFill="1" applyBorder="1" applyAlignment="1">
      <alignment horizontal="left" vertical="center" indent="1"/>
    </xf>
    <xf numFmtId="1" fontId="10" fillId="4" borderId="2" xfId="0" applyNumberFormat="1" applyFont="1" applyFill="1" applyBorder="1" applyAlignment="1">
      <alignment horizontal="left" vertical="center" indent="1"/>
    </xf>
    <xf numFmtId="164" fontId="12" fillId="5" borderId="2" xfId="0" applyNumberFormat="1" applyFont="1" applyFill="1" applyBorder="1" applyAlignment="1">
      <alignment horizontal="left" vertical="center" indent="1"/>
    </xf>
    <xf numFmtId="164" fontId="9" fillId="5" borderId="2" xfId="0" applyNumberFormat="1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0" fontId="14" fillId="2" borderId="5" xfId="0" applyFont="1" applyFill="1" applyBorder="1" applyAlignment="1">
      <alignment horizontal="center" vertical="center" wrapText="1"/>
    </xf>
    <xf numFmtId="0" fontId="0" fillId="2" borderId="5" xfId="0" applyFill="1" applyBorder="1"/>
    <xf numFmtId="9" fontId="10" fillId="4" borderId="2" xfId="0" applyNumberFormat="1" applyFont="1" applyFill="1" applyBorder="1" applyAlignment="1">
      <alignment horizontal="center" vertical="center"/>
    </xf>
    <xf numFmtId="2" fontId="12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4" fontId="10" fillId="4" borderId="2" xfId="0" applyNumberFormat="1" applyFont="1" applyFill="1" applyBorder="1" applyAlignment="1">
      <alignment horizontal="left" vertical="center" indent="1"/>
    </xf>
    <xf numFmtId="164" fontId="10" fillId="4" borderId="2" xfId="0" applyNumberFormat="1" applyFont="1" applyFill="1" applyBorder="1" applyAlignment="1">
      <alignment horizontal="center" vertical="center"/>
    </xf>
    <xf numFmtId="0" fontId="16" fillId="6" borderId="0" xfId="0" applyFont="1" applyFill="1" applyAlignment="1">
      <alignment horizontal="left" vertical="center" wrapText="1" indent="1"/>
    </xf>
    <xf numFmtId="0" fontId="0" fillId="6" borderId="0" xfId="0" applyFill="1"/>
    <xf numFmtId="164" fontId="10" fillId="4" borderId="2" xfId="0" applyNumberFormat="1" applyFont="1" applyFill="1" applyBorder="1" applyAlignment="1">
      <alignment horizontal="left" vertical="center" indent="1"/>
    </xf>
    <xf numFmtId="0" fontId="11" fillId="4" borderId="2" xfId="0" applyFont="1" applyFill="1" applyBorder="1" applyAlignment="1">
      <alignment horizontal="left" vertical="center" indent="1"/>
    </xf>
    <xf numFmtId="0" fontId="10" fillId="4" borderId="2" xfId="0" applyFont="1" applyFill="1" applyBorder="1" applyAlignment="1">
      <alignment horizontal="center" vertical="center"/>
    </xf>
    <xf numFmtId="14" fontId="12" fillId="5" borderId="2" xfId="0" applyNumberFormat="1" applyFont="1" applyFill="1" applyBorder="1" applyAlignment="1">
      <alignment horizontal="left" vertical="center" indent="1"/>
    </xf>
    <xf numFmtId="14" fontId="9" fillId="5" borderId="2" xfId="0" applyNumberFormat="1" applyFont="1" applyFill="1" applyBorder="1" applyAlignment="1">
      <alignment horizontal="left" vertical="center" indent="1"/>
    </xf>
    <xf numFmtId="165" fontId="10" fillId="4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 indent="1"/>
    </xf>
    <xf numFmtId="0" fontId="48" fillId="12" borderId="54" xfId="0" applyFont="1" applyFill="1" applyBorder="1" applyAlignment="1">
      <alignment horizontal="center" vertical="center"/>
    </xf>
    <xf numFmtId="0" fontId="0" fillId="12" borderId="54" xfId="0" applyFill="1" applyBorder="1"/>
    <xf numFmtId="0" fontId="15" fillId="4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46" fillId="2" borderId="0" xfId="0" applyFont="1" applyFill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wrapText="1" indent="1"/>
    </xf>
    <xf numFmtId="0" fontId="10" fillId="0" borderId="4" xfId="0" applyFont="1" applyBorder="1" applyAlignment="1">
      <alignment horizontal="left" vertical="top" wrapText="1" indent="1"/>
    </xf>
    <xf numFmtId="0" fontId="28" fillId="2" borderId="54" xfId="0" applyFont="1" applyFill="1" applyBorder="1" applyAlignment="1">
      <alignment horizontal="center" vertical="center"/>
    </xf>
    <xf numFmtId="0" fontId="0" fillId="2" borderId="54" xfId="0" applyFill="1" applyBorder="1"/>
    <xf numFmtId="0" fontId="28" fillId="7" borderId="54" xfId="0" applyFont="1" applyFill="1" applyBorder="1" applyAlignment="1">
      <alignment horizontal="center" vertical="center"/>
    </xf>
    <xf numFmtId="0" fontId="0" fillId="7" borderId="54" xfId="0" applyFill="1" applyBorder="1"/>
    <xf numFmtId="0" fontId="50" fillId="14" borderId="54" xfId="0" applyFont="1" applyFill="1" applyBorder="1" applyAlignment="1">
      <alignment horizontal="center" vertical="center"/>
    </xf>
    <xf numFmtId="0" fontId="0" fillId="14" borderId="54" xfId="0" applyFill="1" applyBorder="1"/>
    <xf numFmtId="0" fontId="49" fillId="13" borderId="54" xfId="0" applyFont="1" applyFill="1" applyBorder="1" applyAlignment="1">
      <alignment horizontal="center" vertical="center"/>
    </xf>
    <xf numFmtId="0" fontId="0" fillId="13" borderId="54" xfId="0" applyFill="1" applyBorder="1"/>
    <xf numFmtId="0" fontId="10" fillId="0" borderId="0" xfId="0" applyFont="1" applyAlignment="1">
      <alignment horizontal="left" vertical="top" wrapText="1" indent="1"/>
    </xf>
  </cellXfs>
  <cellStyles count="1">
    <cellStyle name="Standard" xfId="0" builtinId="0"/>
  </cellStyles>
  <dxfs count="31">
    <dxf>
      <border>
        <bottom style="thin">
          <color rgb="FFECE8E2"/>
        </bottom>
      </border>
    </dxf>
    <dxf>
      <border>
        <bottom style="thin">
          <color rgb="FFECE8E2"/>
        </bottom>
      </border>
    </dxf>
    <dxf>
      <fill>
        <patternFill patternType="solid">
          <fgColor rgb="FFFAF8F5"/>
          <bgColor rgb="FFFAF8F5"/>
        </patternFill>
      </fill>
    </dxf>
    <dxf>
      <font>
        <b/>
        <color rgb="FF5E6570"/>
      </font>
      <fill>
        <patternFill patternType="solid">
          <fgColor rgb="FFECEAE6"/>
          <bgColor rgb="FFECEAE6"/>
        </patternFill>
      </fill>
    </dxf>
    <dxf>
      <font>
        <b/>
        <color rgb="FF236B3E"/>
      </font>
      <fill>
        <patternFill patternType="solid">
          <fgColor rgb="FFE3F1E7"/>
          <bgColor rgb="FFE3F1E7"/>
        </patternFill>
      </fill>
    </dxf>
    <dxf>
      <font>
        <b/>
        <color rgb="FF8A6100"/>
      </font>
      <fill>
        <patternFill patternType="solid">
          <fgColor rgb="FFFBF0D9"/>
          <bgColor rgb="FFFBF0D9"/>
        </patternFill>
      </fill>
    </dxf>
    <dxf>
      <font>
        <b/>
        <color rgb="FFA3222B"/>
      </font>
      <fill>
        <patternFill patternType="solid">
          <fgColor rgb="FFF8DCDD"/>
          <bgColor rgb="FFF8DCDD"/>
        </patternFill>
      </fill>
    </dxf>
    <dxf>
      <font>
        <b/>
        <color rgb="FFA3222B"/>
      </font>
    </dxf>
    <dxf>
      <font>
        <b/>
        <color rgb="FFA3222B"/>
      </font>
    </dxf>
    <dxf>
      <font>
        <b/>
        <color rgb="FF236B3E"/>
      </font>
      <fill>
        <patternFill patternType="solid">
          <fgColor rgb="FFE3F1E7"/>
          <bgColor rgb="FFE3F1E7"/>
        </patternFill>
      </fill>
    </dxf>
    <dxf>
      <font>
        <b/>
        <color rgb="FF8A6100"/>
      </font>
      <fill>
        <patternFill patternType="solid">
          <fgColor rgb="FFFBF0D9"/>
          <bgColor rgb="FFFBF0D9"/>
        </patternFill>
      </fill>
    </dxf>
    <dxf>
      <font>
        <b/>
        <color rgb="FFA3222B"/>
      </font>
      <fill>
        <patternFill patternType="solid">
          <fgColor rgb="FFF8DCDD"/>
          <bgColor rgb="FFF8DCDD"/>
        </patternFill>
      </fill>
    </dxf>
    <dxf>
      <font>
        <b/>
        <color rgb="FF5A1A2C"/>
      </font>
    </dxf>
    <dxf>
      <font>
        <color rgb="FFB5B0A8"/>
      </font>
      <fill>
        <patternFill patternType="solid">
          <fgColor rgb="FFEFEDE9"/>
          <bgColor rgb="FFEFEDE9"/>
        </patternFill>
      </fill>
    </dxf>
    <dxf>
      <font>
        <b/>
        <color rgb="FF5A1A2C"/>
      </font>
    </dxf>
    <dxf>
      <font>
        <b/>
        <color rgb="FF236B3E"/>
      </font>
      <fill>
        <patternFill patternType="solid">
          <fgColor rgb="FFE3F1E7"/>
          <bgColor rgb="FFE3F1E7"/>
        </patternFill>
      </fill>
    </dxf>
    <dxf>
      <font>
        <b/>
        <color rgb="FF8A6100"/>
      </font>
      <fill>
        <patternFill patternType="solid">
          <fgColor rgb="FFFBF0D9"/>
          <bgColor rgb="FFFBF0D9"/>
        </patternFill>
      </fill>
    </dxf>
    <dxf>
      <font>
        <b/>
        <color rgb="FFA3222B"/>
      </font>
      <fill>
        <patternFill patternType="solid">
          <fgColor rgb="FFF8DCDD"/>
          <bgColor rgb="FFF8DCDD"/>
        </patternFill>
      </fill>
    </dxf>
    <dxf>
      <font>
        <b/>
        <color rgb="FF8A6100"/>
      </font>
      <fill>
        <patternFill patternType="solid">
          <fgColor rgb="FFFBF0D9"/>
          <bgColor rgb="FFFBF0D9"/>
        </patternFill>
      </fill>
    </dxf>
    <dxf>
      <font>
        <b/>
        <color rgb="FF6B7480"/>
      </font>
    </dxf>
    <dxf>
      <font>
        <b/>
        <color rgb="FF8C6A2E"/>
      </font>
    </dxf>
    <dxf>
      <font>
        <b/>
        <color rgb="FF5A1A2C"/>
      </font>
    </dxf>
    <dxf>
      <fill>
        <patternFill patternType="solid">
          <fgColor rgb="FFFCF1F2"/>
          <bgColor rgb="FFFCF1F2"/>
        </patternFill>
      </fill>
    </dxf>
    <dxf>
      <font>
        <color rgb="FFB8B2AA"/>
      </font>
    </dxf>
    <dxf>
      <font>
        <color rgb="FFB8B2AA"/>
      </font>
    </dxf>
    <dxf>
      <font>
        <b/>
        <color rgb="FF3A2A00"/>
      </font>
      <fill>
        <patternFill patternType="solid">
          <fgColor rgb="FFD9A441"/>
          <bgColor rgb="FFD9A441"/>
        </patternFill>
      </fill>
    </dxf>
    <dxf>
      <font>
        <b/>
        <color rgb="FFFFFFFF"/>
      </font>
      <fill>
        <patternFill patternType="solid">
          <fgColor rgb="FFC0392B"/>
          <bgColor rgb="FFC0392B"/>
        </patternFill>
      </fill>
    </dxf>
    <dxf>
      <font>
        <b/>
        <color rgb="FF3A2A00"/>
      </font>
      <fill>
        <patternFill patternType="solid">
          <fgColor rgb="FFD9A441"/>
          <bgColor rgb="FFD9A441"/>
        </patternFill>
      </fill>
    </dxf>
    <dxf>
      <font>
        <b/>
        <color rgb="FF3A2A00"/>
      </font>
      <fill>
        <patternFill patternType="solid">
          <fgColor rgb="FFD9A441"/>
          <bgColor rgb="FFD9A441"/>
        </patternFill>
      </fill>
    </dxf>
    <dxf>
      <font>
        <b/>
        <color rgb="FF3A2A00"/>
      </font>
      <fill>
        <patternFill patternType="solid">
          <fgColor rgb="FFD9A441"/>
          <bgColor rgb="FFD9A441"/>
        </patternFill>
      </fill>
    </dxf>
    <dxf>
      <font>
        <b/>
        <color rgb="FFFFFFFF"/>
      </font>
      <fill>
        <patternFill patternType="solid">
          <fgColor rgb="FFC0392B"/>
          <bgColor rgb="FFC0392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Synthèse!$X$3</c:f>
              <c:strCache>
                <c:ptCount val="1"/>
                <c:pt idx="0">
                  <c:v>Professionnel</c:v>
                </c:pt>
              </c:strCache>
            </c:strRef>
          </c:tx>
          <c:spPr>
            <a:solidFill>
              <a:srgbClr val="5A1A2C"/>
            </a:solidFill>
            <a:ln>
              <a:solidFill>
                <a:srgbClr val="5A1A2C"/>
              </a:solidFill>
              <a:prstDash val="solid"/>
            </a:ln>
          </c:spPr>
          <c:invertIfNegative val="1"/>
          <c:cat>
            <c:strRef>
              <c:f>Synthèse!$W$4:$W$15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Synthèse!$X$4:$X$15</c:f>
              <c:numCache>
                <c:formatCode>#,##0.00</c:formatCode>
                <c:ptCount val="12"/>
                <c:pt idx="0">
                  <c:v>1906</c:v>
                </c:pt>
                <c:pt idx="1">
                  <c:v>1546</c:v>
                </c:pt>
                <c:pt idx="2">
                  <c:v>2051</c:v>
                </c:pt>
                <c:pt idx="3">
                  <c:v>1918</c:v>
                </c:pt>
                <c:pt idx="4">
                  <c:v>1697</c:v>
                </c:pt>
                <c:pt idx="5">
                  <c:v>2163</c:v>
                </c:pt>
                <c:pt idx="6">
                  <c:v>1626</c:v>
                </c:pt>
                <c:pt idx="7">
                  <c:v>872</c:v>
                </c:pt>
                <c:pt idx="8">
                  <c:v>2159</c:v>
                </c:pt>
                <c:pt idx="9">
                  <c:v>2194</c:v>
                </c:pt>
                <c:pt idx="10">
                  <c:v>1071</c:v>
                </c:pt>
                <c:pt idx="11">
                  <c:v>1133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5A1A2C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F76-4010-9E07-AD5EA9930005}"/>
            </c:ext>
          </c:extLst>
        </c:ser>
        <c:ser>
          <c:idx val="1"/>
          <c:order val="1"/>
          <c:tx>
            <c:strRef>
              <c:f>Synthèse!$Y$3</c:f>
              <c:strCache>
                <c:ptCount val="1"/>
                <c:pt idx="0">
                  <c:v>Domicile – travail</c:v>
                </c:pt>
              </c:strCache>
            </c:strRef>
          </c:tx>
          <c:spPr>
            <a:solidFill>
              <a:srgbClr val="C4A265"/>
            </a:solidFill>
            <a:ln>
              <a:solidFill>
                <a:srgbClr val="C4A265"/>
              </a:solidFill>
              <a:prstDash val="solid"/>
            </a:ln>
          </c:spPr>
          <c:invertIfNegative val="1"/>
          <c:cat>
            <c:strRef>
              <c:f>Synthèse!$W$4:$W$15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Synthèse!$Y$4:$Y$15</c:f>
              <c:numCache>
                <c:formatCode>#,##0.00</c:formatCode>
                <c:ptCount val="12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144</c:v>
                </c:pt>
                <c:pt idx="8">
                  <c:v>144</c:v>
                </c:pt>
                <c:pt idx="9">
                  <c:v>96</c:v>
                </c:pt>
                <c:pt idx="10">
                  <c:v>96</c:v>
                </c:pt>
                <c:pt idx="11">
                  <c:v>72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C4A26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F76-4010-9E07-AD5EA9930005}"/>
            </c:ext>
          </c:extLst>
        </c:ser>
        <c:ser>
          <c:idx val="2"/>
          <c:order val="2"/>
          <c:tx>
            <c:strRef>
              <c:f>Synthèse!$Z$3</c:f>
              <c:strCache>
                <c:ptCount val="1"/>
                <c:pt idx="0">
                  <c:v>Personnel</c:v>
                </c:pt>
              </c:strCache>
            </c:strRef>
          </c:tx>
          <c:spPr>
            <a:solidFill>
              <a:srgbClr val="A3AAB3"/>
            </a:solidFill>
            <a:ln>
              <a:solidFill>
                <a:srgbClr val="A3AAB3"/>
              </a:solidFill>
              <a:prstDash val="solid"/>
            </a:ln>
          </c:spPr>
          <c:invertIfNegative val="1"/>
          <c:cat>
            <c:strRef>
              <c:f>Synthèse!$W$4:$W$15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Synthèse!$Z$4:$Z$15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A3AAB3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6F76-4010-9E07-AD5EA9930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D8D2C8"/>
            </a:solidFill>
            <a:prstDash val="solid"/>
          </a:ln>
        </c:spPr>
        <c:txPr>
          <a:bodyPr/>
          <a:lstStyle/>
          <a:p>
            <a:pPr>
              <a:defRPr sz="900">
                <a:solidFill>
                  <a:srgbClr val="8C949E"/>
                </a:solidFill>
                <a:latin typeface="Calibri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8E2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>
                <a:solidFill>
                  <a:srgbClr val="8C949E"/>
                </a:solidFill>
                <a:latin typeface="Calibri"/>
              </a:defRPr>
            </a:pPr>
            <a:endParaRPr lang="de-DE"/>
          </a:p>
        </c:txPr>
        <c:crossAx val="10"/>
        <c:crosses val="autoZero"/>
        <c:crossBetween val="between"/>
      </c:valAx>
    </c:plotArea>
    <c:legend>
      <c:legendPos val="t"/>
      <c:overlay val="1"/>
      <c:txPr>
        <a:bodyPr/>
        <a:lstStyle/>
        <a:p>
          <a:pPr>
            <a:defRPr sz="850">
              <a:solidFill>
                <a:srgbClr val="4A5360"/>
              </a:solidFill>
              <a:latin typeface="Calibri"/>
            </a:defRPr>
          </a:pPr>
          <a:endParaRPr lang="de-DE"/>
        </a:p>
      </c:txPr>
    </c:legend>
    <c:plotVisOnly val="0"/>
    <c:dispBlanksAs val="gap"/>
    <c:showDLblsOverMax val="1"/>
  </c:chart>
  <c:spPr>
    <a:ln>
      <a:noFill/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Synthèse!$AA$3</c:f>
              <c:strCache>
                <c:ptCount val="1"/>
                <c:pt idx="0">
                  <c:v>Énergie</c:v>
                </c:pt>
              </c:strCache>
            </c:strRef>
          </c:tx>
          <c:spPr>
            <a:solidFill>
              <a:srgbClr val="5A1A2C"/>
            </a:solidFill>
            <a:ln>
              <a:solidFill>
                <a:srgbClr val="5A1A2C"/>
              </a:solidFill>
              <a:prstDash val="solid"/>
            </a:ln>
          </c:spPr>
          <c:invertIfNegative val="1"/>
          <c:cat>
            <c:strRef>
              <c:f>Synthèse!$W$4:$W$15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Synthèse!$AA$4:$AA$15</c:f>
              <c:numCache>
                <c:formatCode>#,##0.00</c:formatCode>
                <c:ptCount val="12"/>
                <c:pt idx="0">
                  <c:v>209.07</c:v>
                </c:pt>
                <c:pt idx="1">
                  <c:v>190.92</c:v>
                </c:pt>
                <c:pt idx="2">
                  <c:v>259.44000000000005</c:v>
                </c:pt>
                <c:pt idx="3">
                  <c:v>291.04000000000002</c:v>
                </c:pt>
                <c:pt idx="4">
                  <c:v>185.72000000000003</c:v>
                </c:pt>
                <c:pt idx="5">
                  <c:v>328.84000000000003</c:v>
                </c:pt>
                <c:pt idx="6">
                  <c:v>206.63</c:v>
                </c:pt>
                <c:pt idx="7">
                  <c:v>65.09</c:v>
                </c:pt>
                <c:pt idx="8">
                  <c:v>308.05</c:v>
                </c:pt>
                <c:pt idx="9">
                  <c:v>299.83999999999997</c:v>
                </c:pt>
                <c:pt idx="10">
                  <c:v>124.32</c:v>
                </c:pt>
                <c:pt idx="11">
                  <c:v>120.03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5A1A2C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1CE-461B-A681-940A364AD756}"/>
            </c:ext>
          </c:extLst>
        </c:ser>
        <c:ser>
          <c:idx val="1"/>
          <c:order val="1"/>
          <c:tx>
            <c:strRef>
              <c:f>Synthèse!$AB$3</c:f>
              <c:strCache>
                <c:ptCount val="1"/>
                <c:pt idx="0">
                  <c:v>Entretien et réparations</c:v>
                </c:pt>
              </c:strCache>
            </c:strRef>
          </c:tx>
          <c:spPr>
            <a:solidFill>
              <a:srgbClr val="C4A265"/>
            </a:solidFill>
            <a:ln>
              <a:solidFill>
                <a:srgbClr val="C4A265"/>
              </a:solidFill>
              <a:prstDash val="solid"/>
            </a:ln>
          </c:spPr>
          <c:invertIfNegative val="1"/>
          <c:cat>
            <c:strRef>
              <c:f>Synthèse!$W$4:$W$15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Synthèse!$AB$4:$AB$15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89</c:v>
                </c:pt>
                <c:pt idx="3">
                  <c:v>0</c:v>
                </c:pt>
                <c:pt idx="4">
                  <c:v>312.60000000000002</c:v>
                </c:pt>
                <c:pt idx="5">
                  <c:v>186</c:v>
                </c:pt>
                <c:pt idx="6">
                  <c:v>0</c:v>
                </c:pt>
                <c:pt idx="7">
                  <c:v>0</c:v>
                </c:pt>
                <c:pt idx="8">
                  <c:v>248.9</c:v>
                </c:pt>
                <c:pt idx="9">
                  <c:v>0</c:v>
                </c:pt>
                <c:pt idx="10">
                  <c:v>512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C4A26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1CE-461B-A681-940A364AD756}"/>
            </c:ext>
          </c:extLst>
        </c:ser>
        <c:ser>
          <c:idx val="2"/>
          <c:order val="2"/>
          <c:tx>
            <c:strRef>
              <c:f>Synthèse!$AC$3</c:f>
              <c:strCache>
                <c:ptCount val="1"/>
                <c:pt idx="0">
                  <c:v>Frais fixes et divers</c:v>
                </c:pt>
              </c:strCache>
            </c:strRef>
          </c:tx>
          <c:spPr>
            <a:solidFill>
              <a:srgbClr val="A3AAB3"/>
            </a:solidFill>
            <a:ln>
              <a:solidFill>
                <a:srgbClr val="A3AAB3"/>
              </a:solidFill>
              <a:prstDash val="solid"/>
            </a:ln>
          </c:spPr>
          <c:invertIfNegative val="1"/>
          <c:cat>
            <c:strRef>
              <c:f>Synthèse!$W$4:$W$15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Synthèse!$AC$4:$AC$15</c:f>
              <c:numCache>
                <c:formatCode>#,##0.00</c:formatCode>
                <c:ptCount val="12"/>
                <c:pt idx="0">
                  <c:v>1283.7</c:v>
                </c:pt>
                <c:pt idx="1">
                  <c:v>78.400000000000006</c:v>
                </c:pt>
                <c:pt idx="2">
                  <c:v>95.6</c:v>
                </c:pt>
                <c:pt idx="3">
                  <c:v>150.59999999999997</c:v>
                </c:pt>
                <c:pt idx="4">
                  <c:v>110.3</c:v>
                </c:pt>
                <c:pt idx="5">
                  <c:v>150.1</c:v>
                </c:pt>
                <c:pt idx="6">
                  <c:v>121.4</c:v>
                </c:pt>
                <c:pt idx="7">
                  <c:v>77.2</c:v>
                </c:pt>
                <c:pt idx="8">
                  <c:v>107.2</c:v>
                </c:pt>
                <c:pt idx="9">
                  <c:v>136.19999999999999</c:v>
                </c:pt>
                <c:pt idx="10">
                  <c:v>152.1</c:v>
                </c:pt>
                <c:pt idx="11">
                  <c:v>37.6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A3AAB3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21CE-461B-A681-940A364AD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0"/>
        <c:axId val="100"/>
      </c:barChart>
      <c:lineChart>
        <c:grouping val="standard"/>
        <c:varyColors val="1"/>
        <c:ser>
          <c:idx val="3"/>
          <c:order val="3"/>
          <c:tx>
            <c:strRef>
              <c:f>Synthèse!$AF$3</c:f>
              <c:strCache>
                <c:ptCount val="1"/>
                <c:pt idx="0">
                  <c:v>Coût au km</c:v>
                </c:pt>
              </c:strCache>
            </c:strRef>
          </c:tx>
          <c:spPr>
            <a:ln w="22000">
              <a:solidFill>
                <a:srgbClr val="2E344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E3440"/>
              </a:solidFill>
              <a:ln>
                <a:solidFill>
                  <a:srgbClr val="2E3440"/>
                </a:solidFill>
                <a:prstDash val="solid"/>
              </a:ln>
            </c:spPr>
          </c:marker>
          <c:val>
            <c:numRef>
              <c:f>Synthèse!$AF$4:$AF$15</c:f>
              <c:numCache>
                <c:formatCode>#,##0.00</c:formatCode>
                <c:ptCount val="12"/>
                <c:pt idx="0">
                  <c:v>0.74563936063936065</c:v>
                </c:pt>
                <c:pt idx="1">
                  <c:v>0.16401948842874542</c:v>
                </c:pt>
                <c:pt idx="2">
                  <c:v>0.20681881695388915</c:v>
                </c:pt>
                <c:pt idx="3">
                  <c:v>0.21928500496524325</c:v>
                </c:pt>
                <c:pt idx="4">
                  <c:v>0.33944227551589518</c:v>
                </c:pt>
                <c:pt idx="5">
                  <c:v>0.28973420479302836</c:v>
                </c:pt>
                <c:pt idx="6">
                  <c:v>0.19049361207897794</c:v>
                </c:pt>
                <c:pt idx="7">
                  <c:v>0.1400492125984252</c:v>
                </c:pt>
                <c:pt idx="8">
                  <c:v>0.28838471558836298</c:v>
                </c:pt>
                <c:pt idx="9">
                  <c:v>0.19041048034934496</c:v>
                </c:pt>
                <c:pt idx="10">
                  <c:v>0.67559554413024836</c:v>
                </c:pt>
                <c:pt idx="11">
                  <c:v>0.13081327800829876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CE-461B-A681-940A364AD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D8D2C8"/>
            </a:solidFill>
            <a:prstDash val="solid"/>
          </a:ln>
        </c:spPr>
        <c:txPr>
          <a:bodyPr/>
          <a:lstStyle/>
          <a:p>
            <a:pPr>
              <a:defRPr sz="900">
                <a:solidFill>
                  <a:srgbClr val="8C949E"/>
                </a:solidFill>
                <a:latin typeface="Calibri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8E2"/>
              </a:solidFill>
              <a:prstDash val="solid"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>
                <a:solidFill>
                  <a:srgbClr val="8C949E"/>
                </a:solidFill>
                <a:latin typeface="Calibri"/>
              </a:defRPr>
            </a:pPr>
            <a:endParaRPr lang="de-DE"/>
          </a:p>
        </c:txPr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numFmt formatCode="0.00&quot; €&quot;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>
                <a:solidFill>
                  <a:srgbClr val="8C949E"/>
                </a:solidFill>
                <a:latin typeface="Calibri"/>
              </a:defRPr>
            </a:pPr>
            <a:endParaRPr lang="de-DE"/>
          </a:p>
        </c:txPr>
        <c:crossAx val="10"/>
        <c:crosses val="max"/>
        <c:crossBetween val="between"/>
      </c:valAx>
    </c:plotArea>
    <c:legend>
      <c:legendPos val="t"/>
      <c:overlay val="1"/>
      <c:txPr>
        <a:bodyPr/>
        <a:lstStyle/>
        <a:p>
          <a:pPr>
            <a:defRPr sz="850">
              <a:solidFill>
                <a:srgbClr val="4A5360"/>
              </a:solidFill>
              <a:latin typeface="Calibri"/>
            </a:defRPr>
          </a:pPr>
          <a:endParaRPr lang="de-DE"/>
        </a:p>
      </c:txPr>
    </c:legend>
    <c:plotVisOnly val="0"/>
    <c:dispBlanksAs val="gap"/>
    <c:showDLblsOverMax val="1"/>
  </c:chart>
  <c:spPr>
    <a:ln>
      <a:noFill/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63500</xdr:colOff>
      <xdr:row>14</xdr:row>
      <xdr:rowOff>116416</xdr:rowOff>
    </xdr:from>
    <xdr:ext cx="4053417" cy="355600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12</xdr:col>
      <xdr:colOff>52916</xdr:colOff>
      <xdr:row>14</xdr:row>
      <xdr:rowOff>74084</xdr:rowOff>
    </xdr:from>
    <xdr:ext cx="4095751" cy="35877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A1A2C"/>
    <pageSetUpPr fitToPage="1"/>
  </sheetPr>
  <dimension ref="A1:AG54"/>
  <sheetViews>
    <sheetView showGridLines="0" tabSelected="1" topLeftCell="A6" zoomScale="90" workbookViewId="0">
      <selection activeCell="AL18" sqref="AL18"/>
    </sheetView>
  </sheetViews>
  <sheetFormatPr baseColWidth="10" defaultColWidth="9.140625" defaultRowHeight="15" outlineLevelCol="1" x14ac:dyDescent="0.25"/>
  <cols>
    <col min="1" max="2" width="2" customWidth="1"/>
    <col min="3" max="3" width="20" customWidth="1"/>
    <col min="4" max="4" width="15" customWidth="1"/>
    <col min="5" max="5" width="2" customWidth="1"/>
    <col min="6" max="6" width="3" customWidth="1"/>
    <col min="7" max="18" width="10.42578125" customWidth="1"/>
    <col min="19" max="19" width="3" customWidth="1"/>
    <col min="20" max="32" width="3" hidden="1" customWidth="1" outlineLevel="1"/>
    <col min="33" max="33" width="9.140625" collapsed="1"/>
  </cols>
  <sheetData>
    <row r="1" spans="1:32" ht="9.9499999999999993" customHeight="1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32" ht="30" customHeight="1" x14ac:dyDescent="0.25">
      <c r="A2" s="1"/>
      <c r="B2" s="1"/>
      <c r="C2" s="3" t="s">
        <v>0</v>
      </c>
      <c r="D2" s="1"/>
      <c r="E2" s="1"/>
      <c r="F2" s="2"/>
      <c r="G2" s="4" t="s">
        <v>1</v>
      </c>
      <c r="H2" s="2"/>
      <c r="I2" s="2"/>
      <c r="J2" s="2"/>
      <c r="K2" s="2"/>
      <c r="L2" s="2"/>
      <c r="M2" s="2"/>
      <c r="N2" s="2"/>
      <c r="O2" s="2"/>
      <c r="P2" s="5" t="s">
        <v>2</v>
      </c>
      <c r="Q2" s="142">
        <v>2027</v>
      </c>
      <c r="R2" s="143"/>
      <c r="S2" s="2"/>
      <c r="U2" s="6" t="s">
        <v>3</v>
      </c>
    </row>
    <row r="3" spans="1:32" ht="24" customHeight="1" x14ac:dyDescent="0.25">
      <c r="A3" s="1"/>
      <c r="B3" s="1"/>
      <c r="C3" s="146" t="str">
        <f>TRIM(Marque&amp;" "&amp;Modele)</f>
        <v>Norvane Fourgonnette L1 1.5 diesel</v>
      </c>
      <c r="D3" s="118"/>
      <c r="E3" s="1"/>
      <c r="F3" s="2"/>
      <c r="G3" s="7" t="str">
        <f>"Indicateurs : "&amp;LOWER(Periode)&amp;" "&amp;AnneeSynth&amp;"   ·   graphiques : année "&amp;AnneeSynth</f>
        <v>Indicateurs : année complète 2027   ·   graphiques : année 2027</v>
      </c>
      <c r="H3" s="2"/>
      <c r="I3" s="2"/>
      <c r="J3" s="2"/>
      <c r="K3" s="2"/>
      <c r="L3" s="2"/>
      <c r="M3" s="2"/>
      <c r="N3" s="2"/>
      <c r="O3" s="2"/>
      <c r="P3" s="5" t="s">
        <v>4</v>
      </c>
      <c r="Q3" s="142" t="s">
        <v>5</v>
      </c>
      <c r="R3" s="143"/>
      <c r="S3" s="2"/>
      <c r="U3" s="8" t="s">
        <v>6</v>
      </c>
      <c r="V3" s="9">
        <f>IFERROR(MATCH(Periode,ListePeriodesPlage,0),1)</f>
        <v>1</v>
      </c>
      <c r="W3" s="6" t="s">
        <v>7</v>
      </c>
      <c r="X3" s="6" t="s">
        <v>8</v>
      </c>
      <c r="Y3" s="6" t="s">
        <v>9</v>
      </c>
      <c r="Z3" s="6" t="s">
        <v>10</v>
      </c>
      <c r="AA3" s="6" t="s">
        <v>11</v>
      </c>
      <c r="AB3" s="6" t="s">
        <v>12</v>
      </c>
      <c r="AC3" s="6" t="s">
        <v>13</v>
      </c>
      <c r="AD3" s="6" t="s">
        <v>14</v>
      </c>
      <c r="AE3" s="6" t="s">
        <v>15</v>
      </c>
      <c r="AF3" s="6" t="s">
        <v>16</v>
      </c>
    </row>
    <row r="4" spans="1:32" ht="3" customHeight="1" x14ac:dyDescent="0.25">
      <c r="A4" s="1"/>
      <c r="B4" s="1"/>
      <c r="C4" s="1"/>
      <c r="D4" s="1"/>
      <c r="E4" s="1"/>
      <c r="F4" s="2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2"/>
      <c r="U4" s="8" t="s">
        <v>17</v>
      </c>
      <c r="V4" s="9">
        <f>IF(V3=1,1,IF(V3&lt;=5,(V3-2)*3+1,V3-5))</f>
        <v>1</v>
      </c>
      <c r="W4" s="9" t="s">
        <v>18</v>
      </c>
      <c r="X4" s="9">
        <f>SUMIFS(Déplacements!$M$9:$M$808,Déplacements!$J$9:$J$808,"Professionnel",Déplacements!$C$9:$C$808,"&gt;="&amp;DATE(AnneeSynth,1,1),Déplacements!$C$9:$C$808,"&lt;"&amp;DATE(AnneeSynth,2,1))</f>
        <v>1906</v>
      </c>
      <c r="Y4" s="9">
        <f>SUMIFS(Déplacements!$M$9:$M$808,Déplacements!$J$9:$J$808,"Domicile – travail",Déplacements!$C$9:$C$808,"&gt;="&amp;DATE(AnneeSynth,1,1),Déplacements!$C$9:$C$808,"&lt;"&amp;DATE(AnneeSynth,2,1))</f>
        <v>96</v>
      </c>
      <c r="Z4" s="9">
        <f>SUMIFS(Déplacements!$M$9:$M$808,Déplacements!$J$9:$J$808,"Personnel",Déplacements!$C$9:$C$808,"&gt;="&amp;DATE(AnneeSynth,1,1),Déplacements!$C$9:$C$808,"&lt;"&amp;DATE(AnneeSynth,2,1))</f>
        <v>0</v>
      </c>
      <c r="AA4" s="9">
        <f>SUMIFS(Dépenses!$L$9:$L$508,Dépenses!$X$9:$X$508,"Énergie",Dépenses!$C$9:$C$508,"&gt;="&amp;DATE(AnneeSynth,1,1),Dépenses!$C$9:$C$508,"&lt;"&amp;DATE(AnneeSynth,2,1))</f>
        <v>209.07</v>
      </c>
      <c r="AB4" s="9">
        <f>SUMIFS(Dépenses!$L$9:$L$508,Dépenses!$X$9:$X$508,"Entretien et réparations",Dépenses!$C$9:$C$508,"&gt;="&amp;DATE(AnneeSynth,1,1),Dépenses!$C$9:$C$508,"&lt;"&amp;DATE(AnneeSynth,2,1))</f>
        <v>0</v>
      </c>
      <c r="AC4" s="9">
        <f>SUMIFS(Dépenses!$L$9:$L$508,Dépenses!$X$9:$X$508,"Frais fixes et divers",Dépenses!$C$9:$C$508,"&gt;="&amp;DATE(AnneeSynth,1,1),Dépenses!$C$9:$C$508,"&lt;"&amp;DATE(AnneeSynth,2,1))</f>
        <v>1283.7</v>
      </c>
      <c r="AD4" s="9">
        <f>SUMIFS(Dépenses!$L$9:$L$508,Dépenses!$C$9:$C$508,"&gt;="&amp;DATE(AnneeSynth,1,1),Dépenses!$C$9:$C$508,"&lt;"&amp;DATE(AnneeSynth,2,1))</f>
        <v>1492.77</v>
      </c>
      <c r="AE4" s="9">
        <f>SUMIFS(Déplacements!$M$9:$M$808,Déplacements!$C$9:$C$808,"&gt;="&amp;DATE(AnneeSynth,1,1),Déplacements!$C$9:$C$808,"&lt;"&amp;DATE(AnneeSynth,2,1))</f>
        <v>2002</v>
      </c>
      <c r="AF4" s="9">
        <f t="shared" ref="AF4:AF15" si="0">IFERROR(AD4/AE4,0)</f>
        <v>0.74563936063936065</v>
      </c>
    </row>
    <row r="5" spans="1:32" ht="9.9499999999999993" customHeight="1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U5" s="8" t="s">
        <v>19</v>
      </c>
      <c r="V5" s="9">
        <f>IF(V3=1,12,IF(V3&lt;=5,(V3-2)*3+3,V3-5))</f>
        <v>12</v>
      </c>
      <c r="W5" s="9" t="s">
        <v>20</v>
      </c>
      <c r="X5" s="9">
        <f>SUMIFS(Déplacements!$M$9:$M$808,Déplacements!$J$9:$J$808,"Professionnel",Déplacements!$C$9:$C$808,"&gt;="&amp;DATE(AnneeSynth,2,1),Déplacements!$C$9:$C$808,"&lt;"&amp;DATE(AnneeSynth,3,1))</f>
        <v>1546</v>
      </c>
      <c r="Y5" s="9">
        <f>SUMIFS(Déplacements!$M$9:$M$808,Déplacements!$J$9:$J$808,"Domicile – travail",Déplacements!$C$9:$C$808,"&gt;="&amp;DATE(AnneeSynth,2,1),Déplacements!$C$9:$C$808,"&lt;"&amp;DATE(AnneeSynth,3,1))</f>
        <v>96</v>
      </c>
      <c r="Z5" s="9">
        <f>SUMIFS(Déplacements!$M$9:$M$808,Déplacements!$J$9:$J$808,"Personnel",Déplacements!$C$9:$C$808,"&gt;="&amp;DATE(AnneeSynth,2,1),Déplacements!$C$9:$C$808,"&lt;"&amp;DATE(AnneeSynth,3,1))</f>
        <v>0</v>
      </c>
      <c r="AA5" s="9">
        <f>SUMIFS(Dépenses!$L$9:$L$508,Dépenses!$X$9:$X$508,"Énergie",Dépenses!$C$9:$C$508,"&gt;="&amp;DATE(AnneeSynth,2,1),Dépenses!$C$9:$C$508,"&lt;"&amp;DATE(AnneeSynth,3,1))</f>
        <v>190.92</v>
      </c>
      <c r="AB5" s="9">
        <f>SUMIFS(Dépenses!$L$9:$L$508,Dépenses!$X$9:$X$508,"Entretien et réparations",Dépenses!$C$9:$C$508,"&gt;="&amp;DATE(AnneeSynth,2,1),Dépenses!$C$9:$C$508,"&lt;"&amp;DATE(AnneeSynth,3,1))</f>
        <v>0</v>
      </c>
      <c r="AC5" s="9">
        <f>SUMIFS(Dépenses!$L$9:$L$508,Dépenses!$X$9:$X$508,"Frais fixes et divers",Dépenses!$C$9:$C$508,"&gt;="&amp;DATE(AnneeSynth,2,1),Dépenses!$C$9:$C$508,"&lt;"&amp;DATE(AnneeSynth,3,1))</f>
        <v>78.400000000000006</v>
      </c>
      <c r="AD5" s="9">
        <f>SUMIFS(Dépenses!$L$9:$L$508,Dépenses!$C$9:$C$508,"&gt;="&amp;DATE(AnneeSynth,2,1),Dépenses!$C$9:$C$508,"&lt;"&amp;DATE(AnneeSynth,3,1))</f>
        <v>269.32</v>
      </c>
      <c r="AE5" s="9">
        <f>SUMIFS(Déplacements!$M$9:$M$808,Déplacements!$C$9:$C$808,"&gt;="&amp;DATE(AnneeSynth,2,1),Déplacements!$C$9:$C$808,"&lt;"&amp;DATE(AnneeSynth,3,1))</f>
        <v>1642</v>
      </c>
      <c r="AF5" s="9">
        <f t="shared" si="0"/>
        <v>0.16401948842874542</v>
      </c>
    </row>
    <row r="6" spans="1:32" ht="18" customHeight="1" x14ac:dyDescent="0.25">
      <c r="A6" s="1"/>
      <c r="B6" s="1"/>
      <c r="C6" s="158" t="str">
        <f>Immatriculation</f>
        <v>FT-317-KV</v>
      </c>
      <c r="D6" s="159"/>
      <c r="E6" s="1"/>
      <c r="F6" s="2"/>
      <c r="G6" s="148" t="s">
        <v>21</v>
      </c>
      <c r="H6" s="149"/>
      <c r="I6" s="150"/>
      <c r="J6" s="148" t="s">
        <v>22</v>
      </c>
      <c r="K6" s="149"/>
      <c r="L6" s="150"/>
      <c r="M6" s="148" t="s">
        <v>23</v>
      </c>
      <c r="N6" s="149"/>
      <c r="O6" s="150"/>
      <c r="P6" s="148" t="s">
        <v>24</v>
      </c>
      <c r="Q6" s="149"/>
      <c r="R6" s="150"/>
      <c r="S6" s="2"/>
      <c r="U6" s="8" t="s">
        <v>25</v>
      </c>
      <c r="V6" s="11">
        <f>DATE(AnneeSynth,V4,1)</f>
        <v>46388</v>
      </c>
      <c r="W6" s="9" t="s">
        <v>26</v>
      </c>
      <c r="X6" s="9">
        <f>SUMIFS(Déplacements!$M$9:$M$808,Déplacements!$J$9:$J$808,"Professionnel",Déplacements!$C$9:$C$808,"&gt;="&amp;DATE(AnneeSynth,3,1),Déplacements!$C$9:$C$808,"&lt;"&amp;DATE(AnneeSynth,4,1))</f>
        <v>2051</v>
      </c>
      <c r="Y6" s="9">
        <f>SUMIFS(Déplacements!$M$9:$M$808,Déplacements!$J$9:$J$808,"Domicile – travail",Déplacements!$C$9:$C$808,"&gt;="&amp;DATE(AnneeSynth,3,1),Déplacements!$C$9:$C$808,"&lt;"&amp;DATE(AnneeSynth,4,1))</f>
        <v>96</v>
      </c>
      <c r="Z6" s="9">
        <f>SUMIFS(Déplacements!$M$9:$M$808,Déplacements!$J$9:$J$808,"Personnel",Déplacements!$C$9:$C$808,"&gt;="&amp;DATE(AnneeSynth,3,1),Déplacements!$C$9:$C$808,"&lt;"&amp;DATE(AnneeSynth,4,1))</f>
        <v>0</v>
      </c>
      <c r="AA6" s="9">
        <f>SUMIFS(Dépenses!$L$9:$L$508,Dépenses!$X$9:$X$508,"Énergie",Dépenses!$C$9:$C$508,"&gt;="&amp;DATE(AnneeSynth,3,1),Dépenses!$C$9:$C$508,"&lt;"&amp;DATE(AnneeSynth,4,1))</f>
        <v>259.44000000000005</v>
      </c>
      <c r="AB6" s="9">
        <f>SUMIFS(Dépenses!$L$9:$L$508,Dépenses!$X$9:$X$508,"Entretien et réparations",Dépenses!$C$9:$C$508,"&gt;="&amp;DATE(AnneeSynth,3,1),Dépenses!$C$9:$C$508,"&lt;"&amp;DATE(AnneeSynth,4,1))</f>
        <v>89</v>
      </c>
      <c r="AC6" s="9">
        <f>SUMIFS(Dépenses!$L$9:$L$508,Dépenses!$X$9:$X$508,"Frais fixes et divers",Dépenses!$C$9:$C$508,"&gt;="&amp;DATE(AnneeSynth,3,1),Dépenses!$C$9:$C$508,"&lt;"&amp;DATE(AnneeSynth,4,1))</f>
        <v>95.6</v>
      </c>
      <c r="AD6" s="9">
        <f>SUMIFS(Dépenses!$L$9:$L$508,Dépenses!$C$9:$C$508,"&gt;="&amp;DATE(AnneeSynth,3,1),Dépenses!$C$9:$C$508,"&lt;"&amp;DATE(AnneeSynth,4,1))</f>
        <v>444.04</v>
      </c>
      <c r="AE6" s="9">
        <f>SUMIFS(Déplacements!$M$9:$M$808,Déplacements!$C$9:$C$808,"&gt;="&amp;DATE(AnneeSynth,3,1),Déplacements!$C$9:$C$808,"&lt;"&amp;DATE(AnneeSynth,4,1))</f>
        <v>2147</v>
      </c>
      <c r="AF6" s="9">
        <f t="shared" si="0"/>
        <v>0.20681881695388915</v>
      </c>
    </row>
    <row r="7" spans="1:32" ht="27.95" customHeight="1" x14ac:dyDescent="0.25">
      <c r="A7" s="1"/>
      <c r="B7" s="1"/>
      <c r="C7" s="160"/>
      <c r="D7" s="161"/>
      <c r="E7" s="1"/>
      <c r="F7" s="2"/>
      <c r="G7" s="162">
        <f>$V$8</f>
        <v>21596</v>
      </c>
      <c r="H7" s="118"/>
      <c r="I7" s="125"/>
      <c r="J7" s="151">
        <f>IFERROR($V$10/$V$8,0)</f>
        <v>0.94165586219670305</v>
      </c>
      <c r="K7" s="118"/>
      <c r="L7" s="125"/>
      <c r="M7" s="165">
        <f>$V$13</f>
        <v>6437.89</v>
      </c>
      <c r="N7" s="118"/>
      <c r="O7" s="125"/>
      <c r="P7" s="154">
        <f>IFERROR($V$13/$V$8,0)</f>
        <v>0.29810566771624375</v>
      </c>
      <c r="Q7" s="118"/>
      <c r="R7" s="125"/>
      <c r="S7" s="2"/>
      <c r="U7" s="8" t="s">
        <v>27</v>
      </c>
      <c r="V7" s="11">
        <f>DATE(AnneeSynth,V5+1,1)-1</f>
        <v>46752</v>
      </c>
      <c r="W7" s="9" t="s">
        <v>28</v>
      </c>
      <c r="X7" s="9">
        <f>SUMIFS(Déplacements!$M$9:$M$808,Déplacements!$J$9:$J$808,"Professionnel",Déplacements!$C$9:$C$808,"&gt;="&amp;DATE(AnneeSynth,4,1),Déplacements!$C$9:$C$808,"&lt;"&amp;DATE(AnneeSynth,5,1))</f>
        <v>1918</v>
      </c>
      <c r="Y7" s="9">
        <f>SUMIFS(Déplacements!$M$9:$M$808,Déplacements!$J$9:$J$808,"Domicile – travail",Déplacements!$C$9:$C$808,"&gt;="&amp;DATE(AnneeSynth,4,1),Déplacements!$C$9:$C$808,"&lt;"&amp;DATE(AnneeSynth,5,1))</f>
        <v>96</v>
      </c>
      <c r="Z7" s="9">
        <f>SUMIFS(Déplacements!$M$9:$M$808,Déplacements!$J$9:$J$808,"Personnel",Déplacements!$C$9:$C$808,"&gt;="&amp;DATE(AnneeSynth,4,1),Déplacements!$C$9:$C$808,"&lt;"&amp;DATE(AnneeSynth,5,1))</f>
        <v>0</v>
      </c>
      <c r="AA7" s="9">
        <f>SUMIFS(Dépenses!$L$9:$L$508,Dépenses!$X$9:$X$508,"Énergie",Dépenses!$C$9:$C$508,"&gt;="&amp;DATE(AnneeSynth,4,1),Dépenses!$C$9:$C$508,"&lt;"&amp;DATE(AnneeSynth,5,1))</f>
        <v>291.04000000000002</v>
      </c>
      <c r="AB7" s="9">
        <f>SUMIFS(Dépenses!$L$9:$L$508,Dépenses!$X$9:$X$508,"Entretien et réparations",Dépenses!$C$9:$C$508,"&gt;="&amp;DATE(AnneeSynth,4,1),Dépenses!$C$9:$C$508,"&lt;"&amp;DATE(AnneeSynth,5,1))</f>
        <v>0</v>
      </c>
      <c r="AC7" s="9">
        <f>SUMIFS(Dépenses!$L$9:$L$508,Dépenses!$X$9:$X$508,"Frais fixes et divers",Dépenses!$C$9:$C$508,"&gt;="&amp;DATE(AnneeSynth,4,1),Dépenses!$C$9:$C$508,"&lt;"&amp;DATE(AnneeSynth,5,1))</f>
        <v>150.59999999999997</v>
      </c>
      <c r="AD7" s="9">
        <f>SUMIFS(Dépenses!$L$9:$L$508,Dépenses!$C$9:$C$508,"&gt;="&amp;DATE(AnneeSynth,4,1),Dépenses!$C$9:$C$508,"&lt;"&amp;DATE(AnneeSynth,5,1))</f>
        <v>441.63999999999993</v>
      </c>
      <c r="AE7" s="9">
        <f>SUMIFS(Déplacements!$M$9:$M$808,Déplacements!$C$9:$C$808,"&gt;="&amp;DATE(AnneeSynth,4,1),Déplacements!$C$9:$C$808,"&lt;"&amp;DATE(AnneeSynth,5,1))</f>
        <v>2014</v>
      </c>
      <c r="AF7" s="9">
        <f t="shared" si="0"/>
        <v>0.21928500496524325</v>
      </c>
    </row>
    <row r="8" spans="1:32" ht="15.95" customHeight="1" x14ac:dyDescent="0.25">
      <c r="A8" s="1"/>
      <c r="B8" s="1"/>
      <c r="C8" s="153" t="str">
        <f>Energie&amp;"  ·  "&amp;PuissanceCV&amp;" CV"</f>
        <v>Gazole  ·  6 CV</v>
      </c>
      <c r="D8" s="118"/>
      <c r="E8" s="1"/>
      <c r="F8" s="2"/>
      <c r="G8" s="121" t="str">
        <f>"sur "&amp;$V$9&amp;" déplacements"</f>
        <v>sur 375 déplacements</v>
      </c>
      <c r="H8" s="122"/>
      <c r="I8" s="123"/>
      <c r="J8" s="121" t="str">
        <f>"soit "&amp;FIXED($V$10,0)&amp;" km professionnels"</f>
        <v>soit 20.336 km professionnels</v>
      </c>
      <c r="K8" s="122"/>
      <c r="L8" s="123"/>
      <c r="M8" s="121" t="str">
        <f>"soit "&amp;FIXED($V$14,0)&amp;" € HT"</f>
        <v>soit 5.556 € HT</v>
      </c>
      <c r="N8" s="122"/>
      <c r="O8" s="123"/>
      <c r="P8" s="121" t="str">
        <f>"coût complet, toutes dépenses TTC"</f>
        <v>coût complet, toutes dépenses TTC</v>
      </c>
      <c r="Q8" s="122"/>
      <c r="R8" s="123"/>
      <c r="S8" s="2"/>
      <c r="U8" s="8" t="s">
        <v>29</v>
      </c>
      <c r="V8" s="9">
        <f>SUMIFS(Déplacements!$M$9:$M$808,Déplacements!$C$9:$C$808,"&gt;="&amp;PerDebut,Déplacements!$C$9:$C$808,"&lt;="&amp;PerFin)</f>
        <v>21596</v>
      </c>
      <c r="W8" s="9" t="s">
        <v>30</v>
      </c>
      <c r="X8" s="9">
        <f>SUMIFS(Déplacements!$M$9:$M$808,Déplacements!$J$9:$J$808,"Professionnel",Déplacements!$C$9:$C$808,"&gt;="&amp;DATE(AnneeSynth,5,1),Déplacements!$C$9:$C$808,"&lt;"&amp;DATE(AnneeSynth,6,1))</f>
        <v>1697</v>
      </c>
      <c r="Y8" s="9">
        <f>SUMIFS(Déplacements!$M$9:$M$808,Déplacements!$J$9:$J$808,"Domicile – travail",Déplacements!$C$9:$C$808,"&gt;="&amp;DATE(AnneeSynth,5,1),Déplacements!$C$9:$C$808,"&lt;"&amp;DATE(AnneeSynth,6,1))</f>
        <v>96</v>
      </c>
      <c r="Z8" s="9">
        <f>SUMIFS(Déplacements!$M$9:$M$808,Déplacements!$J$9:$J$808,"Personnel",Déplacements!$C$9:$C$808,"&gt;="&amp;DATE(AnneeSynth,5,1),Déplacements!$C$9:$C$808,"&lt;"&amp;DATE(AnneeSynth,6,1))</f>
        <v>0</v>
      </c>
      <c r="AA8" s="9">
        <f>SUMIFS(Dépenses!$L$9:$L$508,Dépenses!$X$9:$X$508,"Énergie",Dépenses!$C$9:$C$508,"&gt;="&amp;DATE(AnneeSynth,5,1),Dépenses!$C$9:$C$508,"&lt;"&amp;DATE(AnneeSynth,6,1))</f>
        <v>185.72000000000003</v>
      </c>
      <c r="AB8" s="9">
        <f>SUMIFS(Dépenses!$L$9:$L$508,Dépenses!$X$9:$X$508,"Entretien et réparations",Dépenses!$C$9:$C$508,"&gt;="&amp;DATE(AnneeSynth,5,1),Dépenses!$C$9:$C$508,"&lt;"&amp;DATE(AnneeSynth,6,1))</f>
        <v>312.60000000000002</v>
      </c>
      <c r="AC8" s="9">
        <f>SUMIFS(Dépenses!$L$9:$L$508,Dépenses!$X$9:$X$508,"Frais fixes et divers",Dépenses!$C$9:$C$508,"&gt;="&amp;DATE(AnneeSynth,5,1),Dépenses!$C$9:$C$508,"&lt;"&amp;DATE(AnneeSynth,6,1))</f>
        <v>110.3</v>
      </c>
      <c r="AD8" s="9">
        <f>SUMIFS(Dépenses!$L$9:$L$508,Dépenses!$C$9:$C$508,"&gt;="&amp;DATE(AnneeSynth,5,1),Dépenses!$C$9:$C$508,"&lt;"&amp;DATE(AnneeSynth,6,1))</f>
        <v>608.62</v>
      </c>
      <c r="AE8" s="9">
        <f>SUMIFS(Déplacements!$M$9:$M$808,Déplacements!$C$9:$C$808,"&gt;="&amp;DATE(AnneeSynth,5,1),Déplacements!$C$9:$C$808,"&lt;"&amp;DATE(AnneeSynth,6,1))</f>
        <v>1793</v>
      </c>
      <c r="AF8" s="9">
        <f t="shared" si="0"/>
        <v>0.33944227551589518</v>
      </c>
    </row>
    <row r="9" spans="1:32" ht="9.9499999999999993" customHeight="1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U9" s="8" t="s">
        <v>31</v>
      </c>
      <c r="V9" s="9">
        <f>COUNTIFS(Déplacements!$C$9:$C$808,"&gt;="&amp;PerDebut,Déplacements!$C$9:$C$808,"&lt;="&amp;PerFin)</f>
        <v>375</v>
      </c>
      <c r="W9" s="9" t="s">
        <v>32</v>
      </c>
      <c r="X9" s="9">
        <f>SUMIFS(Déplacements!$M$9:$M$808,Déplacements!$J$9:$J$808,"Professionnel",Déplacements!$C$9:$C$808,"&gt;="&amp;DATE(AnneeSynth,6,1),Déplacements!$C$9:$C$808,"&lt;"&amp;DATE(AnneeSynth,7,1))</f>
        <v>2163</v>
      </c>
      <c r="Y9" s="9">
        <f>SUMIFS(Déplacements!$M$9:$M$808,Déplacements!$J$9:$J$808,"Domicile – travail",Déplacements!$C$9:$C$808,"&gt;="&amp;DATE(AnneeSynth,6,1),Déplacements!$C$9:$C$808,"&lt;"&amp;DATE(AnneeSynth,7,1))</f>
        <v>96</v>
      </c>
      <c r="Z9" s="9">
        <f>SUMIFS(Déplacements!$M$9:$M$808,Déplacements!$J$9:$J$808,"Personnel",Déplacements!$C$9:$C$808,"&gt;="&amp;DATE(AnneeSynth,6,1),Déplacements!$C$9:$C$808,"&lt;"&amp;DATE(AnneeSynth,7,1))</f>
        <v>36</v>
      </c>
      <c r="AA9" s="9">
        <f>SUMIFS(Dépenses!$L$9:$L$508,Dépenses!$X$9:$X$508,"Énergie",Dépenses!$C$9:$C$508,"&gt;="&amp;DATE(AnneeSynth,6,1),Dépenses!$C$9:$C$508,"&lt;"&amp;DATE(AnneeSynth,7,1))</f>
        <v>328.84000000000003</v>
      </c>
      <c r="AB9" s="9">
        <f>SUMIFS(Dépenses!$L$9:$L$508,Dépenses!$X$9:$X$508,"Entretien et réparations",Dépenses!$C$9:$C$508,"&gt;="&amp;DATE(AnneeSynth,6,1),Dépenses!$C$9:$C$508,"&lt;"&amp;DATE(AnneeSynth,7,1))</f>
        <v>186</v>
      </c>
      <c r="AC9" s="9">
        <f>SUMIFS(Dépenses!$L$9:$L$508,Dépenses!$X$9:$X$508,"Frais fixes et divers",Dépenses!$C$9:$C$508,"&gt;="&amp;DATE(AnneeSynth,6,1),Dépenses!$C$9:$C$508,"&lt;"&amp;DATE(AnneeSynth,7,1))</f>
        <v>150.1</v>
      </c>
      <c r="AD9" s="9">
        <f>SUMIFS(Dépenses!$L$9:$L$508,Dépenses!$C$9:$C$508,"&gt;="&amp;DATE(AnneeSynth,6,1),Dépenses!$C$9:$C$508,"&lt;"&amp;DATE(AnneeSynth,7,1))</f>
        <v>664.94</v>
      </c>
      <c r="AE9" s="9">
        <f>SUMIFS(Déplacements!$M$9:$M$808,Déplacements!$C$9:$C$808,"&gt;="&amp;DATE(AnneeSynth,6,1),Déplacements!$C$9:$C$808,"&lt;"&amp;DATE(AnneeSynth,7,1))</f>
        <v>2295</v>
      </c>
      <c r="AF9" s="9">
        <f t="shared" si="0"/>
        <v>0.28973420479302836</v>
      </c>
    </row>
    <row r="10" spans="1:32" ht="18" customHeight="1" x14ac:dyDescent="0.25">
      <c r="A10" s="1"/>
      <c r="B10" s="1"/>
      <c r="C10" s="145" t="s">
        <v>33</v>
      </c>
      <c r="D10" s="118"/>
      <c r="E10" s="1"/>
      <c r="F10" s="2"/>
      <c r="G10" s="148" t="s">
        <v>34</v>
      </c>
      <c r="H10" s="149"/>
      <c r="I10" s="150"/>
      <c r="J10" s="148" t="s">
        <v>35</v>
      </c>
      <c r="K10" s="149"/>
      <c r="L10" s="150"/>
      <c r="M10" s="148" t="str">
        <f>IF(Statut="Véhicule personnel","INDEMNITÉS KILOMÉTRIQUES","KILOMÈTRES PRIVÉS")</f>
        <v>KILOMÈTRES PRIVÉS</v>
      </c>
      <c r="N10" s="149"/>
      <c r="O10" s="150"/>
      <c r="P10" s="148" t="s">
        <v>36</v>
      </c>
      <c r="Q10" s="149"/>
      <c r="R10" s="150"/>
      <c r="S10" s="2"/>
      <c r="U10" s="8" t="s">
        <v>37</v>
      </c>
      <c r="V10" s="9">
        <f>SUMIFS(Déplacements!$M$9:$M$808,Déplacements!$J$9:$J$808,"Professionnel",Déplacements!$C$9:$C$808,"&gt;="&amp;PerDebut,Déplacements!$C$9:$C$808,"&lt;="&amp;PerFin)</f>
        <v>20336</v>
      </c>
      <c r="W10" s="9" t="s">
        <v>38</v>
      </c>
      <c r="X10" s="9">
        <f>SUMIFS(Déplacements!$M$9:$M$808,Déplacements!$J$9:$J$808,"Professionnel",Déplacements!$C$9:$C$808,"&gt;="&amp;DATE(AnneeSynth,7,1),Déplacements!$C$9:$C$808,"&lt;"&amp;DATE(AnneeSynth,8,1))</f>
        <v>1626</v>
      </c>
      <c r="Y10" s="9">
        <f>SUMIFS(Déplacements!$M$9:$M$808,Déplacements!$J$9:$J$808,"Domicile – travail",Déplacements!$C$9:$C$808,"&gt;="&amp;DATE(AnneeSynth,7,1),Déplacements!$C$9:$C$808,"&lt;"&amp;DATE(AnneeSynth,8,1))</f>
        <v>96</v>
      </c>
      <c r="Z10" s="9">
        <f>SUMIFS(Déplacements!$M$9:$M$808,Déplacements!$J$9:$J$808,"Personnel",Déplacements!$C$9:$C$808,"&gt;="&amp;DATE(AnneeSynth,7,1),Déplacements!$C$9:$C$808,"&lt;"&amp;DATE(AnneeSynth,8,1))</f>
        <v>0</v>
      </c>
      <c r="AA10" s="9">
        <f>SUMIFS(Dépenses!$L$9:$L$508,Dépenses!$X$9:$X$508,"Énergie",Dépenses!$C$9:$C$508,"&gt;="&amp;DATE(AnneeSynth,7,1),Dépenses!$C$9:$C$508,"&lt;"&amp;DATE(AnneeSynth,8,1))</f>
        <v>206.63</v>
      </c>
      <c r="AB10" s="9">
        <f>SUMIFS(Dépenses!$L$9:$L$508,Dépenses!$X$9:$X$508,"Entretien et réparations",Dépenses!$C$9:$C$508,"&gt;="&amp;DATE(AnneeSynth,7,1),Dépenses!$C$9:$C$508,"&lt;"&amp;DATE(AnneeSynth,8,1))</f>
        <v>0</v>
      </c>
      <c r="AC10" s="9">
        <f>SUMIFS(Dépenses!$L$9:$L$508,Dépenses!$X$9:$X$508,"Frais fixes et divers",Dépenses!$C$9:$C$508,"&gt;="&amp;DATE(AnneeSynth,7,1),Dépenses!$C$9:$C$508,"&lt;"&amp;DATE(AnneeSynth,8,1))</f>
        <v>121.4</v>
      </c>
      <c r="AD10" s="9">
        <f>SUMIFS(Dépenses!$L$9:$L$508,Dépenses!$C$9:$C$508,"&gt;="&amp;DATE(AnneeSynth,7,1),Dépenses!$C$9:$C$508,"&lt;"&amp;DATE(AnneeSynth,8,1))</f>
        <v>328.03000000000003</v>
      </c>
      <c r="AE10" s="9">
        <f>SUMIFS(Déplacements!$M$9:$M$808,Déplacements!$C$9:$C$808,"&gt;="&amp;DATE(AnneeSynth,7,1),Déplacements!$C$9:$C$808,"&lt;"&amp;DATE(AnneeSynth,8,1))</f>
        <v>1722</v>
      </c>
      <c r="AF10" s="9">
        <f t="shared" si="0"/>
        <v>0.19049361207897794</v>
      </c>
    </row>
    <row r="11" spans="1:32" ht="27.95" customHeight="1" x14ac:dyDescent="0.25">
      <c r="A11" s="1"/>
      <c r="B11" s="1"/>
      <c r="C11" s="166" t="str">
        <f>Statut</f>
        <v>Véhicule de service</v>
      </c>
      <c r="D11" s="118"/>
      <c r="E11" s="1"/>
      <c r="F11" s="2"/>
      <c r="G11" s="167">
        <f>IFERROR($V$19/$V$18*100,0)</f>
        <v>6.9664006921745791</v>
      </c>
      <c r="H11" s="118"/>
      <c r="I11" s="125"/>
      <c r="J11" s="124">
        <f>IFERROR($V$15/$V$8*100,0)</f>
        <v>11.988284867568069</v>
      </c>
      <c r="K11" s="118"/>
      <c r="L11" s="125"/>
      <c r="M11" s="147" t="str">
        <f>IF(Statut="Véhicule personnel",FIXED($V$27,0)&amp;" €",FIXED($V$28,0)&amp;" km")</f>
        <v>36 km</v>
      </c>
      <c r="N11" s="118"/>
      <c r="O11" s="125"/>
      <c r="P11" s="163">
        <f>$V$21</f>
        <v>945.29999999999961</v>
      </c>
      <c r="Q11" s="118"/>
      <c r="R11" s="125"/>
      <c r="S11" s="2"/>
      <c r="U11" s="8" t="s">
        <v>39</v>
      </c>
      <c r="V11" s="9">
        <f>SUMIFS(Déplacements!$M$9:$M$808,Déplacements!$J$9:$J$808,"Domicile – travail",Déplacements!$C$9:$C$808,"&gt;="&amp;PerDebut,Déplacements!$C$9:$C$808,"&lt;="&amp;PerFin)</f>
        <v>1224</v>
      </c>
      <c r="W11" s="9" t="s">
        <v>40</v>
      </c>
      <c r="X11" s="9">
        <f>SUMIFS(Déplacements!$M$9:$M$808,Déplacements!$J$9:$J$808,"Professionnel",Déplacements!$C$9:$C$808,"&gt;="&amp;DATE(AnneeSynth,8,1),Déplacements!$C$9:$C$808,"&lt;"&amp;DATE(AnneeSynth,9,1))</f>
        <v>872</v>
      </c>
      <c r="Y11" s="9">
        <f>SUMIFS(Déplacements!$M$9:$M$808,Déplacements!$J$9:$J$808,"Domicile – travail",Déplacements!$C$9:$C$808,"&gt;="&amp;DATE(AnneeSynth,8,1),Déplacements!$C$9:$C$808,"&lt;"&amp;DATE(AnneeSynth,9,1))</f>
        <v>144</v>
      </c>
      <c r="Z11" s="9">
        <f>SUMIFS(Déplacements!$M$9:$M$808,Déplacements!$J$9:$J$808,"Personnel",Déplacements!$C$9:$C$808,"&gt;="&amp;DATE(AnneeSynth,8,1),Déplacements!$C$9:$C$808,"&lt;"&amp;DATE(AnneeSynth,9,1))</f>
        <v>0</v>
      </c>
      <c r="AA11" s="9">
        <f>SUMIFS(Dépenses!$L$9:$L$508,Dépenses!$X$9:$X$508,"Énergie",Dépenses!$C$9:$C$508,"&gt;="&amp;DATE(AnneeSynth,8,1),Dépenses!$C$9:$C$508,"&lt;"&amp;DATE(AnneeSynth,9,1))</f>
        <v>65.09</v>
      </c>
      <c r="AB11" s="9">
        <f>SUMIFS(Dépenses!$L$9:$L$508,Dépenses!$X$9:$X$508,"Entretien et réparations",Dépenses!$C$9:$C$508,"&gt;="&amp;DATE(AnneeSynth,8,1),Dépenses!$C$9:$C$508,"&lt;"&amp;DATE(AnneeSynth,9,1))</f>
        <v>0</v>
      </c>
      <c r="AC11" s="9">
        <f>SUMIFS(Dépenses!$L$9:$L$508,Dépenses!$X$9:$X$508,"Frais fixes et divers",Dépenses!$C$9:$C$508,"&gt;="&amp;DATE(AnneeSynth,8,1),Dépenses!$C$9:$C$508,"&lt;"&amp;DATE(AnneeSynth,9,1))</f>
        <v>77.2</v>
      </c>
      <c r="AD11" s="9">
        <f>SUMIFS(Dépenses!$L$9:$L$508,Dépenses!$C$9:$C$508,"&gt;="&amp;DATE(AnneeSynth,8,1),Dépenses!$C$9:$C$508,"&lt;"&amp;DATE(AnneeSynth,9,1))</f>
        <v>142.29000000000002</v>
      </c>
      <c r="AE11" s="9">
        <f>SUMIFS(Déplacements!$M$9:$M$808,Déplacements!$C$9:$C$808,"&gt;="&amp;DATE(AnneeSynth,8,1),Déplacements!$C$9:$C$808,"&lt;"&amp;DATE(AnneeSynth,9,1))</f>
        <v>1016</v>
      </c>
      <c r="AF11" s="9">
        <f t="shared" si="0"/>
        <v>0.1400492125984252</v>
      </c>
    </row>
    <row r="12" spans="1:32" ht="15.95" customHeight="1" x14ac:dyDescent="0.25">
      <c r="A12" s="1"/>
      <c r="B12" s="1"/>
      <c r="C12" s="145" t="s">
        <v>41</v>
      </c>
      <c r="D12" s="118"/>
      <c r="E12" s="1"/>
      <c r="F12" s="2"/>
      <c r="G12" s="121" t="str">
        <f>UniteQte&amp;"/100 km · "&amp;$V$20&amp;" pleins complets"</f>
        <v>L/100 km · 40 pleins complets</v>
      </c>
      <c r="H12" s="122"/>
      <c r="I12" s="123"/>
      <c r="J12" s="121" t="str">
        <f>"prix moyen : "&amp;FIXED(IFERROR($V$15/$V$16,0),3)&amp;" €/"&amp;UniteQte</f>
        <v>prix moyen : 1,747 €/L</v>
      </c>
      <c r="K12" s="122"/>
      <c r="L12" s="123"/>
      <c r="M12" s="121" t="str">
        <f>IF(Statut="Véhicule personnel","année "&amp;AnneeSynth&amp;" · barème "&amp;PuissanceCV&amp;" CV",IF(UsagePrive="Non","usage privé non autorisé","sur la période"))</f>
        <v>usage privé non autorisé</v>
      </c>
      <c r="N12" s="122"/>
      <c r="O12" s="123"/>
      <c r="P12" s="121" t="str">
        <f>"sur "&amp;$V$22&amp;" dépenses avancées"</f>
        <v>sur 66 dépenses avancées</v>
      </c>
      <c r="Q12" s="122"/>
      <c r="R12" s="123"/>
      <c r="S12" s="2"/>
      <c r="U12" s="8" t="s">
        <v>42</v>
      </c>
      <c r="V12" s="9">
        <f>SUMIFS(Déplacements!$M$9:$M$808,Déplacements!$J$9:$J$808,"Personnel",Déplacements!$C$9:$C$808,"&gt;="&amp;PerDebut,Déplacements!$C$9:$C$808,"&lt;="&amp;PerFin)</f>
        <v>36</v>
      </c>
      <c r="W12" s="9" t="s">
        <v>43</v>
      </c>
      <c r="X12" s="9">
        <f>SUMIFS(Déplacements!$M$9:$M$808,Déplacements!$J$9:$J$808,"Professionnel",Déplacements!$C$9:$C$808,"&gt;="&amp;DATE(AnneeSynth,9,1),Déplacements!$C$9:$C$808,"&lt;"&amp;DATE(AnneeSynth,10,1))</f>
        <v>2159</v>
      </c>
      <c r="Y12" s="9">
        <f>SUMIFS(Déplacements!$M$9:$M$808,Déplacements!$J$9:$J$808,"Domicile – travail",Déplacements!$C$9:$C$808,"&gt;="&amp;DATE(AnneeSynth,9,1),Déplacements!$C$9:$C$808,"&lt;"&amp;DATE(AnneeSynth,10,1))</f>
        <v>144</v>
      </c>
      <c r="Z12" s="9">
        <f>SUMIFS(Déplacements!$M$9:$M$808,Déplacements!$J$9:$J$808,"Personnel",Déplacements!$C$9:$C$808,"&gt;="&amp;DATE(AnneeSynth,9,1),Déplacements!$C$9:$C$808,"&lt;"&amp;DATE(AnneeSynth,10,1))</f>
        <v>0</v>
      </c>
      <c r="AA12" s="9">
        <f>SUMIFS(Dépenses!$L$9:$L$508,Dépenses!$X$9:$X$508,"Énergie",Dépenses!$C$9:$C$508,"&gt;="&amp;DATE(AnneeSynth,9,1),Dépenses!$C$9:$C$508,"&lt;"&amp;DATE(AnneeSynth,10,1))</f>
        <v>308.05</v>
      </c>
      <c r="AB12" s="9">
        <f>SUMIFS(Dépenses!$L$9:$L$508,Dépenses!$X$9:$X$508,"Entretien et réparations",Dépenses!$C$9:$C$508,"&gt;="&amp;DATE(AnneeSynth,9,1),Dépenses!$C$9:$C$508,"&lt;"&amp;DATE(AnneeSynth,10,1))</f>
        <v>248.9</v>
      </c>
      <c r="AC12" s="9">
        <f>SUMIFS(Dépenses!$L$9:$L$508,Dépenses!$X$9:$X$508,"Frais fixes et divers",Dépenses!$C$9:$C$508,"&gt;="&amp;DATE(AnneeSynth,9,1),Dépenses!$C$9:$C$508,"&lt;"&amp;DATE(AnneeSynth,10,1))</f>
        <v>107.2</v>
      </c>
      <c r="AD12" s="9">
        <f>SUMIFS(Dépenses!$L$9:$L$508,Dépenses!$C$9:$C$508,"&gt;="&amp;DATE(AnneeSynth,9,1),Dépenses!$C$9:$C$508,"&lt;"&amp;DATE(AnneeSynth,10,1))</f>
        <v>664.15</v>
      </c>
      <c r="AE12" s="9">
        <f>SUMIFS(Déplacements!$M$9:$M$808,Déplacements!$C$9:$C$808,"&gt;="&amp;DATE(AnneeSynth,9,1),Déplacements!$C$9:$C$808,"&lt;"&amp;DATE(AnneeSynth,10,1))</f>
        <v>2303</v>
      </c>
      <c r="AF12" s="9">
        <f t="shared" si="0"/>
        <v>0.28838471558836298</v>
      </c>
    </row>
    <row r="13" spans="1:32" ht="15.95" customHeight="1" x14ac:dyDescent="0.25">
      <c r="A13" s="1"/>
      <c r="B13" s="1"/>
      <c r="C13" s="117" t="str">
        <f>TitulaireVehicule</f>
        <v>Altéis Maintenance SAS</v>
      </c>
      <c r="D13" s="118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U13" s="8" t="s">
        <v>44</v>
      </c>
      <c r="V13" s="9">
        <f>SUMIFS(Dépenses!$L$9:$L$508,Dépenses!$C$9:$C$508,"&gt;="&amp;PerDebut,Dépenses!$C$9:$C$508,"&lt;="&amp;PerFin)</f>
        <v>6437.89</v>
      </c>
      <c r="W13" s="9" t="s">
        <v>45</v>
      </c>
      <c r="X13" s="9">
        <f>SUMIFS(Déplacements!$M$9:$M$808,Déplacements!$J$9:$J$808,"Professionnel",Déplacements!$C$9:$C$808,"&gt;="&amp;DATE(AnneeSynth,10,1),Déplacements!$C$9:$C$808,"&lt;"&amp;DATE(AnneeSynth,11,1))</f>
        <v>2194</v>
      </c>
      <c r="Y13" s="9">
        <f>SUMIFS(Déplacements!$M$9:$M$808,Déplacements!$J$9:$J$808,"Domicile – travail",Déplacements!$C$9:$C$808,"&gt;="&amp;DATE(AnneeSynth,10,1),Déplacements!$C$9:$C$808,"&lt;"&amp;DATE(AnneeSynth,11,1))</f>
        <v>96</v>
      </c>
      <c r="Z13" s="9">
        <f>SUMIFS(Déplacements!$M$9:$M$808,Déplacements!$J$9:$J$808,"Personnel",Déplacements!$C$9:$C$808,"&gt;="&amp;DATE(AnneeSynth,10,1),Déplacements!$C$9:$C$808,"&lt;"&amp;DATE(AnneeSynth,11,1))</f>
        <v>0</v>
      </c>
      <c r="AA13" s="9">
        <f>SUMIFS(Dépenses!$L$9:$L$508,Dépenses!$X$9:$X$508,"Énergie",Dépenses!$C$9:$C$508,"&gt;="&amp;DATE(AnneeSynth,10,1),Dépenses!$C$9:$C$508,"&lt;"&amp;DATE(AnneeSynth,11,1))</f>
        <v>299.83999999999997</v>
      </c>
      <c r="AB13" s="9">
        <f>SUMIFS(Dépenses!$L$9:$L$508,Dépenses!$X$9:$X$508,"Entretien et réparations",Dépenses!$C$9:$C$508,"&gt;="&amp;DATE(AnneeSynth,10,1),Dépenses!$C$9:$C$508,"&lt;"&amp;DATE(AnneeSynth,11,1))</f>
        <v>0</v>
      </c>
      <c r="AC13" s="9">
        <f>SUMIFS(Dépenses!$L$9:$L$508,Dépenses!$X$9:$X$508,"Frais fixes et divers",Dépenses!$C$9:$C$508,"&gt;="&amp;DATE(AnneeSynth,10,1),Dépenses!$C$9:$C$508,"&lt;"&amp;DATE(AnneeSynth,11,1))</f>
        <v>136.19999999999999</v>
      </c>
      <c r="AD13" s="9">
        <f>SUMIFS(Dépenses!$L$9:$L$508,Dépenses!$C$9:$C$508,"&gt;="&amp;DATE(AnneeSynth,10,1),Dépenses!$C$9:$C$508,"&lt;"&amp;DATE(AnneeSynth,11,1))</f>
        <v>436.03999999999996</v>
      </c>
      <c r="AE13" s="9">
        <f>SUMIFS(Déplacements!$M$9:$M$808,Déplacements!$C$9:$C$808,"&gt;="&amp;DATE(AnneeSynth,10,1),Déplacements!$C$9:$C$808,"&lt;"&amp;DATE(AnneeSynth,11,1))</f>
        <v>2290</v>
      </c>
      <c r="AF13" s="9">
        <f t="shared" si="0"/>
        <v>0.19041048034934496</v>
      </c>
    </row>
    <row r="14" spans="1:32" ht="24" customHeight="1" x14ac:dyDescent="0.25">
      <c r="A14" s="1"/>
      <c r="B14" s="1"/>
      <c r="C14" s="145" t="s">
        <v>46</v>
      </c>
      <c r="D14" s="118"/>
      <c r="E14" s="1"/>
      <c r="F14" s="2"/>
      <c r="G14" s="130" t="s">
        <v>47</v>
      </c>
      <c r="H14" s="131"/>
      <c r="I14" s="131"/>
      <c r="J14" s="131"/>
      <c r="K14" s="131"/>
      <c r="L14" s="132"/>
      <c r="M14" s="130" t="s">
        <v>48</v>
      </c>
      <c r="N14" s="131"/>
      <c r="O14" s="131"/>
      <c r="P14" s="131"/>
      <c r="Q14" s="131"/>
      <c r="R14" s="132"/>
      <c r="S14" s="2"/>
      <c r="U14" s="8" t="s">
        <v>49</v>
      </c>
      <c r="V14" s="9">
        <f>SUMIFS(Dépenses!$N$9:$N$508,Dépenses!$C$9:$C$508,"&gt;="&amp;PerDebut,Dépenses!$C$9:$C$508,"&lt;="&amp;PerFin)</f>
        <v>5556.2416666666686</v>
      </c>
      <c r="W14" s="9" t="s">
        <v>50</v>
      </c>
      <c r="X14" s="9">
        <f>SUMIFS(Déplacements!$M$9:$M$808,Déplacements!$J$9:$J$808,"Professionnel",Déplacements!$C$9:$C$808,"&gt;="&amp;DATE(AnneeSynth,11,1),Déplacements!$C$9:$C$808,"&lt;"&amp;DATE(AnneeSynth,12,1))</f>
        <v>1071</v>
      </c>
      <c r="Y14" s="9">
        <f>SUMIFS(Déplacements!$M$9:$M$808,Déplacements!$J$9:$J$808,"Domicile – travail",Déplacements!$C$9:$C$808,"&gt;="&amp;DATE(AnneeSynth,11,1),Déplacements!$C$9:$C$808,"&lt;"&amp;DATE(AnneeSynth,12,1))</f>
        <v>96</v>
      </c>
      <c r="Z14" s="9">
        <f>SUMIFS(Déplacements!$M$9:$M$808,Déplacements!$J$9:$J$808,"Personnel",Déplacements!$C$9:$C$808,"&gt;="&amp;DATE(AnneeSynth,11,1),Déplacements!$C$9:$C$808,"&lt;"&amp;DATE(AnneeSynth,12,1))</f>
        <v>0</v>
      </c>
      <c r="AA14" s="9">
        <f>SUMIFS(Dépenses!$L$9:$L$508,Dépenses!$X$9:$X$508,"Énergie",Dépenses!$C$9:$C$508,"&gt;="&amp;DATE(AnneeSynth,11,1),Dépenses!$C$9:$C$508,"&lt;"&amp;DATE(AnneeSynth,12,1))</f>
        <v>124.32</v>
      </c>
      <c r="AB14" s="9">
        <f>SUMIFS(Dépenses!$L$9:$L$508,Dépenses!$X$9:$X$508,"Entretien et réparations",Dépenses!$C$9:$C$508,"&gt;="&amp;DATE(AnneeSynth,11,1),Dépenses!$C$9:$C$508,"&lt;"&amp;DATE(AnneeSynth,12,1))</f>
        <v>512</v>
      </c>
      <c r="AC14" s="9">
        <f>SUMIFS(Dépenses!$L$9:$L$508,Dépenses!$X$9:$X$508,"Frais fixes et divers",Dépenses!$C$9:$C$508,"&gt;="&amp;DATE(AnneeSynth,11,1),Dépenses!$C$9:$C$508,"&lt;"&amp;DATE(AnneeSynth,12,1))</f>
        <v>152.1</v>
      </c>
      <c r="AD14" s="9">
        <f>SUMIFS(Dépenses!$L$9:$L$508,Dépenses!$C$9:$C$508,"&gt;="&amp;DATE(AnneeSynth,11,1),Dépenses!$C$9:$C$508,"&lt;"&amp;DATE(AnneeSynth,12,1))</f>
        <v>788.41999999999985</v>
      </c>
      <c r="AE14" s="9">
        <f>SUMIFS(Déplacements!$M$9:$M$808,Déplacements!$C$9:$C$808,"&gt;="&amp;DATE(AnneeSynth,11,1),Déplacements!$C$9:$C$808,"&lt;"&amp;DATE(AnneeSynth,12,1))</f>
        <v>1167</v>
      </c>
      <c r="AF14" s="9">
        <f t="shared" si="0"/>
        <v>0.67559554413024836</v>
      </c>
    </row>
    <row r="15" spans="1:32" ht="18" customHeight="1" x14ac:dyDescent="0.25">
      <c r="A15" s="1"/>
      <c r="B15" s="1"/>
      <c r="C15" s="117" t="str">
        <f>Gestionnaire</f>
        <v>Élodie Faure</v>
      </c>
      <c r="D15" s="118"/>
      <c r="E15" s="1"/>
      <c r="F15" s="2"/>
      <c r="G15" s="12"/>
      <c r="H15" s="13"/>
      <c r="I15" s="13"/>
      <c r="J15" s="13"/>
      <c r="K15" s="13"/>
      <c r="L15" s="14"/>
      <c r="M15" s="12"/>
      <c r="N15" s="13"/>
      <c r="O15" s="13"/>
      <c r="P15" s="13"/>
      <c r="Q15" s="13"/>
      <c r="R15" s="14"/>
      <c r="S15" s="2"/>
      <c r="U15" s="8" t="s">
        <v>51</v>
      </c>
      <c r="V15" s="9">
        <f>SUMIFS(Dépenses!$L$9:$L$508,Dépenses!$X$9:$X$508,"Énergie",Dépenses!$C$9:$C$508,"&gt;="&amp;PerDebut,Dépenses!$C$9:$C$508,"&lt;="&amp;PerFin)</f>
        <v>2588.9900000000002</v>
      </c>
      <c r="W15" s="9" t="s">
        <v>52</v>
      </c>
      <c r="X15" s="9">
        <f>SUMIFS(Déplacements!$M$9:$M$808,Déplacements!$J$9:$J$808,"Professionnel",Déplacements!$C$9:$C$808,"&gt;="&amp;DATE(AnneeSynth,12,1),Déplacements!$C$9:$C$808,"&lt;"&amp;DATE(AnneeSynth,13,1))</f>
        <v>1133</v>
      </c>
      <c r="Y15" s="9">
        <f>SUMIFS(Déplacements!$M$9:$M$808,Déplacements!$J$9:$J$808,"Domicile – travail",Déplacements!$C$9:$C$808,"&gt;="&amp;DATE(AnneeSynth,12,1),Déplacements!$C$9:$C$808,"&lt;"&amp;DATE(AnneeSynth,13,1))</f>
        <v>72</v>
      </c>
      <c r="Z15" s="9">
        <f>SUMIFS(Déplacements!$M$9:$M$808,Déplacements!$J$9:$J$808,"Personnel",Déplacements!$C$9:$C$808,"&gt;="&amp;DATE(AnneeSynth,12,1),Déplacements!$C$9:$C$808,"&lt;"&amp;DATE(AnneeSynth,13,1))</f>
        <v>0</v>
      </c>
      <c r="AA15" s="9">
        <f>SUMIFS(Dépenses!$L$9:$L$508,Dépenses!$X$9:$X$508,"Énergie",Dépenses!$C$9:$C$508,"&gt;="&amp;DATE(AnneeSynth,12,1),Dépenses!$C$9:$C$508,"&lt;"&amp;DATE(AnneeSynth,13,1))</f>
        <v>120.03</v>
      </c>
      <c r="AB15" s="9">
        <f>SUMIFS(Dépenses!$L$9:$L$508,Dépenses!$X$9:$X$508,"Entretien et réparations",Dépenses!$C$9:$C$508,"&gt;="&amp;DATE(AnneeSynth,12,1),Dépenses!$C$9:$C$508,"&lt;"&amp;DATE(AnneeSynth,13,1))</f>
        <v>0</v>
      </c>
      <c r="AC15" s="9">
        <f>SUMIFS(Dépenses!$L$9:$L$508,Dépenses!$X$9:$X$508,"Frais fixes et divers",Dépenses!$C$9:$C$508,"&gt;="&amp;DATE(AnneeSynth,12,1),Dépenses!$C$9:$C$508,"&lt;"&amp;DATE(AnneeSynth,13,1))</f>
        <v>37.6</v>
      </c>
      <c r="AD15" s="9">
        <f>SUMIFS(Dépenses!$L$9:$L$508,Dépenses!$C$9:$C$508,"&gt;="&amp;DATE(AnneeSynth,12,1),Dépenses!$C$9:$C$508,"&lt;"&amp;DATE(AnneeSynth,13,1))</f>
        <v>157.63</v>
      </c>
      <c r="AE15" s="9">
        <f>SUMIFS(Déplacements!$M$9:$M$808,Déplacements!$C$9:$C$808,"&gt;="&amp;DATE(AnneeSynth,12,1),Déplacements!$C$9:$C$808,"&lt;"&amp;DATE(AnneeSynth,13,1))</f>
        <v>1205</v>
      </c>
      <c r="AF15" s="9">
        <f t="shared" si="0"/>
        <v>0.13081327800829876</v>
      </c>
    </row>
    <row r="16" spans="1:32" ht="18" customHeight="1" x14ac:dyDescent="0.25">
      <c r="A16" s="1"/>
      <c r="B16" s="1"/>
      <c r="C16" s="145" t="s">
        <v>53</v>
      </c>
      <c r="D16" s="118"/>
      <c r="E16" s="1"/>
      <c r="F16" s="2"/>
      <c r="G16" s="12"/>
      <c r="H16" s="13"/>
      <c r="I16" s="13"/>
      <c r="J16" s="13"/>
      <c r="K16" s="13"/>
      <c r="L16" s="14"/>
      <c r="M16" s="12"/>
      <c r="N16" s="13"/>
      <c r="O16" s="13"/>
      <c r="P16" s="13"/>
      <c r="Q16" s="13"/>
      <c r="R16" s="14"/>
      <c r="S16" s="2"/>
      <c r="U16" s="8" t="s">
        <v>54</v>
      </c>
      <c r="V16" s="9">
        <f>SUMIFS(Dépenses!$J$9:$J$508,Dépenses!$X$9:$X$508,"Énergie",Dépenses!$C$9:$C$508,"&gt;="&amp;PerDebut,Dépenses!$C$9:$C$508,"&lt;="&amp;PerFin)</f>
        <v>1481.7399999999996</v>
      </c>
    </row>
    <row r="17" spans="1:22" ht="18" customHeight="1" x14ac:dyDescent="0.25">
      <c r="A17" s="1"/>
      <c r="B17" s="1"/>
      <c r="C17" s="141">
        <f>DateMEC</f>
        <v>45006</v>
      </c>
      <c r="D17" s="118"/>
      <c r="E17" s="1"/>
      <c r="F17" s="2"/>
      <c r="G17" s="12"/>
      <c r="H17" s="13"/>
      <c r="I17" s="13"/>
      <c r="J17" s="13"/>
      <c r="K17" s="13"/>
      <c r="L17" s="14"/>
      <c r="M17" s="12"/>
      <c r="N17" s="13"/>
      <c r="O17" s="13"/>
      <c r="P17" s="13"/>
      <c r="Q17" s="13"/>
      <c r="R17" s="14"/>
      <c r="S17" s="2"/>
      <c r="U17" s="8" t="s">
        <v>55</v>
      </c>
      <c r="V17" s="9">
        <f>COUNTIFS(Dépenses!$X$9:$X$508,"Énergie",Dépenses!$C$9:$C$508,"&gt;="&amp;PerDebut,Dépenses!$C$9:$C$508,"&lt;="&amp;PerFin)</f>
        <v>43</v>
      </c>
    </row>
    <row r="18" spans="1:22" ht="18" customHeight="1" x14ac:dyDescent="0.25">
      <c r="A18" s="1"/>
      <c r="B18" s="1"/>
      <c r="C18" s="145" t="s">
        <v>56</v>
      </c>
      <c r="D18" s="118"/>
      <c r="E18" s="1"/>
      <c r="F18" s="2"/>
      <c r="G18" s="12"/>
      <c r="H18" s="13"/>
      <c r="I18" s="13"/>
      <c r="J18" s="13"/>
      <c r="K18" s="13"/>
      <c r="L18" s="14"/>
      <c r="M18" s="12"/>
      <c r="N18" s="13"/>
      <c r="O18" s="13"/>
      <c r="P18" s="13"/>
      <c r="Q18" s="13"/>
      <c r="R18" s="14"/>
      <c r="S18" s="2"/>
      <c r="U18" s="8" t="s">
        <v>57</v>
      </c>
      <c r="V18" s="9">
        <f>SUMIFS(Dépenses!$AC$9:$AC$508,Dépenses!$Q$9:$Q$508,"&gt;0",Dépenses!$C$9:$C$508,"&gt;="&amp;PerDebut,Dépenses!$C$9:$C$508,"&lt;="&amp;PerFin)</f>
        <v>20804</v>
      </c>
    </row>
    <row r="19" spans="1:22" ht="18" customHeight="1" x14ac:dyDescent="0.25">
      <c r="A19" s="1"/>
      <c r="B19" s="1"/>
      <c r="C19" s="144">
        <f>KmActuel</f>
        <v>60353</v>
      </c>
      <c r="D19" s="118"/>
      <c r="E19" s="1"/>
      <c r="F19" s="2"/>
      <c r="G19" s="12"/>
      <c r="H19" s="13"/>
      <c r="I19" s="13"/>
      <c r="J19" s="13"/>
      <c r="K19" s="13"/>
      <c r="L19" s="14"/>
      <c r="M19" s="12"/>
      <c r="N19" s="13"/>
      <c r="O19" s="13"/>
      <c r="P19" s="13"/>
      <c r="Q19" s="13"/>
      <c r="R19" s="14"/>
      <c r="S19" s="2"/>
      <c r="U19" s="8" t="s">
        <v>58</v>
      </c>
      <c r="V19" s="9">
        <f>SUMIFS(Dépenses!$AD$9:$AD$508,Dépenses!$Q$9:$Q$508,"&gt;0",Dépenses!$C$9:$C$508,"&gt;="&amp;PerDebut,Dépenses!$C$9:$C$508,"&lt;="&amp;PerFin)</f>
        <v>1449.2899999999995</v>
      </c>
    </row>
    <row r="20" spans="1:22" ht="18" customHeight="1" x14ac:dyDescent="0.25">
      <c r="A20" s="1"/>
      <c r="B20" s="1"/>
      <c r="C20" s="145" t="s">
        <v>59</v>
      </c>
      <c r="D20" s="118"/>
      <c r="E20" s="1"/>
      <c r="F20" s="2"/>
      <c r="G20" s="12"/>
      <c r="H20" s="13"/>
      <c r="I20" s="13"/>
      <c r="J20" s="13"/>
      <c r="K20" s="13"/>
      <c r="L20" s="14"/>
      <c r="M20" s="12"/>
      <c r="N20" s="13"/>
      <c r="O20" s="13"/>
      <c r="P20" s="13"/>
      <c r="Q20" s="13"/>
      <c r="R20" s="14"/>
      <c r="S20" s="2"/>
      <c r="U20" s="8" t="s">
        <v>60</v>
      </c>
      <c r="V20" s="9">
        <f>COUNTIFS(Dépenses!$Q$9:$Q$508,"&gt;0",Dépenses!$C$9:$C$508,"&gt;="&amp;PerDebut,Dépenses!$C$9:$C$508,"&lt;="&amp;PerFin)</f>
        <v>40</v>
      </c>
    </row>
    <row r="21" spans="1:22" ht="18" customHeight="1" x14ac:dyDescent="0.25">
      <c r="A21" s="1"/>
      <c r="B21" s="1"/>
      <c r="C21" s="141">
        <f ca="1">DateSituation</f>
        <v>46743</v>
      </c>
      <c r="D21" s="118"/>
      <c r="E21" s="1"/>
      <c r="F21" s="2"/>
      <c r="G21" s="12"/>
      <c r="H21" s="13"/>
      <c r="I21" s="13"/>
      <c r="J21" s="13"/>
      <c r="K21" s="13"/>
      <c r="L21" s="14"/>
      <c r="M21" s="12"/>
      <c r="N21" s="13"/>
      <c r="O21" s="13"/>
      <c r="P21" s="13"/>
      <c r="Q21" s="13"/>
      <c r="R21" s="14"/>
      <c r="S21" s="2"/>
      <c r="U21" s="8" t="s">
        <v>61</v>
      </c>
      <c r="V21" s="9">
        <f>SUMIFS(Dépenses!$L$9:$L$508,Dépenses!$S$9:$S$508,"Oui",Dépenses!$C$9:$C$508,"&gt;="&amp;PerDebut,Dépenses!$C$9:$C$508,"&lt;="&amp;PerFin)</f>
        <v>945.29999999999961</v>
      </c>
    </row>
    <row r="22" spans="1:22" ht="18" customHeight="1" x14ac:dyDescent="0.25">
      <c r="A22" s="1"/>
      <c r="B22" s="1"/>
      <c r="C22" s="145" t="s">
        <v>62</v>
      </c>
      <c r="D22" s="118"/>
      <c r="E22" s="1"/>
      <c r="F22" s="2"/>
      <c r="G22" s="12"/>
      <c r="H22" s="13"/>
      <c r="I22" s="13"/>
      <c r="J22" s="13"/>
      <c r="K22" s="13"/>
      <c r="L22" s="14"/>
      <c r="M22" s="12"/>
      <c r="N22" s="13"/>
      <c r="O22" s="13"/>
      <c r="P22" s="13"/>
      <c r="Q22" s="13"/>
      <c r="R22" s="14"/>
      <c r="S22" s="2"/>
      <c r="U22" s="8" t="s">
        <v>63</v>
      </c>
      <c r="V22" s="9">
        <f>COUNTIFS(Dépenses!$S$9:$S$508,"Oui",Dépenses!$C$9:$C$508,"&gt;="&amp;PerDebut,Dépenses!$C$9:$C$508,"&lt;="&amp;PerFin)</f>
        <v>66</v>
      </c>
    </row>
    <row r="23" spans="1:22" ht="18" customHeight="1" x14ac:dyDescent="0.25">
      <c r="A23" s="1"/>
      <c r="B23" s="1"/>
      <c r="C23" s="117" t="str">
        <f>$V$30</f>
        <v>Recharge de climatisation</v>
      </c>
      <c r="D23" s="118"/>
      <c r="E23" s="1"/>
      <c r="F23" s="2"/>
      <c r="G23" s="12"/>
      <c r="H23" s="13"/>
      <c r="I23" s="13"/>
      <c r="J23" s="13"/>
      <c r="K23" s="13"/>
      <c r="L23" s="14"/>
      <c r="M23" s="12"/>
      <c r="N23" s="13"/>
      <c r="O23" s="13"/>
      <c r="P23" s="13"/>
      <c r="Q23" s="13"/>
      <c r="R23" s="14"/>
      <c r="S23" s="2"/>
      <c r="U23" s="8" t="s">
        <v>64</v>
      </c>
      <c r="V23" s="9">
        <f>SUMIFS(Déplacements!$M$9:$M$808,Déplacements!$J$9:$J$808,"Professionnel",Déplacements!$C$9:$C$808,"&gt;="&amp;DATE(AnneeSynth,1,1),Déplacements!$C$9:$C$808,"&lt;="&amp;DATE(AnneeSynth,12,31))</f>
        <v>20336</v>
      </c>
    </row>
    <row r="24" spans="1:22" ht="18" customHeight="1" x14ac:dyDescent="0.25">
      <c r="A24" s="1"/>
      <c r="B24" s="1"/>
      <c r="C24" s="141">
        <f>$V$29</f>
        <v>46552</v>
      </c>
      <c r="D24" s="118"/>
      <c r="E24" s="1"/>
      <c r="F24" s="2"/>
      <c r="G24" s="12"/>
      <c r="H24" s="13"/>
      <c r="I24" s="13"/>
      <c r="J24" s="13"/>
      <c r="K24" s="13"/>
      <c r="L24" s="14"/>
      <c r="M24" s="12"/>
      <c r="N24" s="13"/>
      <c r="O24" s="13"/>
      <c r="P24" s="13"/>
      <c r="Q24" s="13"/>
      <c r="R24" s="14"/>
      <c r="S24" s="2"/>
      <c r="U24" s="8" t="s">
        <v>65</v>
      </c>
      <c r="V24" s="9">
        <f>SUMIFS(Déplacements!$M$9:$M$808,Déplacements!$J$9:$J$808,"Domicile – travail",Déplacements!$C$9:$C$808,"&gt;="&amp;DATE(AnneeSynth,1,1),Déplacements!$C$9:$C$808,"&lt;="&amp;DATE(AnneeSynth,12,31))</f>
        <v>1224</v>
      </c>
    </row>
    <row r="25" spans="1:22" ht="18" customHeight="1" x14ac:dyDescent="0.25">
      <c r="A25" s="1"/>
      <c r="B25" s="1"/>
      <c r="C25" s="1"/>
      <c r="D25" s="1"/>
      <c r="E25" s="1"/>
      <c r="F25" s="2"/>
      <c r="G25" s="12"/>
      <c r="H25" s="13"/>
      <c r="I25" s="13"/>
      <c r="J25" s="13"/>
      <c r="K25" s="13"/>
      <c r="L25" s="14"/>
      <c r="M25" s="12"/>
      <c r="N25" s="13"/>
      <c r="O25" s="13"/>
      <c r="P25" s="13"/>
      <c r="Q25" s="13"/>
      <c r="R25" s="14"/>
      <c r="S25" s="2"/>
      <c r="U25" s="8" t="s">
        <v>66</v>
      </c>
      <c r="V25" s="9">
        <f>V23+IF(InclureDT="Oui",V24,0)</f>
        <v>21560</v>
      </c>
    </row>
    <row r="26" spans="1:22" ht="18" customHeight="1" x14ac:dyDescent="0.25">
      <c r="A26" s="1"/>
      <c r="B26" s="1"/>
      <c r="C26" s="145" t="s">
        <v>67</v>
      </c>
      <c r="D26" s="118"/>
      <c r="E26" s="1"/>
      <c r="F26" s="2"/>
      <c r="G26" s="12"/>
      <c r="H26" s="13"/>
      <c r="I26" s="13"/>
      <c r="J26" s="13"/>
      <c r="K26" s="13"/>
      <c r="L26" s="14"/>
      <c r="M26" s="12"/>
      <c r="N26" s="13"/>
      <c r="O26" s="13"/>
      <c r="P26" s="13"/>
      <c r="Q26" s="13"/>
      <c r="R26" s="14"/>
      <c r="S26" s="2"/>
      <c r="U26" s="8" t="s">
        <v>68</v>
      </c>
      <c r="V26" s="9">
        <f>MATCH(MIN(MAX(N(PuissanceCV),3),7),BaremeCV,0)</f>
        <v>4</v>
      </c>
    </row>
    <row r="27" spans="1:22" ht="18" customHeight="1" x14ac:dyDescent="0.25">
      <c r="A27" s="1"/>
      <c r="B27" s="1"/>
      <c r="C27" s="117" t="str">
        <f>Paramètres!$I$13</f>
        <v>Mutuelle Horizon Assurances</v>
      </c>
      <c r="D27" s="118"/>
      <c r="E27" s="1"/>
      <c r="F27" s="2"/>
      <c r="G27" s="12"/>
      <c r="H27" s="13"/>
      <c r="I27" s="13"/>
      <c r="J27" s="13"/>
      <c r="K27" s="13"/>
      <c r="L27" s="14"/>
      <c r="M27" s="12"/>
      <c r="N27" s="13"/>
      <c r="O27" s="13"/>
      <c r="P27" s="13"/>
      <c r="Q27" s="13"/>
      <c r="R27" s="14"/>
      <c r="S27" s="2"/>
      <c r="U27" s="8" t="s">
        <v>69</v>
      </c>
      <c r="V27" s="9">
        <f>IF(V25&lt;=0,0,IF(V25&lt;=5000,V25*INDEX(BaremeT1,V26),IF(V25&lt;=20000,V25*INDEX(BaremeT2,V26)+INDEX(BaremeF2,V26),V25*INDEX(BaremeT3,V26)))*IF(Energie="Électrique",1+MajorationElec,1))</f>
        <v>9637.32</v>
      </c>
    </row>
    <row r="28" spans="1:22" ht="18" customHeight="1" x14ac:dyDescent="0.25">
      <c r="A28" s="1"/>
      <c r="B28" s="1"/>
      <c r="C28" s="145" t="s">
        <v>70</v>
      </c>
      <c r="D28" s="118"/>
      <c r="E28" s="1"/>
      <c r="F28" s="2"/>
      <c r="G28" s="12"/>
      <c r="H28" s="13"/>
      <c r="I28" s="13"/>
      <c r="J28" s="13"/>
      <c r="K28" s="13"/>
      <c r="L28" s="14"/>
      <c r="M28" s="12"/>
      <c r="N28" s="13"/>
      <c r="O28" s="13"/>
      <c r="P28" s="13"/>
      <c r="Q28" s="13"/>
      <c r="R28" s="14"/>
      <c r="S28" s="2"/>
      <c r="U28" s="8" t="s">
        <v>71</v>
      </c>
      <c r="V28" s="9">
        <f>V12+IF(Statut="Véhicule de fonction",V11,0)</f>
        <v>36</v>
      </c>
    </row>
    <row r="29" spans="1:22" ht="18" customHeight="1" x14ac:dyDescent="0.25">
      <c r="A29" s="1"/>
      <c r="B29" s="1"/>
      <c r="C29" s="117" t="str">
        <f>Paramètres!$I$14</f>
        <v>FL-2027-00318</v>
      </c>
      <c r="D29" s="118"/>
      <c r="E29" s="1"/>
      <c r="F29" s="2"/>
      <c r="G29" s="12"/>
      <c r="H29" s="13"/>
      <c r="I29" s="13"/>
      <c r="J29" s="13"/>
      <c r="K29" s="13"/>
      <c r="L29" s="14"/>
      <c r="M29" s="12"/>
      <c r="N29" s="13"/>
      <c r="O29" s="13"/>
      <c r="P29" s="13"/>
      <c r="Q29" s="13"/>
      <c r="R29" s="14"/>
      <c r="S29" s="2"/>
      <c r="U29" s="8" t="s">
        <v>72</v>
      </c>
      <c r="V29" s="11">
        <f>IF(COUNT(Entretien!$J$9:$J$22)=0,"",MIN(Entretien!$J$9:$J$22))</f>
        <v>46552</v>
      </c>
    </row>
    <row r="30" spans="1:22" ht="18" customHeight="1" x14ac:dyDescent="0.25">
      <c r="A30" s="1"/>
      <c r="B30" s="1"/>
      <c r="C30" s="15"/>
      <c r="D30" s="15"/>
      <c r="E30" s="1"/>
      <c r="F30" s="2"/>
      <c r="G30" s="16"/>
      <c r="H30" s="17"/>
      <c r="I30" s="17"/>
      <c r="J30" s="17"/>
      <c r="K30" s="17"/>
      <c r="L30" s="18"/>
      <c r="M30" s="16"/>
      <c r="N30" s="17"/>
      <c r="O30" s="17"/>
      <c r="P30" s="17"/>
      <c r="Q30" s="17"/>
      <c r="R30" s="18"/>
      <c r="S30" s="2"/>
      <c r="U30" s="8" t="s">
        <v>73</v>
      </c>
      <c r="V30" s="9" t="str">
        <f>IF(V29="","–",INDEX(Entretien!$B$9:$B$22,MATCH(V29,Entretien!$J$9:$J$22,0)))</f>
        <v>Recharge de climatisation</v>
      </c>
    </row>
    <row r="31" spans="1:22" ht="15.95" customHeight="1" x14ac:dyDescent="0.25">
      <c r="A31" s="1"/>
      <c r="B31" s="1"/>
      <c r="C31" s="1"/>
      <c r="D31" s="1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2" ht="24" customHeight="1" x14ac:dyDescent="0.25">
      <c r="A32" s="1"/>
      <c r="B32" s="1"/>
      <c r="C32" s="133" t="s">
        <v>74</v>
      </c>
      <c r="D32" s="118"/>
      <c r="E32" s="1"/>
      <c r="F32" s="2"/>
      <c r="G32" s="130" t="s">
        <v>75</v>
      </c>
      <c r="H32" s="131"/>
      <c r="I32" s="131"/>
      <c r="J32" s="131"/>
      <c r="K32" s="131"/>
      <c r="L32" s="132"/>
      <c r="M32" s="130" t="s">
        <v>76</v>
      </c>
      <c r="N32" s="131"/>
      <c r="O32" s="131"/>
      <c r="P32" s="131"/>
      <c r="Q32" s="131"/>
      <c r="R32" s="132"/>
      <c r="S32" s="2"/>
    </row>
    <row r="33" spans="1:19" ht="20.100000000000001" customHeight="1" x14ac:dyDescent="0.25">
      <c r="A33" s="1"/>
      <c r="B33" s="1"/>
      <c r="C33" s="1"/>
      <c r="D33" s="1"/>
      <c r="E33" s="1"/>
      <c r="F33" s="2"/>
      <c r="G33" s="115" t="s">
        <v>77</v>
      </c>
      <c r="H33" s="116"/>
      <c r="I33" s="20" t="s">
        <v>78</v>
      </c>
      <c r="J33" s="20" t="s">
        <v>79</v>
      </c>
      <c r="K33" s="119" t="s">
        <v>80</v>
      </c>
      <c r="L33" s="120"/>
      <c r="M33" s="115" t="s">
        <v>81</v>
      </c>
      <c r="N33" s="116"/>
      <c r="O33" s="21" t="s">
        <v>82</v>
      </c>
      <c r="P33" s="20" t="s">
        <v>83</v>
      </c>
      <c r="Q33" s="20" t="s">
        <v>84</v>
      </c>
      <c r="R33" s="22" t="s">
        <v>85</v>
      </c>
      <c r="S33" s="2"/>
    </row>
    <row r="34" spans="1:19" ht="18.95" customHeight="1" x14ac:dyDescent="0.25">
      <c r="A34" s="1"/>
      <c r="B34" s="1"/>
      <c r="C34" s="23" t="s">
        <v>86</v>
      </c>
      <c r="D34" s="24">
        <f ca="1">COUNTIF(Entretien!$O$9:$O$22,"En retard")</f>
        <v>1</v>
      </c>
      <c r="E34" s="1"/>
      <c r="F34" s="2"/>
      <c r="G34" s="128" t="str">
        <f>IF(Paramètres!$H$37="","",Paramètres!$H$37)</f>
        <v>Carburant</v>
      </c>
      <c r="H34" s="129"/>
      <c r="I34" s="25">
        <f>IF(G34="","",SUMIFS(Dépenses!$L$9:$L$508,Dépenses!$F$9:$F$508,G34,Dépenses!$C$9:$C$508,"&gt;="&amp;PerDebut,Dépenses!$C$9:$C$508,"&lt;="&amp;PerFin))</f>
        <v>2588.9900000000002</v>
      </c>
      <c r="J34" s="26">
        <f t="shared" ref="J34:J45" si="1">IF(G34="","",IFERROR(I34/$I$46,0))</f>
        <v>0.40214884069159307</v>
      </c>
      <c r="K34" s="126">
        <f t="shared" ref="K34:K45" si="2">IF(G34="","",IFERROR(I34/MAX($I$34:$I$45),0))</f>
        <v>1</v>
      </c>
      <c r="L34" s="127"/>
      <c r="M34" s="128" t="str">
        <f>IF(Paramètres!$B$46="","",Paramètres!$B$46)</f>
        <v>Service technique</v>
      </c>
      <c r="N34" s="129"/>
      <c r="O34" s="27">
        <f>IF($M34="","",COUNTIFS(Déplacements!$F$9:$F$808,$M34,Déplacements!$C$9:$C$808,"&gt;="&amp;PerDebut,Déplacements!$C$9:$C$808,"&lt;="&amp;PerFin))</f>
        <v>301</v>
      </c>
      <c r="P34" s="28">
        <f>IF($M34="","",SUMIFS(Déplacements!$M$9:$M$808,Déplacements!$F$9:$F$808,$M34,Déplacements!$C$9:$C$808,"&gt;="&amp;PerDebut,Déplacements!$C$9:$C$808,"&lt;="&amp;PerFin))</f>
        <v>12006</v>
      </c>
      <c r="Q34" s="26">
        <f t="shared" ref="Q34:Q39" si="3">IF(OR($M34="",N($P$40)=0),"",P34/$P$40)</f>
        <v>0.55593628449712906</v>
      </c>
      <c r="R34" s="29">
        <f>IF($M34="","",SUMIFS(Dépenses!$L$9:$L$508,Dépenses!$T$9:$T$508,$M34,Dépenses!$C$9:$C$508,"&gt;="&amp;PerDebut,Dépenses!$C$9:$C$508,"&lt;="&amp;PerFin))</f>
        <v>3129.54</v>
      </c>
      <c r="S34" s="2"/>
    </row>
    <row r="35" spans="1:19" ht="18.95" customHeight="1" x14ac:dyDescent="0.25">
      <c r="A35" s="1"/>
      <c r="B35" s="1"/>
      <c r="C35" s="23" t="s">
        <v>87</v>
      </c>
      <c r="D35" s="24">
        <f ca="1">COUNTIF(Entretien!$O$9:$O$22,"À prévoir")</f>
        <v>1</v>
      </c>
      <c r="E35" s="1"/>
      <c r="F35" s="2"/>
      <c r="G35" s="128" t="str">
        <f>IF(Paramètres!$H$38="","",Paramètres!$H$38)</f>
        <v>Recharge électrique</v>
      </c>
      <c r="H35" s="129"/>
      <c r="I35" s="25">
        <f>IF(G35="","",SUMIFS(Dépenses!$L$9:$L$508,Dépenses!$F$9:$F$508,G35,Dépenses!$C$9:$C$508,"&gt;="&amp;PerDebut,Dépenses!$C$9:$C$508,"&lt;="&amp;PerFin))</f>
        <v>0</v>
      </c>
      <c r="J35" s="26">
        <f t="shared" si="1"/>
        <v>0</v>
      </c>
      <c r="K35" s="126">
        <f t="shared" si="2"/>
        <v>0</v>
      </c>
      <c r="L35" s="127"/>
      <c r="M35" s="128" t="str">
        <f>IF(Paramètres!$B$47="","",Paramètres!$B$47)</f>
        <v>Service commercial</v>
      </c>
      <c r="N35" s="129"/>
      <c r="O35" s="27">
        <f>IF($M35="","",COUNTIFS(Déplacements!$F$9:$F$808,$M35,Déplacements!$C$9:$C$808,"&gt;="&amp;PerDebut,Déplacements!$C$9:$C$808,"&lt;="&amp;PerFin))</f>
        <v>69</v>
      </c>
      <c r="P35" s="28">
        <f>IF($M35="","",SUMIFS(Déplacements!$M$9:$M$808,Déplacements!$F$9:$F$808,$M35,Déplacements!$C$9:$C$808,"&gt;="&amp;PerDebut,Déplacements!$C$9:$C$808,"&lt;="&amp;PerFin))</f>
        <v>9489</v>
      </c>
      <c r="Q35" s="26">
        <f t="shared" si="3"/>
        <v>0.43938692350435266</v>
      </c>
      <c r="R35" s="29">
        <f>IF($M35="","",SUMIFS(Dépenses!$L$9:$L$508,Dépenses!$T$9:$T$508,$M35,Dépenses!$C$9:$C$508,"&gt;="&amp;PerDebut,Dépenses!$C$9:$C$508,"&lt;="&amp;PerFin))</f>
        <v>1969.9300000000003</v>
      </c>
      <c r="S35" s="2"/>
    </row>
    <row r="36" spans="1:19" ht="18.95" customHeight="1" x14ac:dyDescent="0.25">
      <c r="A36" s="1"/>
      <c r="B36" s="1"/>
      <c r="C36" s="23" t="s">
        <v>88</v>
      </c>
      <c r="D36" s="24">
        <f>COUNTIF(Déplacements!$O$9:$O$808,"?*")-COUNTIF(Déplacements!$O$9:$O$808,"Conforme")</f>
        <v>2</v>
      </c>
      <c r="E36" s="1"/>
      <c r="F36" s="2"/>
      <c r="G36" s="128" t="str">
        <f>IF(Paramètres!$H$39="","",Paramètres!$H$39)</f>
        <v>Entretien</v>
      </c>
      <c r="H36" s="129"/>
      <c r="I36" s="25">
        <f>IF(G36="","",SUMIFS(Dépenses!$L$9:$L$508,Dépenses!$F$9:$F$508,G36,Dépenses!$C$9:$C$508,"&gt;="&amp;PerDebut,Dépenses!$C$9:$C$508,"&lt;="&amp;PerFin))</f>
        <v>312.60000000000002</v>
      </c>
      <c r="J36" s="26">
        <f t="shared" si="1"/>
        <v>4.8556281638859937E-2</v>
      </c>
      <c r="K36" s="126">
        <f t="shared" si="2"/>
        <v>0.12074206543864596</v>
      </c>
      <c r="L36" s="127"/>
      <c r="M36" s="128" t="str">
        <f>IF(Paramètres!$B$48="","",Paramètres!$B$48)</f>
        <v>Direction</v>
      </c>
      <c r="N36" s="129"/>
      <c r="O36" s="27">
        <f>IF($M36="","",COUNTIFS(Déplacements!$F$9:$F$808,$M36,Déplacements!$C$9:$C$808,"&gt;="&amp;PerDebut,Déplacements!$C$9:$C$808,"&lt;="&amp;PerFin))</f>
        <v>5</v>
      </c>
      <c r="P36" s="28">
        <f>IF($M36="","",SUMIFS(Déplacements!$M$9:$M$808,Déplacements!$F$9:$F$808,$M36,Déplacements!$C$9:$C$808,"&gt;="&amp;PerDebut,Déplacements!$C$9:$C$808,"&lt;="&amp;PerFin))</f>
        <v>101</v>
      </c>
      <c r="Q36" s="26">
        <f t="shared" si="3"/>
        <v>4.6767919985182442E-3</v>
      </c>
      <c r="R36" s="29">
        <f>IF($M36="","",SUMIFS(Dépenses!$L$9:$L$508,Dépenses!$T$9:$T$508,$M36,Dépenses!$C$9:$C$508,"&gt;="&amp;PerDebut,Dépenses!$C$9:$C$508,"&lt;="&amp;PerFin))</f>
        <v>152.02000000000001</v>
      </c>
      <c r="S36" s="2"/>
    </row>
    <row r="37" spans="1:19" ht="18.95" customHeight="1" x14ac:dyDescent="0.25">
      <c r="A37" s="1"/>
      <c r="B37" s="1"/>
      <c r="C37" s="23" t="s">
        <v>89</v>
      </c>
      <c r="D37" s="24">
        <f>COUNTIF(Dépenses!$V$9:$V$508,"?*")-COUNTIF(Dépenses!$V$9:$V$508,"Conforme")</f>
        <v>0</v>
      </c>
      <c r="E37" s="1"/>
      <c r="F37" s="2"/>
      <c r="G37" s="128" t="str">
        <f>IF(Paramètres!$H$40="","",Paramètres!$H$40)</f>
        <v>Réparation</v>
      </c>
      <c r="H37" s="129"/>
      <c r="I37" s="25">
        <f>IF(G37="","",SUMIFS(Dépenses!$L$9:$L$508,Dépenses!$F$9:$F$508,G37,Dépenses!$C$9:$C$508,"&gt;="&amp;PerDebut,Dépenses!$C$9:$C$508,"&lt;="&amp;PerFin))</f>
        <v>434.9</v>
      </c>
      <c r="J37" s="26">
        <f t="shared" si="1"/>
        <v>6.7553189010685175E-2</v>
      </c>
      <c r="K37" s="126">
        <f t="shared" si="2"/>
        <v>0.16798056384922302</v>
      </c>
      <c r="L37" s="127"/>
      <c r="M37" s="128" t="str">
        <f>IF(Paramètres!$B$49="","",Paramètres!$B$49)</f>
        <v>Logistique</v>
      </c>
      <c r="N37" s="129"/>
      <c r="O37" s="27">
        <f>IF($M37="","",COUNTIFS(Déplacements!$F$9:$F$808,$M37,Déplacements!$C$9:$C$808,"&gt;="&amp;PerDebut,Déplacements!$C$9:$C$808,"&lt;="&amp;PerFin))</f>
        <v>0</v>
      </c>
      <c r="P37" s="28">
        <f>IF($M37="","",SUMIFS(Déplacements!$M$9:$M$808,Déplacements!$F$9:$F$808,$M37,Déplacements!$C$9:$C$808,"&gt;="&amp;PerDebut,Déplacements!$C$9:$C$808,"&lt;="&amp;PerFin))</f>
        <v>0</v>
      </c>
      <c r="Q37" s="26">
        <f t="shared" si="3"/>
        <v>0</v>
      </c>
      <c r="R37" s="29">
        <f>IF($M37="","",SUMIFS(Dépenses!$L$9:$L$508,Dépenses!$T$9:$T$508,$M37,Dépenses!$C$9:$C$508,"&gt;="&amp;PerDebut,Dépenses!$C$9:$C$508,"&lt;="&amp;PerFin))</f>
        <v>0</v>
      </c>
      <c r="S37" s="2"/>
    </row>
    <row r="38" spans="1:19" ht="18.95" customHeight="1" x14ac:dyDescent="0.25">
      <c r="A38" s="1"/>
      <c r="B38" s="1"/>
      <c r="C38" s="23" t="s">
        <v>90</v>
      </c>
      <c r="D38" s="24">
        <f>COUNTIF(Déplacements!$O$9:$O$808,"Usage privé non autorisé")</f>
        <v>1</v>
      </c>
      <c r="E38" s="1"/>
      <c r="F38" s="2"/>
      <c r="G38" s="128" t="str">
        <f>IF(Paramètres!$H$41="","",Paramètres!$H$41)</f>
        <v>Pneumatiques</v>
      </c>
      <c r="H38" s="129"/>
      <c r="I38" s="25">
        <f>IF(G38="","",SUMIFS(Dépenses!$L$9:$L$508,Dépenses!$F$9:$F$508,G38,Dépenses!$C$9:$C$508,"&gt;="&amp;PerDebut,Dépenses!$C$9:$C$508,"&lt;="&amp;PerFin))</f>
        <v>512</v>
      </c>
      <c r="J38" s="26">
        <f t="shared" si="1"/>
        <v>7.9529162505106485E-2</v>
      </c>
      <c r="K38" s="126">
        <f t="shared" si="2"/>
        <v>0.19776051664934974</v>
      </c>
      <c r="L38" s="127"/>
      <c r="M38" s="128" t="str">
        <f>IF(Paramètres!$B$50="","",Paramètres!$B$50)</f>
        <v/>
      </c>
      <c r="N38" s="129"/>
      <c r="O38" s="27" t="str">
        <f>IF($M38="","",COUNTIFS(Déplacements!$F$9:$F$808,$M38,Déplacements!$C$9:$C$808,"&gt;="&amp;PerDebut,Déplacements!$C$9:$C$808,"&lt;="&amp;PerFin))</f>
        <v/>
      </c>
      <c r="P38" s="28" t="str">
        <f>IF($M38="","",SUMIFS(Déplacements!$M$9:$M$808,Déplacements!$F$9:$F$808,$M38,Déplacements!$C$9:$C$808,"&gt;="&amp;PerDebut,Déplacements!$C$9:$C$808,"&lt;="&amp;PerFin))</f>
        <v/>
      </c>
      <c r="Q38" s="26" t="str">
        <f t="shared" si="3"/>
        <v/>
      </c>
      <c r="R38" s="29" t="str">
        <f>IF($M38="","",SUMIFS(Dépenses!$L$9:$L$508,Dépenses!$T$9:$T$508,$M38,Dépenses!$C$9:$C$508,"&gt;="&amp;PerDebut,Dépenses!$C$9:$C$508,"&lt;="&amp;PerFin))</f>
        <v/>
      </c>
      <c r="S38" s="2"/>
    </row>
    <row r="39" spans="1:19" ht="18.95" customHeight="1" x14ac:dyDescent="0.25">
      <c r="A39" s="1"/>
      <c r="B39" s="1"/>
      <c r="C39" s="23" t="s">
        <v>61</v>
      </c>
      <c r="D39" s="30">
        <f>SUMIFS(Dépenses!$L$9:$L$508,Dépenses!$S$9:$S$508,"Oui")</f>
        <v>945.29999999999961</v>
      </c>
      <c r="E39" s="1"/>
      <c r="F39" s="2"/>
      <c r="G39" s="128" t="str">
        <f>IF(Paramètres!$H$42="","",Paramètres!$H$42)</f>
        <v>Contrôle technique</v>
      </c>
      <c r="H39" s="129"/>
      <c r="I39" s="25">
        <f>IF(G39="","",SUMIFS(Dépenses!$L$9:$L$508,Dépenses!$F$9:$F$508,G39,Dépenses!$C$9:$C$508,"&gt;="&amp;PerDebut,Dépenses!$C$9:$C$508,"&lt;="&amp;PerFin))</f>
        <v>89</v>
      </c>
      <c r="J39" s="26">
        <f t="shared" si="1"/>
        <v>1.3824405201082962E-2</v>
      </c>
      <c r="K39" s="126">
        <f t="shared" si="2"/>
        <v>3.4376339808187745E-2</v>
      </c>
      <c r="L39" s="127"/>
      <c r="M39" s="128" t="s">
        <v>91</v>
      </c>
      <c r="N39" s="129"/>
      <c r="O39" s="27">
        <f>IF($M39="","",COUNTIFS(Déplacements!$F$9:$F$808,$M39,Déplacements!$C$9:$C$808,"&gt;="&amp;PerDebut,Déplacements!$C$9:$C$808,"&lt;="&amp;PerFin))</f>
        <v>0</v>
      </c>
      <c r="P39" s="28">
        <f>IF($M39="","",SUMIFS(Déplacements!$M$9:$M$808,Déplacements!$F$9:$F$808,$M39,Déplacements!$C$9:$C$808,"&gt;="&amp;PerDebut,Déplacements!$C$9:$C$808,"&lt;="&amp;PerFin))</f>
        <v>0</v>
      </c>
      <c r="Q39" s="26">
        <f t="shared" si="3"/>
        <v>0</v>
      </c>
      <c r="R39" s="29">
        <f>IF($M39="","",SUMIFS(Dépenses!$L$9:$L$508,Dépenses!$T$9:$T$508,$M39,Dépenses!$C$9:$C$508,"&gt;="&amp;PerDebut,Dépenses!$C$9:$C$508,"&lt;="&amp;PerFin))</f>
        <v>1186.4000000000001</v>
      </c>
      <c r="S39" s="2"/>
    </row>
    <row r="40" spans="1:19" ht="18.95" customHeight="1" x14ac:dyDescent="0.25">
      <c r="A40" s="1"/>
      <c r="B40" s="1"/>
      <c r="C40" s="1"/>
      <c r="D40" s="1"/>
      <c r="E40" s="1"/>
      <c r="F40" s="2"/>
      <c r="G40" s="128" t="str">
        <f>IF(Paramètres!$H$43="","",Paramètres!$H$43)</f>
        <v>Assurance</v>
      </c>
      <c r="H40" s="129"/>
      <c r="I40" s="25">
        <f>IF(G40="","",SUMIFS(Dépenses!$L$9:$L$508,Dépenses!$F$9:$F$508,G40,Dépenses!$C$9:$C$508,"&gt;="&amp;PerDebut,Dépenses!$C$9:$C$508,"&lt;="&amp;PerFin))</f>
        <v>1148</v>
      </c>
      <c r="J40" s="26">
        <f t="shared" si="1"/>
        <v>0.17831929405441843</v>
      </c>
      <c r="K40" s="126">
        <f t="shared" si="2"/>
        <v>0.44341615842471382</v>
      </c>
      <c r="L40" s="127"/>
      <c r="M40" s="157" t="s">
        <v>92</v>
      </c>
      <c r="N40" s="138"/>
      <c r="O40" s="31">
        <f>SUM(O34:O39)</f>
        <v>375</v>
      </c>
      <c r="P40" s="32">
        <f>SUM(P34:P39)</f>
        <v>21596</v>
      </c>
      <c r="Q40" s="33">
        <f>IF(P40&gt;0,1,"")</f>
        <v>1</v>
      </c>
      <c r="R40" s="34">
        <f>SUM(R34:R39)</f>
        <v>6437.8900000000012</v>
      </c>
      <c r="S40" s="2"/>
    </row>
    <row r="41" spans="1:19" ht="18.95" customHeight="1" x14ac:dyDescent="0.25">
      <c r="A41" s="1"/>
      <c r="B41" s="1"/>
      <c r="C41" s="133" t="s">
        <v>93</v>
      </c>
      <c r="D41" s="118"/>
      <c r="E41" s="1"/>
      <c r="F41" s="2"/>
      <c r="G41" s="128" t="str">
        <f>IF(Paramètres!$H$44="","",Paramètres!$H$44)</f>
        <v>Péage</v>
      </c>
      <c r="H41" s="129"/>
      <c r="I41" s="25">
        <f>IF(G41="","",SUMIFS(Dépenses!$L$9:$L$508,Dépenses!$F$9:$F$508,G41,Dépenses!$C$9:$C$508,"&gt;="&amp;PerDebut,Dépenses!$C$9:$C$508,"&lt;="&amp;PerFin))</f>
        <v>821.99999999999989</v>
      </c>
      <c r="J41" s="26">
        <f t="shared" si="1"/>
        <v>0.12768158511562017</v>
      </c>
      <c r="K41" s="126">
        <f t="shared" si="2"/>
        <v>0.31749832946438566</v>
      </c>
      <c r="L41" s="127"/>
      <c r="M41" s="2"/>
      <c r="N41" s="2"/>
      <c r="O41" s="2"/>
      <c r="P41" s="2"/>
      <c r="Q41" s="2"/>
      <c r="R41" s="2"/>
      <c r="S41" s="2"/>
    </row>
    <row r="42" spans="1:19" ht="18.95" customHeight="1" x14ac:dyDescent="0.25">
      <c r="A42" s="1"/>
      <c r="B42" s="1"/>
      <c r="C42" s="135" t="s">
        <v>94</v>
      </c>
      <c r="D42" s="118"/>
      <c r="E42" s="1"/>
      <c r="F42" s="2"/>
      <c r="G42" s="128" t="str">
        <f>IF(Paramètres!$H$45="","",Paramètres!$H$45)</f>
        <v>Stationnement</v>
      </c>
      <c r="H42" s="129"/>
      <c r="I42" s="25">
        <f>IF(G42="","",SUMIFS(Dépenses!$L$9:$L$508,Dépenses!$F$9:$F$508,G42,Dépenses!$C$9:$C$508,"&gt;="&amp;PerDebut,Dépenses!$C$9:$C$508,"&lt;="&amp;PerFin))</f>
        <v>248.1</v>
      </c>
      <c r="J42" s="26">
        <f t="shared" si="1"/>
        <v>3.8537471127962727E-2</v>
      </c>
      <c r="K42" s="126">
        <f t="shared" si="2"/>
        <v>9.5828875352936854E-2</v>
      </c>
      <c r="L42" s="127"/>
      <c r="M42" s="130" t="s">
        <v>95</v>
      </c>
      <c r="N42" s="131"/>
      <c r="O42" s="131"/>
      <c r="P42" s="131"/>
      <c r="Q42" s="131"/>
      <c r="R42" s="132"/>
      <c r="S42" s="2"/>
    </row>
    <row r="43" spans="1:19" ht="18.95" customHeight="1" x14ac:dyDescent="0.25">
      <c r="A43" s="1"/>
      <c r="B43" s="1"/>
      <c r="C43" s="135" t="s">
        <v>96</v>
      </c>
      <c r="D43" s="118"/>
      <c r="E43" s="1"/>
      <c r="F43" s="2"/>
      <c r="G43" s="128" t="str">
        <f>IF(Paramètres!$H$46="","",Paramètres!$H$46)</f>
        <v>Lavage</v>
      </c>
      <c r="H43" s="129"/>
      <c r="I43" s="25">
        <f>IF(G43="","",SUMIFS(Dépenses!$L$9:$L$508,Dépenses!$F$9:$F$508,G43,Dépenses!$C$9:$C$508,"&gt;="&amp;PerDebut,Dépenses!$C$9:$C$508,"&lt;="&amp;PerFin))</f>
        <v>154</v>
      </c>
      <c r="J43" s="26">
        <f t="shared" si="1"/>
        <v>2.392088090973906E-2</v>
      </c>
      <c r="K43" s="126">
        <f t="shared" si="2"/>
        <v>5.9482655398437223E-2</v>
      </c>
      <c r="L43" s="127"/>
      <c r="M43" s="115" t="s">
        <v>97</v>
      </c>
      <c r="N43" s="116"/>
      <c r="O43" s="21" t="s">
        <v>82</v>
      </c>
      <c r="P43" s="20" t="s">
        <v>83</v>
      </c>
      <c r="Q43" s="20" t="s">
        <v>98</v>
      </c>
      <c r="R43" s="22" t="s">
        <v>99</v>
      </c>
      <c r="S43" s="2"/>
    </row>
    <row r="44" spans="1:19" ht="18.95" customHeight="1" x14ac:dyDescent="0.25">
      <c r="A44" s="1"/>
      <c r="B44" s="1"/>
      <c r="C44" s="135" t="s">
        <v>100</v>
      </c>
      <c r="D44" s="118"/>
      <c r="E44" s="1"/>
      <c r="F44" s="2"/>
      <c r="G44" s="128" t="str">
        <f>IF(Paramètres!$H$47="","",Paramètres!$H$47)</f>
        <v>Équipement</v>
      </c>
      <c r="H44" s="129"/>
      <c r="I44" s="25">
        <f>IF(G44="","",SUMIFS(Dépenses!$L$9:$L$508,Dépenses!$F$9:$F$508,G44,Dépenses!$C$9:$C$508,"&gt;="&amp;PerDebut,Dépenses!$C$9:$C$508,"&lt;="&amp;PerFin))</f>
        <v>128.30000000000001</v>
      </c>
      <c r="J44" s="26">
        <f t="shared" si="1"/>
        <v>1.9928889744931958E-2</v>
      </c>
      <c r="K44" s="126">
        <f t="shared" si="2"/>
        <v>4.9556004465061664E-2</v>
      </c>
      <c r="L44" s="127"/>
      <c r="M44" s="128" t="str">
        <f>IF(Paramètres!$B$23="","",Paramètres!$B$23)</f>
        <v>Karim Benali</v>
      </c>
      <c r="N44" s="129"/>
      <c r="O44" s="27">
        <f>IF($M44="","",COUNTIFS(Déplacements!$E$9:$E$808,$M44,Déplacements!$C$9:$C$808,"&gt;="&amp;PerDebut,Déplacements!$C$9:$C$808,"&lt;="&amp;PerFin))</f>
        <v>178</v>
      </c>
      <c r="P44" s="28">
        <f>IF($M44="","",SUMIFS(Déplacements!$M$9:$M$808,Déplacements!$E$9:$E$808,$M44,Déplacements!$C$9:$C$808,"&gt;="&amp;PerDebut,Déplacements!$C$9:$C$808,"&lt;="&amp;PerFin))</f>
        <v>6752</v>
      </c>
      <c r="Q44" s="26">
        <f>IF(OR($M44="",N(P44)=0),"",SUMIFS(Déplacements!$M$9:$M$808,Déplacements!$E$9:$E$808,$M44,Déplacements!$J$9:$J$808,"Professionnel",Déplacements!$C$9:$C$808,"&gt;="&amp;PerDebut,Déplacements!$C$9:$C$808,"&lt;="&amp;PerFin)/P44)</f>
        <v>0.81872037914691942</v>
      </c>
      <c r="R44" s="35">
        <f>IF($M44="","",SUMIFS(Dépenses!$L$9:$L$508,Dépenses!$D$9:$D$508,$M44,Dépenses!$S$9:$S$508,"Oui",Dépenses!$C$9:$C$508,"&gt;="&amp;PerDebut,Dépenses!$C$9:$C$508,"&lt;="&amp;PerFin))</f>
        <v>0</v>
      </c>
      <c r="S44" s="2"/>
    </row>
    <row r="45" spans="1:19" ht="18.95" customHeight="1" x14ac:dyDescent="0.25">
      <c r="A45" s="1"/>
      <c r="B45" s="1"/>
      <c r="C45" s="135" t="s">
        <v>101</v>
      </c>
      <c r="D45" s="118"/>
      <c r="E45" s="1"/>
      <c r="F45" s="2"/>
      <c r="G45" s="128" t="str">
        <f>IF(Paramètres!$H$48="","",Paramètres!$H$48)</f>
        <v>Autre dépense</v>
      </c>
      <c r="H45" s="129"/>
      <c r="I45" s="25">
        <f>IF(G45="","",SUMIFS(Dépenses!$L$9:$L$508,Dépenses!$F$9:$F$508,G45,Dépenses!$C$9:$C$508,"&gt;="&amp;PerDebut,Dépenses!$C$9:$C$508,"&lt;="&amp;PerFin))</f>
        <v>0</v>
      </c>
      <c r="J45" s="26">
        <f t="shared" si="1"/>
        <v>0</v>
      </c>
      <c r="K45" s="126">
        <f t="shared" si="2"/>
        <v>0</v>
      </c>
      <c r="L45" s="127"/>
      <c r="M45" s="128" t="str">
        <f>IF(Paramètres!$B$24="","",Paramètres!$B$24)</f>
        <v>Thomas Girard</v>
      </c>
      <c r="N45" s="129"/>
      <c r="O45" s="27">
        <f>IF($M45="","",COUNTIFS(Déplacements!$E$9:$E$808,$M45,Déplacements!$C$9:$C$808,"&gt;="&amp;PerDebut,Déplacements!$C$9:$C$808,"&lt;="&amp;PerFin))</f>
        <v>123</v>
      </c>
      <c r="P45" s="28">
        <f>IF($M45="","",SUMIFS(Déplacements!$M$9:$M$808,Déplacements!$E$9:$E$808,$M45,Déplacements!$C$9:$C$808,"&gt;="&amp;PerDebut,Déplacements!$C$9:$C$808,"&lt;="&amp;PerFin))</f>
        <v>5254</v>
      </c>
      <c r="Q45" s="26">
        <f>IF(OR($M45="",N(P45)=0),"",SUMIFS(Déplacements!$M$9:$M$808,Déplacements!$E$9:$E$808,$M45,Déplacements!$J$9:$J$808,"Professionnel",Déplacements!$C$9:$C$808,"&gt;="&amp;PerDebut,Déplacements!$C$9:$C$808,"&lt;="&amp;PerFin)/P45)</f>
        <v>0.99314807765511992</v>
      </c>
      <c r="R45" s="35">
        <f>IF($M45="","",SUMIFS(Dépenses!$L$9:$L$508,Dépenses!$D$9:$D$508,$M45,Dépenses!$S$9:$S$508,"Oui",Dépenses!$C$9:$C$508,"&gt;="&amp;PerDebut,Dépenses!$C$9:$C$508,"&lt;="&amp;PerFin))</f>
        <v>0</v>
      </c>
      <c r="S45" s="2"/>
    </row>
    <row r="46" spans="1:19" ht="18.95" customHeight="1" x14ac:dyDescent="0.25">
      <c r="A46" s="1"/>
      <c r="B46" s="1"/>
      <c r="C46" s="135" t="s">
        <v>102</v>
      </c>
      <c r="D46" s="118"/>
      <c r="E46" s="1"/>
      <c r="F46" s="2"/>
      <c r="G46" s="168" t="s">
        <v>92</v>
      </c>
      <c r="H46" s="169"/>
      <c r="I46" s="36">
        <f>SUM(I34:I45)</f>
        <v>6437.89</v>
      </c>
      <c r="J46" s="37">
        <f>IF(I46&gt;0,1,"")</f>
        <v>1</v>
      </c>
      <c r="K46" s="155"/>
      <c r="L46" s="156"/>
      <c r="M46" s="128" t="str">
        <f>IF(Paramètres!$B$25="","",Paramètres!$B$25)</f>
        <v>Sophie Lemaire</v>
      </c>
      <c r="N46" s="129"/>
      <c r="O46" s="27">
        <f>IF($M46="","",COUNTIFS(Déplacements!$E$9:$E$808,$M46,Déplacements!$C$9:$C$808,"&gt;="&amp;PerDebut,Déplacements!$C$9:$C$808,"&lt;="&amp;PerFin))</f>
        <v>69</v>
      </c>
      <c r="P46" s="28">
        <f>IF($M46="","",SUMIFS(Déplacements!$M$9:$M$808,Déplacements!$E$9:$E$808,$M46,Déplacements!$C$9:$C$808,"&gt;="&amp;PerDebut,Déplacements!$C$9:$C$808,"&lt;="&amp;PerFin))</f>
        <v>9489</v>
      </c>
      <c r="Q46" s="26">
        <f>IF(OR($M46="",N(P46)=0),"",SUMIFS(Déplacements!$M$9:$M$808,Déplacements!$E$9:$E$808,$M46,Déplacements!$J$9:$J$808,"Professionnel",Déplacements!$C$9:$C$808,"&gt;="&amp;PerDebut,Déplacements!$C$9:$C$808,"&lt;="&amp;PerFin)/P46)</f>
        <v>1</v>
      </c>
      <c r="R46" s="35">
        <f>IF($M46="","",SUMIFS(Dépenses!$L$9:$L$508,Dépenses!$D$9:$D$508,$M46,Dépenses!$S$9:$S$508,"Oui",Dépenses!$C$9:$C$508,"&gt;="&amp;PerDebut,Dépenses!$C$9:$C$508,"&lt;="&amp;PerFin))</f>
        <v>945.29999999999961</v>
      </c>
      <c r="S46" s="2"/>
    </row>
    <row r="47" spans="1:19" ht="18.95" customHeight="1" x14ac:dyDescent="0.25">
      <c r="A47" s="1"/>
      <c r="B47" s="1"/>
      <c r="C47" s="135" t="s">
        <v>103</v>
      </c>
      <c r="D47" s="118"/>
      <c r="E47" s="1"/>
      <c r="F47" s="2"/>
      <c r="G47" s="2"/>
      <c r="H47" s="2"/>
      <c r="I47" s="2"/>
      <c r="J47" s="2"/>
      <c r="K47" s="2"/>
      <c r="L47" s="2"/>
      <c r="M47" s="128" t="str">
        <f>IF(Paramètres!$B$26="","",Paramètres!$B$26)</f>
        <v>Élodie Faure</v>
      </c>
      <c r="N47" s="129"/>
      <c r="O47" s="27">
        <f>IF($M47="","",COUNTIFS(Déplacements!$E$9:$E$808,$M47,Déplacements!$C$9:$C$808,"&gt;="&amp;PerDebut,Déplacements!$C$9:$C$808,"&lt;="&amp;PerFin))</f>
        <v>5</v>
      </c>
      <c r="P47" s="28">
        <f>IF($M47="","",SUMIFS(Déplacements!$M$9:$M$808,Déplacements!$E$9:$E$808,$M47,Déplacements!$C$9:$C$808,"&gt;="&amp;PerDebut,Déplacements!$C$9:$C$808,"&lt;="&amp;PerFin))</f>
        <v>101</v>
      </c>
      <c r="Q47" s="26">
        <f>IF(OR($M47="",N(P47)=0),"",SUMIFS(Déplacements!$M$9:$M$808,Déplacements!$E$9:$E$808,$M47,Déplacements!$J$9:$J$808,"Professionnel",Déplacements!$C$9:$C$808,"&gt;="&amp;PerDebut,Déplacements!$C$9:$C$808,"&lt;="&amp;PerFin)/P47)</f>
        <v>1</v>
      </c>
      <c r="R47" s="35">
        <f>IF($M47="","",SUMIFS(Dépenses!$L$9:$L$508,Dépenses!$D$9:$D$508,$M47,Dépenses!$S$9:$S$508,"Oui",Dépenses!$C$9:$C$508,"&gt;="&amp;PerDebut,Dépenses!$C$9:$C$508,"&lt;="&amp;PerFin))</f>
        <v>0</v>
      </c>
      <c r="S47" s="2"/>
    </row>
    <row r="48" spans="1:19" ht="18.95" customHeight="1" x14ac:dyDescent="0.25">
      <c r="A48" s="1"/>
      <c r="B48" s="1"/>
      <c r="C48" s="1"/>
      <c r="D48" s="1"/>
      <c r="E48" s="1"/>
      <c r="F48" s="2"/>
      <c r="G48" s="130" t="s">
        <v>104</v>
      </c>
      <c r="H48" s="131"/>
      <c r="I48" s="131"/>
      <c r="J48" s="131"/>
      <c r="K48" s="131"/>
      <c r="L48" s="132"/>
      <c r="M48" s="128" t="str">
        <f>IF(Paramètres!$B$27="","",Paramètres!$B$27)</f>
        <v/>
      </c>
      <c r="N48" s="129"/>
      <c r="O48" s="27" t="str">
        <f>IF($M48="","",COUNTIFS(Déplacements!$E$9:$E$808,$M48,Déplacements!$C$9:$C$808,"&gt;="&amp;PerDebut,Déplacements!$C$9:$C$808,"&lt;="&amp;PerFin))</f>
        <v/>
      </c>
      <c r="P48" s="28" t="str">
        <f>IF($M48="","",SUMIFS(Déplacements!$M$9:$M$808,Déplacements!$E$9:$E$808,$M48,Déplacements!$C$9:$C$808,"&gt;="&amp;PerDebut,Déplacements!$C$9:$C$808,"&lt;="&amp;PerFin))</f>
        <v/>
      </c>
      <c r="Q48" s="26" t="str">
        <f>IF(OR($M48="",N(P48)=0),"",SUMIFS(Déplacements!$M$9:$M$808,Déplacements!$E$9:$E$808,$M48,Déplacements!$J$9:$J$808,"Professionnel",Déplacements!$C$9:$C$808,"&gt;="&amp;PerDebut,Déplacements!$C$9:$C$808,"&lt;="&amp;PerFin)/P48)</f>
        <v/>
      </c>
      <c r="R48" s="35" t="str">
        <f>IF($M48="","",SUMIFS(Dépenses!$L$9:$L$508,Dépenses!$D$9:$D$508,$M48,Dépenses!$S$9:$S$508,"Oui",Dépenses!$C$9:$C$508,"&gt;="&amp;PerDebut,Dépenses!$C$9:$C$508,"&lt;="&amp;PerFin))</f>
        <v/>
      </c>
      <c r="S48" s="2"/>
    </row>
    <row r="49" spans="1:19" ht="18.95" customHeight="1" x14ac:dyDescent="0.25">
      <c r="A49" s="1"/>
      <c r="B49" s="1"/>
      <c r="C49" s="1"/>
      <c r="D49" s="1"/>
      <c r="E49" s="1"/>
      <c r="F49" s="2"/>
      <c r="G49" s="152" t="s">
        <v>105</v>
      </c>
      <c r="H49" s="129"/>
      <c r="I49" s="129"/>
      <c r="J49" s="164" t="s">
        <v>106</v>
      </c>
      <c r="K49" s="129"/>
      <c r="L49" s="127"/>
      <c r="M49" s="128" t="str">
        <f>IF(Paramètres!$B$28="","",Paramètres!$B$28)</f>
        <v/>
      </c>
      <c r="N49" s="129"/>
      <c r="O49" s="27" t="str">
        <f>IF($M49="","",COUNTIFS(Déplacements!$E$9:$E$808,$M49,Déplacements!$C$9:$C$808,"&gt;="&amp;PerDebut,Déplacements!$C$9:$C$808,"&lt;="&amp;PerFin))</f>
        <v/>
      </c>
      <c r="P49" s="28" t="str">
        <f>IF($M49="","",SUMIFS(Déplacements!$M$9:$M$808,Déplacements!$E$9:$E$808,$M49,Déplacements!$C$9:$C$808,"&gt;="&amp;PerDebut,Déplacements!$C$9:$C$808,"&lt;="&amp;PerFin))</f>
        <v/>
      </c>
      <c r="Q49" s="26" t="str">
        <f>IF(OR($M49="",N(P49)=0),"",SUMIFS(Déplacements!$M$9:$M$808,Déplacements!$E$9:$E$808,$M49,Déplacements!$J$9:$J$808,"Professionnel",Déplacements!$C$9:$C$808,"&gt;="&amp;PerDebut,Déplacements!$C$9:$C$808,"&lt;="&amp;PerFin)/P49)</f>
        <v/>
      </c>
      <c r="R49" s="35" t="str">
        <f>IF($M49="","",SUMIFS(Dépenses!$L$9:$L$508,Dépenses!$D$9:$D$508,$M49,Dépenses!$S$9:$S$508,"Oui",Dépenses!$C$9:$C$508,"&gt;="&amp;PerDebut,Dépenses!$C$9:$C$508,"&lt;="&amp;PerFin))</f>
        <v/>
      </c>
      <c r="S49" s="2"/>
    </row>
    <row r="50" spans="1:19" ht="18.95" customHeight="1" x14ac:dyDescent="0.25">
      <c r="A50" s="1"/>
      <c r="B50" s="1"/>
      <c r="C50" s="1"/>
      <c r="D50" s="1"/>
      <c r="E50" s="1"/>
      <c r="F50" s="2"/>
      <c r="G50" s="136" t="str">
        <f>FIXED($V$16,0)&amp;" "&amp;UniteQte</f>
        <v>1.482 L</v>
      </c>
      <c r="H50" s="129"/>
      <c r="I50" s="129"/>
      <c r="J50" s="134" t="str">
        <f>FIXED(IFERROR($V$15/$V$16,0),3)&amp;" €/"&amp;UniteQte</f>
        <v>1,747 €/L</v>
      </c>
      <c r="K50" s="129"/>
      <c r="L50" s="127"/>
      <c r="M50" s="128" t="str">
        <f>IF(Paramètres!$B$29="","",Paramètres!$B$29)</f>
        <v/>
      </c>
      <c r="N50" s="129"/>
      <c r="O50" s="27" t="str">
        <f>IF($M50="","",COUNTIFS(Déplacements!$E$9:$E$808,$M50,Déplacements!$C$9:$C$808,"&gt;="&amp;PerDebut,Déplacements!$C$9:$C$808,"&lt;="&amp;PerFin))</f>
        <v/>
      </c>
      <c r="P50" s="28" t="str">
        <f>IF($M50="","",SUMIFS(Déplacements!$M$9:$M$808,Déplacements!$E$9:$E$808,$M50,Déplacements!$C$9:$C$808,"&gt;="&amp;PerDebut,Déplacements!$C$9:$C$808,"&lt;="&amp;PerFin))</f>
        <v/>
      </c>
      <c r="Q50" s="26" t="str">
        <f>IF(OR($M50="",N(P50)=0),"",SUMIFS(Déplacements!$M$9:$M$808,Déplacements!$E$9:$E$808,$M50,Déplacements!$J$9:$J$808,"Professionnel",Déplacements!$C$9:$C$808,"&gt;="&amp;PerDebut,Déplacements!$C$9:$C$808,"&lt;="&amp;PerFin)/P50)</f>
        <v/>
      </c>
      <c r="R50" s="35" t="str">
        <f>IF($M50="","",SUMIFS(Dépenses!$L$9:$L$508,Dépenses!$D$9:$D$508,$M50,Dépenses!$S$9:$S$508,"Oui",Dépenses!$C$9:$C$508,"&gt;="&amp;PerDebut,Dépenses!$C$9:$C$508,"&lt;="&amp;PerFin))</f>
        <v/>
      </c>
      <c r="S50" s="2"/>
    </row>
    <row r="51" spans="1:19" ht="18.95" customHeight="1" x14ac:dyDescent="0.25">
      <c r="A51" s="1"/>
      <c r="B51" s="1"/>
      <c r="C51" s="1"/>
      <c r="D51" s="1"/>
      <c r="E51" s="1"/>
      <c r="F51" s="2"/>
      <c r="G51" s="152" t="s">
        <v>107</v>
      </c>
      <c r="H51" s="129"/>
      <c r="I51" s="129"/>
      <c r="J51" s="164" t="s">
        <v>108</v>
      </c>
      <c r="K51" s="129"/>
      <c r="L51" s="127"/>
      <c r="M51" s="128" t="str">
        <f>IF(Paramètres!$B$30="","",Paramètres!$B$30)</f>
        <v/>
      </c>
      <c r="N51" s="129"/>
      <c r="O51" s="27" t="str">
        <f>IF($M51="","",COUNTIFS(Déplacements!$E$9:$E$808,$M51,Déplacements!$C$9:$C$808,"&gt;="&amp;PerDebut,Déplacements!$C$9:$C$808,"&lt;="&amp;PerFin))</f>
        <v/>
      </c>
      <c r="P51" s="28" t="str">
        <f>IF($M51="","",SUMIFS(Déplacements!$M$9:$M$808,Déplacements!$E$9:$E$808,$M51,Déplacements!$C$9:$C$808,"&gt;="&amp;PerDebut,Déplacements!$C$9:$C$808,"&lt;="&amp;PerFin))</f>
        <v/>
      </c>
      <c r="Q51" s="26" t="str">
        <f>IF(OR($M51="",N(P51)=0),"",SUMIFS(Déplacements!$M$9:$M$808,Déplacements!$E$9:$E$808,$M51,Déplacements!$J$9:$J$808,"Professionnel",Déplacements!$C$9:$C$808,"&gt;="&amp;PerDebut,Déplacements!$C$9:$C$808,"&lt;="&amp;PerFin)/P51)</f>
        <v/>
      </c>
      <c r="R51" s="35" t="str">
        <f>IF($M51="","",SUMIFS(Dépenses!$L$9:$L$508,Dépenses!$D$9:$D$508,$M51,Dépenses!$S$9:$S$508,"Oui",Dépenses!$C$9:$C$508,"&gt;="&amp;PerDebut,Dépenses!$C$9:$C$508,"&lt;="&amp;PerFin))</f>
        <v/>
      </c>
      <c r="S51" s="2"/>
    </row>
    <row r="52" spans="1:19" ht="18.95" customHeight="1" x14ac:dyDescent="0.25">
      <c r="A52" s="1"/>
      <c r="B52" s="1"/>
      <c r="C52" s="1"/>
      <c r="D52" s="1"/>
      <c r="E52" s="1"/>
      <c r="F52" s="2"/>
      <c r="G52" s="140" t="str">
        <f>FIXED($V$17,0)</f>
        <v>43</v>
      </c>
      <c r="H52" s="138"/>
      <c r="I52" s="138"/>
      <c r="J52" s="137" t="str">
        <f>FIXED(IFERROR($V$8/$V$17,0),0)&amp;" km"</f>
        <v>502 km</v>
      </c>
      <c r="K52" s="138"/>
      <c r="L52" s="139"/>
      <c r="M52" s="16"/>
      <c r="N52" s="17"/>
      <c r="O52" s="17"/>
      <c r="P52" s="17"/>
      <c r="Q52" s="17"/>
      <c r="R52" s="18"/>
      <c r="S52" s="2"/>
    </row>
    <row r="53" spans="1:19" ht="9.9499999999999993" customHeight="1" x14ac:dyDescent="0.25">
      <c r="A53" s="1"/>
      <c r="B53" s="1"/>
      <c r="C53" s="1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9.9499999999999993" customHeight="1" x14ac:dyDescent="0.25">
      <c r="A54" s="1"/>
      <c r="B54" s="1"/>
      <c r="C54" s="1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</sheetData>
  <mergeCells count="115">
    <mergeCell ref="P11:R11"/>
    <mergeCell ref="J49:L49"/>
    <mergeCell ref="C42:D42"/>
    <mergeCell ref="G49:I49"/>
    <mergeCell ref="G36:H36"/>
    <mergeCell ref="M7:O7"/>
    <mergeCell ref="K36:L36"/>
    <mergeCell ref="C26:D26"/>
    <mergeCell ref="C10:D10"/>
    <mergeCell ref="C16:D16"/>
    <mergeCell ref="M8:O8"/>
    <mergeCell ref="J12:L12"/>
    <mergeCell ref="C11:D11"/>
    <mergeCell ref="M46:N46"/>
    <mergeCell ref="G45:H45"/>
    <mergeCell ref="K39:L39"/>
    <mergeCell ref="G11:I11"/>
    <mergeCell ref="P10:R10"/>
    <mergeCell ref="K38:L38"/>
    <mergeCell ref="C13:D13"/>
    <mergeCell ref="G46:H46"/>
    <mergeCell ref="G40:H40"/>
    <mergeCell ref="C6:D7"/>
    <mergeCell ref="M37:N37"/>
    <mergeCell ref="J8:L8"/>
    <mergeCell ref="G12:I12"/>
    <mergeCell ref="C23:D23"/>
    <mergeCell ref="C32:D32"/>
    <mergeCell ref="J10:L10"/>
    <mergeCell ref="M38:N38"/>
    <mergeCell ref="G41:H41"/>
    <mergeCell ref="G7:I7"/>
    <mergeCell ref="K34:L34"/>
    <mergeCell ref="C24:D24"/>
    <mergeCell ref="M10:O10"/>
    <mergeCell ref="G8:I8"/>
    <mergeCell ref="G48:L48"/>
    <mergeCell ref="C18:D18"/>
    <mergeCell ref="P6:R6"/>
    <mergeCell ref="J6:L6"/>
    <mergeCell ref="G10:I10"/>
    <mergeCell ref="P8:R8"/>
    <mergeCell ref="M34:N34"/>
    <mergeCell ref="G42:H42"/>
    <mergeCell ref="K45:L45"/>
    <mergeCell ref="M39:N39"/>
    <mergeCell ref="M48:N48"/>
    <mergeCell ref="G39:H39"/>
    <mergeCell ref="C20:D20"/>
    <mergeCell ref="P7:R7"/>
    <mergeCell ref="C29:D29"/>
    <mergeCell ref="K44:L44"/>
    <mergeCell ref="G37:H37"/>
    <mergeCell ref="C44:D44"/>
    <mergeCell ref="C22:D22"/>
    <mergeCell ref="K46:L46"/>
    <mergeCell ref="K40:L40"/>
    <mergeCell ref="M40:N40"/>
    <mergeCell ref="C12:D12"/>
    <mergeCell ref="Q2:R2"/>
    <mergeCell ref="M47:N47"/>
    <mergeCell ref="C19:D19"/>
    <mergeCell ref="C28:D28"/>
    <mergeCell ref="K37:L37"/>
    <mergeCell ref="M50:N50"/>
    <mergeCell ref="G44:H44"/>
    <mergeCell ref="C3:D3"/>
    <mergeCell ref="M11:O11"/>
    <mergeCell ref="Q3:R3"/>
    <mergeCell ref="G6:I6"/>
    <mergeCell ref="M44:N44"/>
    <mergeCell ref="C14:D14"/>
    <mergeCell ref="C45:D45"/>
    <mergeCell ref="M6:O6"/>
    <mergeCell ref="J7:L7"/>
    <mergeCell ref="C47:D47"/>
    <mergeCell ref="G38:H38"/>
    <mergeCell ref="M42:R42"/>
    <mergeCell ref="K41:L41"/>
    <mergeCell ref="K43:L43"/>
    <mergeCell ref="G33:H33"/>
    <mergeCell ref="C8:D8"/>
    <mergeCell ref="G35:H35"/>
    <mergeCell ref="J50:L50"/>
    <mergeCell ref="P12:R12"/>
    <mergeCell ref="C43:D43"/>
    <mergeCell ref="M32:R32"/>
    <mergeCell ref="G34:H34"/>
    <mergeCell ref="M14:R14"/>
    <mergeCell ref="G50:I50"/>
    <mergeCell ref="G32:L32"/>
    <mergeCell ref="J52:L52"/>
    <mergeCell ref="C27:D27"/>
    <mergeCell ref="K42:L42"/>
    <mergeCell ref="M36:N36"/>
    <mergeCell ref="M33:N33"/>
    <mergeCell ref="M45:N45"/>
    <mergeCell ref="G52:I52"/>
    <mergeCell ref="C17:D17"/>
    <mergeCell ref="M51:N51"/>
    <mergeCell ref="G51:I51"/>
    <mergeCell ref="M49:N49"/>
    <mergeCell ref="C46:D46"/>
    <mergeCell ref="C21:D21"/>
    <mergeCell ref="G43:H43"/>
    <mergeCell ref="J51:L51"/>
    <mergeCell ref="M43:N43"/>
    <mergeCell ref="C15:D15"/>
    <mergeCell ref="K33:L33"/>
    <mergeCell ref="M12:O12"/>
    <mergeCell ref="J11:L11"/>
    <mergeCell ref="K35:L35"/>
    <mergeCell ref="M35:N35"/>
    <mergeCell ref="G14:L14"/>
    <mergeCell ref="C41:D41"/>
  </mergeCells>
  <conditionalFormatting sqref="D34">
    <cfRule type="expression" dxfId="30" priority="1">
      <formula>$D$34&gt;0</formula>
    </cfRule>
  </conditionalFormatting>
  <conditionalFormatting sqref="D35">
    <cfRule type="expression" dxfId="29" priority="2">
      <formula>$D$35&gt;0</formula>
    </cfRule>
  </conditionalFormatting>
  <conditionalFormatting sqref="D36">
    <cfRule type="expression" dxfId="28" priority="3">
      <formula>$D$36&gt;0</formula>
    </cfRule>
  </conditionalFormatting>
  <conditionalFormatting sqref="D37">
    <cfRule type="expression" dxfId="27" priority="4">
      <formula>$D$37&gt;0</formula>
    </cfRule>
  </conditionalFormatting>
  <conditionalFormatting sqref="D38">
    <cfRule type="expression" dxfId="26" priority="5">
      <formula>$D$38&gt;0</formula>
    </cfRule>
  </conditionalFormatting>
  <conditionalFormatting sqref="D39">
    <cfRule type="expression" dxfId="25" priority="6">
      <formula>$D$39&gt;0</formula>
    </cfRule>
  </conditionalFormatting>
  <conditionalFormatting sqref="G34:L45">
    <cfRule type="expression" dxfId="24" priority="8">
      <formula>AND($G34&lt;&gt;"",N($I34)=0)</formula>
    </cfRule>
  </conditionalFormatting>
  <conditionalFormatting sqref="K34:L45">
    <cfRule type="dataBar" priority="7">
      <dataBar showValue="0">
        <cfvo type="num" val="0"/>
        <cfvo type="num" val="1"/>
        <color rgb="FF7A2B40"/>
      </dataBar>
    </cfRule>
  </conditionalFormatting>
  <conditionalFormatting sqref="M34:R39">
    <cfRule type="expression" dxfId="23" priority="9">
      <formula>AND($M34&lt;&gt;"",N($P34)+N($R34)=0)</formula>
    </cfRule>
  </conditionalFormatting>
  <conditionalFormatting sqref="Q44:Q51">
    <cfRule type="dataBar" priority="10">
      <dataBar>
        <cfvo type="num" val="0"/>
        <cfvo type="num" val="1"/>
        <color rgb="FFD8C29A"/>
      </dataBar>
    </cfRule>
  </conditionalFormatting>
  <dataValidations count="2">
    <dataValidation type="list" allowBlank="1" showInputMessage="1" showErrorMessage="1" errorTitle="Valeur non prévue" error="Choisissez une valeur dans la liste déroulante." promptTitle="Année" prompt="Année analysée." sqref="Q2" xr:uid="{00000000-0002-0000-0000-000000000000}">
      <formula1>"2024,2025,2026,2027,2028,2029,2030,2031,2032"</formula1>
    </dataValidation>
    <dataValidation type="list" allowBlank="1" showInputMessage="1" showErrorMessage="1" errorTitle="Valeur non prévue" error="Choisissez une valeur dans la liste déroulante." promptTitle="Période" prompt="Année complète, trimestre ou mois : les indicateurs et les tableaux s'adaptent ; les graphiques restent sur l'année." sqref="Q3" xr:uid="{00000000-0002-0000-0000-000001000000}">
      <formula1>ListePeriodes</formula1>
    </dataValidation>
  </dataValidations>
  <hyperlinks>
    <hyperlink ref="C42" location="'Déplacements'!A1" display="›  Déplacements" xr:uid="{00000000-0004-0000-0000-000000000000}"/>
    <hyperlink ref="C43" location="'Dépenses'!A1" display="›  Dépenses" xr:uid="{00000000-0004-0000-0000-000001000000}"/>
    <hyperlink ref="C44" location="'Entretien'!A1" display="›  Entretien" xr:uid="{00000000-0004-0000-0000-000002000000}"/>
    <hyperlink ref="C45" location="'Relevé mensuel'!A1" display="›  Relevé mensuel" xr:uid="{00000000-0004-0000-0000-000003000000}"/>
    <hyperlink ref="C46" location="'Paramètres'!A1" display="›  Paramètres" xr:uid="{00000000-0004-0000-0000-000004000000}"/>
    <hyperlink ref="C47" location="'Mode d''emploi'!A1" display="›  Mode d'emploi" xr:uid="{00000000-0004-0000-0000-000005000000}"/>
  </hyperlinks>
  <printOptions horizontalCentered="1"/>
  <pageMargins left="0.35" right="0.35" top="0.45" bottom="0.55000000000000004" header="0.5" footer="0.5"/>
  <pageSetup paperSize="9" orientation="landscape"/>
  <headerFooter>
    <oddFooter>&amp;L&amp;8 &amp;K8C949ECarnet de bord du véhicule – &amp;A&amp;R&amp;8 &amp;K8C949EPage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4A265"/>
    <pageSetUpPr fitToPage="1"/>
  </sheetPr>
  <dimension ref="A1:R808"/>
  <sheetViews>
    <sheetView showGridLines="0" zoomScale="90" workbookViewId="0">
      <pane xSplit="5" ySplit="8" topLeftCell="F9" activePane="bottomRight" state="frozen"/>
      <selection pane="topRight"/>
      <selection pane="bottomLeft"/>
      <selection pane="bottomRight"/>
    </sheetView>
  </sheetViews>
  <sheetFormatPr baseColWidth="10" defaultColWidth="9.140625" defaultRowHeight="15" outlineLevelCol="1" x14ac:dyDescent="0.25"/>
  <cols>
    <col min="1" max="1" width="2" customWidth="1"/>
    <col min="2" max="2" width="5" customWidth="1"/>
    <col min="3" max="3" width="11" customWidth="1"/>
    <col min="4" max="4" width="7" customWidth="1"/>
    <col min="5" max="5" width="17" customWidth="1"/>
    <col min="6" max="6" width="18" customWidth="1"/>
    <col min="7" max="8" width="21" customWidth="1"/>
    <col min="9" max="9" width="42" customWidth="1"/>
    <col min="10" max="10" width="17" customWidth="1"/>
    <col min="11" max="12" width="11" customWidth="1"/>
    <col min="13" max="14" width="10" customWidth="1"/>
    <col min="15" max="15" width="22" customWidth="1"/>
    <col min="16" max="16" width="30" customWidth="1"/>
    <col min="17" max="17" width="2" customWidth="1"/>
    <col min="18" max="18" width="9" hidden="1" customWidth="1" outlineLevel="1"/>
  </cols>
  <sheetData>
    <row r="1" spans="1:18" ht="18" customHeight="1" x14ac:dyDescent="0.25">
      <c r="A1" s="1"/>
      <c r="B1" s="3" t="str">
        <f>"CARNET DE BORD DU VÉHICULE   ·   "&amp;Immatriculation</f>
        <v>CARNET DE BORD DU VÉHICULE   ·   FT-317-KV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32.1" customHeight="1" x14ac:dyDescent="0.25">
      <c r="A2" s="1"/>
      <c r="B2" s="38" t="s">
        <v>109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9" t="str">
        <f>TRIM(Marque&amp;" "&amp;Modele)&amp;"   ·   "&amp;TitulaireVehicule</f>
        <v>Norvane Fourgonnette L1 1.5 diesel   ·   Altéis Maintenance SAS</v>
      </c>
      <c r="Q2" s="1"/>
    </row>
    <row r="3" spans="1:18" ht="3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8" ht="15.95" customHeight="1" x14ac:dyDescent="0.25">
      <c r="B4" s="170" t="s">
        <v>110</v>
      </c>
      <c r="C4" s="118"/>
      <c r="E4" s="170" t="s">
        <v>111</v>
      </c>
      <c r="F4" s="118"/>
      <c r="G4" s="170" t="s">
        <v>22</v>
      </c>
      <c r="H4" s="118"/>
      <c r="I4" s="40" t="s">
        <v>112</v>
      </c>
      <c r="J4" s="170" t="s">
        <v>113</v>
      </c>
      <c r="K4" s="118"/>
      <c r="L4" s="118"/>
    </row>
    <row r="5" spans="1:18" ht="26.1" customHeight="1" x14ac:dyDescent="0.25">
      <c r="B5" s="172">
        <f>COUNT(Déplacements!$C$9:$C$808)</f>
        <v>375</v>
      </c>
      <c r="C5" s="118"/>
      <c r="E5" s="171">
        <f>SUM(Déplacements!$M$9:$M$808)</f>
        <v>21596</v>
      </c>
      <c r="F5" s="118"/>
      <c r="G5" s="173">
        <f>IFERROR(SUMIFS(Déplacements!$M$9:$M$808,Déplacements!$J$9:$J$808,"Professionnel")/SUM(Déplacements!$M$9:$M$808),0)</f>
        <v>0.94165586219670305</v>
      </c>
      <c r="H5" s="118"/>
      <c r="I5" s="41">
        <f>COUNTIF(Déplacements!$O$9:$O$808,"?*")-COUNTIF(Déplacements!$O$9:$O$808,"Conforme")</f>
        <v>2</v>
      </c>
      <c r="J5" s="171">
        <f>MAX(Déplacements!$L$9:$L$808)</f>
        <v>60353</v>
      </c>
      <c r="K5" s="118"/>
      <c r="L5" s="118"/>
    </row>
    <row r="6" spans="1:18" ht="8.1" customHeight="1" x14ac:dyDescent="0.25"/>
    <row r="7" spans="1:18" ht="20.100000000000001" customHeight="1" x14ac:dyDescent="0.25">
      <c r="B7" s="42" t="s">
        <v>114</v>
      </c>
      <c r="O7" s="43" t="s">
        <v>115</v>
      </c>
      <c r="P7" s="44" t="s">
        <v>116</v>
      </c>
    </row>
    <row r="8" spans="1:18" ht="38.1" customHeight="1" x14ac:dyDescent="0.25">
      <c r="B8" s="45" t="s">
        <v>117</v>
      </c>
      <c r="C8" s="46" t="s">
        <v>118</v>
      </c>
      <c r="D8" s="46" t="s">
        <v>119</v>
      </c>
      <c r="E8" s="46" t="s">
        <v>120</v>
      </c>
      <c r="F8" s="45" t="s">
        <v>121</v>
      </c>
      <c r="G8" s="46" t="s">
        <v>122</v>
      </c>
      <c r="H8" s="46" t="s">
        <v>123</v>
      </c>
      <c r="I8" s="46" t="s">
        <v>124</v>
      </c>
      <c r="J8" s="46" t="s">
        <v>125</v>
      </c>
      <c r="K8" s="46" t="s">
        <v>126</v>
      </c>
      <c r="L8" s="46" t="s">
        <v>127</v>
      </c>
      <c r="M8" s="45" t="s">
        <v>128</v>
      </c>
      <c r="N8" s="45" t="s">
        <v>129</v>
      </c>
      <c r="O8" s="45" t="s">
        <v>130</v>
      </c>
      <c r="P8" s="46" t="s">
        <v>131</v>
      </c>
      <c r="R8" s="47" t="s">
        <v>132</v>
      </c>
    </row>
    <row r="9" spans="1:18" ht="18" customHeight="1" x14ac:dyDescent="0.25">
      <c r="B9" s="48">
        <f>IF(C9="","",COUNT($C$9:C9))</f>
        <v>1</v>
      </c>
      <c r="C9" s="49">
        <v>46392</v>
      </c>
      <c r="D9" s="50">
        <v>0.58333333333333337</v>
      </c>
      <c r="E9" s="51" t="s">
        <v>133</v>
      </c>
      <c r="F9" s="52" t="str">
        <f t="shared" ref="F9:F72" si="0">IF(OR(C9="",E9=""),"",IFERROR(INDEX(CondService,MATCH(E9,CondNoms,0))&amp;"","Conducteur inconnu"))</f>
        <v>Service technique</v>
      </c>
      <c r="G9" s="51" t="s">
        <v>134</v>
      </c>
      <c r="H9" s="51" t="s">
        <v>135</v>
      </c>
      <c r="I9" s="51" t="s">
        <v>136</v>
      </c>
      <c r="J9" s="51" t="s">
        <v>8</v>
      </c>
      <c r="K9" s="53">
        <v>38740</v>
      </c>
      <c r="L9" s="53">
        <v>38831</v>
      </c>
      <c r="M9" s="54">
        <f t="shared" ref="M9:M72" si="1">IF(OR(K9="",L9=""),"",L9-K9)</f>
        <v>91</v>
      </c>
      <c r="N9" s="55">
        <f>IF(OR(C9="",K9=""),"",K9-N(KmOuverture))</f>
        <v>0</v>
      </c>
      <c r="O9" s="56" t="str">
        <f>IF(C9="","",IF(OR(E9="",G9="",H9="",J9="",K9="",L9="",AND(J9="Professionnel",I9="")),"Incomplet",IF(FALSE,"",IF(L9&lt;K9,"Compteur incohérent",IF(AND(ISNUMBER(N9),N9&gt;ToleranceKm),"Km non enregistrés",IF(AND(ISNUMBER(N9),N9&lt;-ToleranceKm),"Chevauchement",IF(AND(J9="Personnel",UsagePrive="Non"),"Usage privé non autorisé","Conforme")))))))</f>
        <v>Conforme</v>
      </c>
      <c r="P9" s="51"/>
      <c r="R9" s="57" t="str">
        <f>IF(AND($E9=RelConducteur,$J9="Professionnel",ISNUMBER($C9),$C9&gt;=RelDebut,$C9&lt;=RelFin),COUNTIFS($E$9:$E9,RelConducteur,$J$9:$J9,"Professionnel",$C$9:$C9,"&gt;="&amp;RelDebut,$C$9:$C9,"&lt;="&amp;RelFin),"")</f>
        <v/>
      </c>
    </row>
    <row r="10" spans="1:18" ht="18" customHeight="1" x14ac:dyDescent="0.25">
      <c r="B10" s="48">
        <f>IF(C10="","",COUNT($C$9:C10))</f>
        <v>2</v>
      </c>
      <c r="C10" s="49">
        <v>46393</v>
      </c>
      <c r="D10" s="50">
        <v>0.3125</v>
      </c>
      <c r="E10" s="51" t="s">
        <v>133</v>
      </c>
      <c r="F10" s="52" t="str">
        <f t="shared" si="0"/>
        <v>Service technique</v>
      </c>
      <c r="G10" s="51" t="s">
        <v>134</v>
      </c>
      <c r="H10" s="51" t="s">
        <v>137</v>
      </c>
      <c r="I10" s="51" t="s">
        <v>138</v>
      </c>
      <c r="J10" s="51" t="s">
        <v>8</v>
      </c>
      <c r="K10" s="53">
        <v>38831</v>
      </c>
      <c r="L10" s="53">
        <v>38898</v>
      </c>
      <c r="M10" s="54">
        <f t="shared" si="1"/>
        <v>67</v>
      </c>
      <c r="N10" s="55">
        <f t="shared" ref="N10:N73" si="2">IF(OR(C10="",K10="",L9=""),"",K10-L9)</f>
        <v>0</v>
      </c>
      <c r="O10" s="56" t="str">
        <f t="shared" ref="O10:O73" si="3">IF(C10="","",IF(OR(E10="",G10="",H10="",J10="",K10="",L10="",AND(J10="Professionnel",I10="")),"Incomplet",IF(AND(ISNUMBER(C9),C10&lt;C9),"Ordre des dates",IF(L10&lt;K10,"Compteur incohérent",IF(AND(ISNUMBER(N10),N10&gt;ToleranceKm),"Km non enregistrés",IF(AND(ISNUMBER(N10),N10&lt;-ToleranceKm),"Chevauchement",IF(AND(J10="Personnel",UsagePrive="Non"),"Usage privé non autorisé","Conforme")))))))</f>
        <v>Conforme</v>
      </c>
      <c r="P10" s="51"/>
      <c r="R10" s="57" t="str">
        <f>IF(AND($E10=RelConducteur,$J10="Professionnel",ISNUMBER($C10),$C10&gt;=RelDebut,$C10&lt;=RelFin),COUNTIFS($E$9:$E10,RelConducteur,$J$9:$J10,"Professionnel",$C$9:$C10,"&gt;="&amp;RelDebut,$C$9:$C10,"&lt;="&amp;RelFin),"")</f>
        <v/>
      </c>
    </row>
    <row r="11" spans="1:18" ht="18" customHeight="1" x14ac:dyDescent="0.25">
      <c r="B11" s="48">
        <f>IF(C11="","",COUNT($C$9:C11))</f>
        <v>3</v>
      </c>
      <c r="C11" s="49">
        <v>46393</v>
      </c>
      <c r="D11" s="50">
        <v>0.58333333333333337</v>
      </c>
      <c r="E11" s="51" t="s">
        <v>139</v>
      </c>
      <c r="F11" s="52" t="str">
        <f t="shared" si="0"/>
        <v>Service technique</v>
      </c>
      <c r="G11" s="51" t="s">
        <v>134</v>
      </c>
      <c r="H11" s="51" t="s">
        <v>140</v>
      </c>
      <c r="I11" s="51" t="s">
        <v>141</v>
      </c>
      <c r="J11" s="51" t="s">
        <v>8</v>
      </c>
      <c r="K11" s="53">
        <v>38898</v>
      </c>
      <c r="L11" s="53">
        <v>38923</v>
      </c>
      <c r="M11" s="54">
        <f t="shared" si="1"/>
        <v>25</v>
      </c>
      <c r="N11" s="55">
        <f t="shared" si="2"/>
        <v>0</v>
      </c>
      <c r="O11" s="56" t="str">
        <f t="shared" si="3"/>
        <v>Conforme</v>
      </c>
      <c r="P11" s="51"/>
      <c r="R11" s="57" t="str">
        <f>IF(AND($E11=RelConducteur,$J11="Professionnel",ISNUMBER($C11),$C11&gt;=RelDebut,$C11&lt;=RelFin),COUNTIFS($E$9:$E11,RelConducteur,$J$9:$J11,"Professionnel",$C$9:$C11,"&gt;="&amp;RelDebut,$C$9:$C11,"&lt;="&amp;RelFin),"")</f>
        <v/>
      </c>
    </row>
    <row r="12" spans="1:18" ht="18" customHeight="1" x14ac:dyDescent="0.25">
      <c r="B12" s="48">
        <f>IF(C12="","",COUNT($C$9:C12))</f>
        <v>4</v>
      </c>
      <c r="C12" s="49">
        <v>46394</v>
      </c>
      <c r="D12" s="50">
        <v>0.35416666666666669</v>
      </c>
      <c r="E12" s="51" t="s">
        <v>139</v>
      </c>
      <c r="F12" s="52" t="str">
        <f t="shared" si="0"/>
        <v>Service technique</v>
      </c>
      <c r="G12" s="51" t="s">
        <v>134</v>
      </c>
      <c r="H12" s="51" t="s">
        <v>140</v>
      </c>
      <c r="I12" s="51" t="s">
        <v>141</v>
      </c>
      <c r="J12" s="51" t="s">
        <v>8</v>
      </c>
      <c r="K12" s="53">
        <v>38923</v>
      </c>
      <c r="L12" s="53">
        <v>38944</v>
      </c>
      <c r="M12" s="54">
        <f t="shared" si="1"/>
        <v>21</v>
      </c>
      <c r="N12" s="55">
        <f t="shared" si="2"/>
        <v>0</v>
      </c>
      <c r="O12" s="56" t="str">
        <f t="shared" si="3"/>
        <v>Conforme</v>
      </c>
      <c r="P12" s="51"/>
      <c r="R12" s="57" t="str">
        <f>IF(AND($E12=RelConducteur,$J12="Professionnel",ISNUMBER($C12),$C12&gt;=RelDebut,$C12&lt;=RelFin),COUNTIFS($E$9:$E12,RelConducteur,$J$9:$J12,"Professionnel",$C$9:$C12,"&gt;="&amp;RelDebut,$C$9:$C12,"&lt;="&amp;RelFin),"")</f>
        <v/>
      </c>
    </row>
    <row r="13" spans="1:18" ht="18" customHeight="1" x14ac:dyDescent="0.25">
      <c r="B13" s="48">
        <f>IF(C13="","",COUNT($C$9:C13))</f>
        <v>5</v>
      </c>
      <c r="C13" s="49">
        <v>46395</v>
      </c>
      <c r="D13" s="50">
        <v>0.33333333333333331</v>
      </c>
      <c r="E13" s="51" t="s">
        <v>133</v>
      </c>
      <c r="F13" s="52" t="str">
        <f t="shared" si="0"/>
        <v>Service technique</v>
      </c>
      <c r="G13" s="51" t="s">
        <v>134</v>
      </c>
      <c r="H13" s="51" t="s">
        <v>135</v>
      </c>
      <c r="I13" s="51" t="s">
        <v>136</v>
      </c>
      <c r="J13" s="51" t="s">
        <v>8</v>
      </c>
      <c r="K13" s="53">
        <v>38944</v>
      </c>
      <c r="L13" s="53">
        <v>39036</v>
      </c>
      <c r="M13" s="54">
        <f t="shared" si="1"/>
        <v>92</v>
      </c>
      <c r="N13" s="55">
        <f t="shared" si="2"/>
        <v>0</v>
      </c>
      <c r="O13" s="56" t="str">
        <f t="shared" si="3"/>
        <v>Conforme</v>
      </c>
      <c r="P13" s="51"/>
      <c r="R13" s="57" t="str">
        <f>IF(AND($E13=RelConducteur,$J13="Professionnel",ISNUMBER($C13),$C13&gt;=RelDebut,$C13&lt;=RelFin),COUNTIFS($E$9:$E13,RelConducteur,$J$9:$J13,"Professionnel",$C$9:$C13,"&gt;="&amp;RelDebut,$C$9:$C13,"&lt;="&amp;RelFin),"")</f>
        <v/>
      </c>
    </row>
    <row r="14" spans="1:18" ht="18" customHeight="1" x14ac:dyDescent="0.25">
      <c r="B14" s="48">
        <f>IF(C14="","",COUNT($C$9:C14))</f>
        <v>6</v>
      </c>
      <c r="C14" s="49">
        <v>46398</v>
      </c>
      <c r="D14" s="50">
        <v>0.33333333333333331</v>
      </c>
      <c r="E14" s="51" t="s">
        <v>139</v>
      </c>
      <c r="F14" s="52" t="str">
        <f t="shared" si="0"/>
        <v>Service technique</v>
      </c>
      <c r="G14" s="51" t="s">
        <v>134</v>
      </c>
      <c r="H14" s="51" t="s">
        <v>137</v>
      </c>
      <c r="I14" s="51" t="s">
        <v>138</v>
      </c>
      <c r="J14" s="51" t="s">
        <v>8</v>
      </c>
      <c r="K14" s="53">
        <v>39036</v>
      </c>
      <c r="L14" s="53">
        <v>39102</v>
      </c>
      <c r="M14" s="54">
        <f t="shared" si="1"/>
        <v>66</v>
      </c>
      <c r="N14" s="55">
        <f t="shared" si="2"/>
        <v>0</v>
      </c>
      <c r="O14" s="56" t="str">
        <f t="shared" si="3"/>
        <v>Conforme</v>
      </c>
      <c r="P14" s="51"/>
      <c r="R14" s="57" t="str">
        <f>IF(AND($E14=RelConducteur,$J14="Professionnel",ISNUMBER($C14),$C14&gt;=RelDebut,$C14&lt;=RelFin),COUNTIFS($E$9:$E14,RelConducteur,$J$9:$J14,"Professionnel",$C$9:$C14,"&gt;="&amp;RelDebut,$C$9:$C14,"&lt;="&amp;RelFin),"")</f>
        <v/>
      </c>
    </row>
    <row r="15" spans="1:18" ht="18" customHeight="1" x14ac:dyDescent="0.25">
      <c r="B15" s="48">
        <f>IF(C15="","",COUNT($C$9:C15))</f>
        <v>7</v>
      </c>
      <c r="C15" s="49">
        <v>46399</v>
      </c>
      <c r="D15" s="50">
        <v>0.3125</v>
      </c>
      <c r="E15" s="51" t="s">
        <v>133</v>
      </c>
      <c r="F15" s="52" t="str">
        <f t="shared" si="0"/>
        <v>Service technique</v>
      </c>
      <c r="G15" s="51" t="s">
        <v>134</v>
      </c>
      <c r="H15" s="51" t="s">
        <v>142</v>
      </c>
      <c r="I15" s="51" t="s">
        <v>143</v>
      </c>
      <c r="J15" s="51" t="s">
        <v>8</v>
      </c>
      <c r="K15" s="53">
        <v>39102</v>
      </c>
      <c r="L15" s="53">
        <v>39122</v>
      </c>
      <c r="M15" s="54">
        <f t="shared" si="1"/>
        <v>20</v>
      </c>
      <c r="N15" s="55">
        <f t="shared" si="2"/>
        <v>0</v>
      </c>
      <c r="O15" s="56" t="str">
        <f t="shared" si="3"/>
        <v>Conforme</v>
      </c>
      <c r="P15" s="51"/>
      <c r="R15" s="57" t="str">
        <f>IF(AND($E15=RelConducteur,$J15="Professionnel",ISNUMBER($C15),$C15&gt;=RelDebut,$C15&lt;=RelFin),COUNTIFS($E$9:$E15,RelConducteur,$J$9:$J15,"Professionnel",$C$9:$C15,"&gt;="&amp;RelDebut,$C$9:$C15,"&lt;="&amp;RelFin),"")</f>
        <v/>
      </c>
    </row>
    <row r="16" spans="1:18" ht="18" customHeight="1" x14ac:dyDescent="0.25">
      <c r="B16" s="48">
        <f>IF(C16="","",COUNT($C$9:C16))</f>
        <v>8</v>
      </c>
      <c r="C16" s="49">
        <v>46399</v>
      </c>
      <c r="D16" s="50">
        <v>0.58333333333333337</v>
      </c>
      <c r="E16" s="51" t="s">
        <v>139</v>
      </c>
      <c r="F16" s="52" t="str">
        <f t="shared" si="0"/>
        <v>Service technique</v>
      </c>
      <c r="G16" s="51" t="s">
        <v>134</v>
      </c>
      <c r="H16" s="51" t="s">
        <v>144</v>
      </c>
      <c r="I16" s="51" t="s">
        <v>145</v>
      </c>
      <c r="J16" s="51" t="s">
        <v>8</v>
      </c>
      <c r="K16" s="53">
        <v>39122</v>
      </c>
      <c r="L16" s="53">
        <v>39150</v>
      </c>
      <c r="M16" s="54">
        <f t="shared" si="1"/>
        <v>28</v>
      </c>
      <c r="N16" s="55">
        <f t="shared" si="2"/>
        <v>0</v>
      </c>
      <c r="O16" s="56" t="str">
        <f t="shared" si="3"/>
        <v>Conforme</v>
      </c>
      <c r="P16" s="51"/>
      <c r="R16" s="57" t="str">
        <f>IF(AND($E16=RelConducteur,$J16="Professionnel",ISNUMBER($C16),$C16&gt;=RelDebut,$C16&lt;=RelFin),COUNTIFS($E$9:$E16,RelConducteur,$J$9:$J16,"Professionnel",$C$9:$C16,"&gt;="&amp;RelDebut,$C$9:$C16,"&lt;="&amp;RelFin),"")</f>
        <v/>
      </c>
    </row>
    <row r="17" spans="2:18" ht="18" customHeight="1" x14ac:dyDescent="0.25">
      <c r="B17" s="48">
        <f>IF(C17="","",COUNT($C$9:C17))</f>
        <v>9</v>
      </c>
      <c r="C17" s="49">
        <v>46400</v>
      </c>
      <c r="D17" s="50">
        <v>0.35416666666666669</v>
      </c>
      <c r="E17" s="51" t="s">
        <v>139</v>
      </c>
      <c r="F17" s="52" t="str">
        <f t="shared" si="0"/>
        <v>Service technique</v>
      </c>
      <c r="G17" s="51" t="s">
        <v>134</v>
      </c>
      <c r="H17" s="51" t="s">
        <v>146</v>
      </c>
      <c r="I17" s="51" t="s">
        <v>147</v>
      </c>
      <c r="J17" s="51" t="s">
        <v>8</v>
      </c>
      <c r="K17" s="53">
        <v>39150</v>
      </c>
      <c r="L17" s="53">
        <v>39186</v>
      </c>
      <c r="M17" s="54">
        <f t="shared" si="1"/>
        <v>36</v>
      </c>
      <c r="N17" s="55">
        <f t="shared" si="2"/>
        <v>0</v>
      </c>
      <c r="O17" s="56" t="str">
        <f t="shared" si="3"/>
        <v>Conforme</v>
      </c>
      <c r="P17" s="51"/>
      <c r="R17" s="57" t="str">
        <f>IF(AND($E17=RelConducteur,$J17="Professionnel",ISNUMBER($C17),$C17&gt;=RelDebut,$C17&lt;=RelFin),COUNTIFS($E$9:$E17,RelConducteur,$J$9:$J17,"Professionnel",$C$9:$C17,"&gt;="&amp;RelDebut,$C$9:$C17,"&lt;="&amp;RelFin),"")</f>
        <v/>
      </c>
    </row>
    <row r="18" spans="2:18" ht="18" customHeight="1" x14ac:dyDescent="0.25">
      <c r="B18" s="48">
        <f>IF(C18="","",COUNT($C$9:C18))</f>
        <v>10</v>
      </c>
      <c r="C18" s="49">
        <v>46400</v>
      </c>
      <c r="D18" s="50">
        <v>0.4375</v>
      </c>
      <c r="E18" s="51" t="s">
        <v>148</v>
      </c>
      <c r="F18" s="52" t="str">
        <f t="shared" si="0"/>
        <v>Service commercial</v>
      </c>
      <c r="G18" s="51" t="s">
        <v>134</v>
      </c>
      <c r="H18" s="51" t="s">
        <v>149</v>
      </c>
      <c r="I18" s="51" t="s">
        <v>150</v>
      </c>
      <c r="J18" s="51" t="s">
        <v>8</v>
      </c>
      <c r="K18" s="53">
        <v>39186</v>
      </c>
      <c r="L18" s="53">
        <v>39462</v>
      </c>
      <c r="M18" s="54">
        <f t="shared" si="1"/>
        <v>276</v>
      </c>
      <c r="N18" s="55">
        <f t="shared" si="2"/>
        <v>0</v>
      </c>
      <c r="O18" s="56" t="str">
        <f t="shared" si="3"/>
        <v>Conforme</v>
      </c>
      <c r="P18" s="51"/>
      <c r="R18" s="57" t="str">
        <f>IF(AND($E18=RelConducteur,$J18="Professionnel",ISNUMBER($C18),$C18&gt;=RelDebut,$C18&lt;=RelFin),COUNTIFS($E$9:$E18,RelConducteur,$J$9:$J18,"Professionnel",$C$9:$C18,"&gt;="&amp;RelDebut,$C$9:$C18,"&lt;="&amp;RelFin),"")</f>
        <v/>
      </c>
    </row>
    <row r="19" spans="2:18" ht="18" customHeight="1" x14ac:dyDescent="0.25">
      <c r="B19" s="48">
        <f>IF(C19="","",COUNT($C$9:C19))</f>
        <v>11</v>
      </c>
      <c r="C19" s="49">
        <v>46401</v>
      </c>
      <c r="D19" s="50">
        <v>0.35416666666666669</v>
      </c>
      <c r="E19" s="51" t="s">
        <v>133</v>
      </c>
      <c r="F19" s="52" t="str">
        <f t="shared" si="0"/>
        <v>Service technique</v>
      </c>
      <c r="G19" s="51" t="s">
        <v>134</v>
      </c>
      <c r="H19" s="51" t="s">
        <v>151</v>
      </c>
      <c r="I19" s="51" t="s">
        <v>152</v>
      </c>
      <c r="J19" s="51" t="s">
        <v>8</v>
      </c>
      <c r="K19" s="53">
        <v>39462</v>
      </c>
      <c r="L19" s="53">
        <v>39515</v>
      </c>
      <c r="M19" s="54">
        <f t="shared" si="1"/>
        <v>53</v>
      </c>
      <c r="N19" s="55">
        <f t="shared" si="2"/>
        <v>0</v>
      </c>
      <c r="O19" s="56" t="str">
        <f t="shared" si="3"/>
        <v>Conforme</v>
      </c>
      <c r="P19" s="51"/>
      <c r="R19" s="57" t="str">
        <f>IF(AND($E19=RelConducteur,$J19="Professionnel",ISNUMBER($C19),$C19&gt;=RelDebut,$C19&lt;=RelFin),COUNTIFS($E$9:$E19,RelConducteur,$J$9:$J19,"Professionnel",$C$9:$C19,"&gt;="&amp;RelDebut,$C$9:$C19,"&lt;="&amp;RelFin),"")</f>
        <v/>
      </c>
    </row>
    <row r="20" spans="2:18" ht="18" customHeight="1" x14ac:dyDescent="0.25">
      <c r="B20" s="48">
        <f>IF(C20="","",COUNT($C$9:C20))</f>
        <v>12</v>
      </c>
      <c r="C20" s="49">
        <v>46402</v>
      </c>
      <c r="D20" s="50">
        <v>0.33333333333333331</v>
      </c>
      <c r="E20" s="51" t="s">
        <v>139</v>
      </c>
      <c r="F20" s="52" t="str">
        <f t="shared" si="0"/>
        <v>Service technique</v>
      </c>
      <c r="G20" s="51" t="s">
        <v>134</v>
      </c>
      <c r="H20" s="51" t="s">
        <v>146</v>
      </c>
      <c r="I20" s="51" t="s">
        <v>147</v>
      </c>
      <c r="J20" s="51" t="s">
        <v>8</v>
      </c>
      <c r="K20" s="53">
        <v>39515</v>
      </c>
      <c r="L20" s="53">
        <v>39548</v>
      </c>
      <c r="M20" s="54">
        <f t="shared" si="1"/>
        <v>33</v>
      </c>
      <c r="N20" s="55">
        <f t="shared" si="2"/>
        <v>0</v>
      </c>
      <c r="O20" s="56" t="str">
        <f t="shared" si="3"/>
        <v>Conforme</v>
      </c>
      <c r="P20" s="51"/>
      <c r="R20" s="57" t="str">
        <f>IF(AND($E20=RelConducteur,$J20="Professionnel",ISNUMBER($C20),$C20&gt;=RelDebut,$C20&lt;=RelFin),COUNTIFS($E$9:$E20,RelConducteur,$J$9:$J20,"Professionnel",$C$9:$C20,"&gt;="&amp;RelDebut,$C$9:$C20,"&lt;="&amp;RelFin),"")</f>
        <v/>
      </c>
    </row>
    <row r="21" spans="2:18" ht="18" customHeight="1" x14ac:dyDescent="0.25">
      <c r="B21" s="48">
        <f>IF(C21="","",COUNT($C$9:C21))</f>
        <v>13</v>
      </c>
      <c r="C21" s="49">
        <v>46402</v>
      </c>
      <c r="D21" s="50">
        <v>0.58333333333333337</v>
      </c>
      <c r="E21" s="51" t="s">
        <v>133</v>
      </c>
      <c r="F21" s="52" t="str">
        <f t="shared" si="0"/>
        <v>Service technique</v>
      </c>
      <c r="G21" s="51" t="s">
        <v>134</v>
      </c>
      <c r="H21" s="51" t="s">
        <v>137</v>
      </c>
      <c r="I21" s="51" t="s">
        <v>138</v>
      </c>
      <c r="J21" s="51" t="s">
        <v>8</v>
      </c>
      <c r="K21" s="53">
        <v>39548</v>
      </c>
      <c r="L21" s="53">
        <v>39611</v>
      </c>
      <c r="M21" s="54">
        <f t="shared" si="1"/>
        <v>63</v>
      </c>
      <c r="N21" s="55">
        <f t="shared" si="2"/>
        <v>0</v>
      </c>
      <c r="O21" s="56" t="str">
        <f t="shared" si="3"/>
        <v>Conforme</v>
      </c>
      <c r="P21" s="51"/>
      <c r="R21" s="57" t="str">
        <f>IF(AND($E21=RelConducteur,$J21="Professionnel",ISNUMBER($C21),$C21&gt;=RelDebut,$C21&lt;=RelFin),COUNTIFS($E$9:$E21,RelConducteur,$J$9:$J21,"Professionnel",$C$9:$C21,"&gt;="&amp;RelDebut,$C$9:$C21,"&lt;="&amp;RelFin),"")</f>
        <v/>
      </c>
    </row>
    <row r="22" spans="2:18" ht="18" customHeight="1" x14ac:dyDescent="0.25">
      <c r="B22" s="48">
        <f>IF(C22="","",COUNT($C$9:C22))</f>
        <v>14</v>
      </c>
      <c r="C22" s="49">
        <v>46405</v>
      </c>
      <c r="D22" s="50">
        <v>0.33333333333333331</v>
      </c>
      <c r="E22" s="51" t="s">
        <v>133</v>
      </c>
      <c r="F22" s="52" t="str">
        <f t="shared" si="0"/>
        <v>Service technique</v>
      </c>
      <c r="G22" s="51" t="s">
        <v>134</v>
      </c>
      <c r="H22" s="51" t="s">
        <v>140</v>
      </c>
      <c r="I22" s="51" t="s">
        <v>141</v>
      </c>
      <c r="J22" s="51" t="s">
        <v>8</v>
      </c>
      <c r="K22" s="53">
        <v>39611</v>
      </c>
      <c r="L22" s="53">
        <v>39634</v>
      </c>
      <c r="M22" s="54">
        <f t="shared" si="1"/>
        <v>23</v>
      </c>
      <c r="N22" s="55">
        <f t="shared" si="2"/>
        <v>0</v>
      </c>
      <c r="O22" s="56" t="str">
        <f t="shared" si="3"/>
        <v>Conforme</v>
      </c>
      <c r="P22" s="51"/>
      <c r="R22" s="57" t="str">
        <f>IF(AND($E22=RelConducteur,$J22="Professionnel",ISNUMBER($C22),$C22&gt;=RelDebut,$C22&lt;=RelFin),COUNTIFS($E$9:$E22,RelConducteur,$J$9:$J22,"Professionnel",$C$9:$C22,"&gt;="&amp;RelDebut,$C$9:$C22,"&lt;="&amp;RelFin),"")</f>
        <v/>
      </c>
    </row>
    <row r="23" spans="2:18" ht="18" customHeight="1" x14ac:dyDescent="0.25">
      <c r="B23" s="48">
        <f>IF(C23="","",COUNT($C$9:C23))</f>
        <v>15</v>
      </c>
      <c r="C23" s="49">
        <v>46405</v>
      </c>
      <c r="D23" s="50">
        <v>0.4375</v>
      </c>
      <c r="E23" s="51" t="s">
        <v>148</v>
      </c>
      <c r="F23" s="52" t="str">
        <f t="shared" si="0"/>
        <v>Service commercial</v>
      </c>
      <c r="G23" s="51" t="s">
        <v>134</v>
      </c>
      <c r="H23" s="51" t="s">
        <v>153</v>
      </c>
      <c r="I23" s="51" t="s">
        <v>154</v>
      </c>
      <c r="J23" s="51" t="s">
        <v>8</v>
      </c>
      <c r="K23" s="53">
        <v>39634</v>
      </c>
      <c r="L23" s="53">
        <v>39778</v>
      </c>
      <c r="M23" s="54">
        <f t="shared" si="1"/>
        <v>144</v>
      </c>
      <c r="N23" s="55">
        <f t="shared" si="2"/>
        <v>0</v>
      </c>
      <c r="O23" s="56" t="str">
        <f t="shared" si="3"/>
        <v>Conforme</v>
      </c>
      <c r="P23" s="51"/>
      <c r="R23" s="57" t="str">
        <f>IF(AND($E23=RelConducteur,$J23="Professionnel",ISNUMBER($C23),$C23&gt;=RelDebut,$C23&lt;=RelFin),COUNTIFS($E$9:$E23,RelConducteur,$J$9:$J23,"Professionnel",$C$9:$C23,"&gt;="&amp;RelDebut,$C$9:$C23,"&lt;="&amp;RelFin),"")</f>
        <v/>
      </c>
    </row>
    <row r="24" spans="2:18" ht="18" customHeight="1" x14ac:dyDescent="0.25">
      <c r="B24" s="48">
        <f>IF(C24="","",COUNT($C$9:C24))</f>
        <v>16</v>
      </c>
      <c r="C24" s="49">
        <v>46405</v>
      </c>
      <c r="D24" s="50">
        <v>0.75</v>
      </c>
      <c r="E24" s="51" t="s">
        <v>139</v>
      </c>
      <c r="F24" s="52" t="str">
        <f t="shared" si="0"/>
        <v>Service technique</v>
      </c>
      <c r="G24" s="51" t="s">
        <v>134</v>
      </c>
      <c r="H24" s="51" t="s">
        <v>155</v>
      </c>
      <c r="I24" s="51" t="s">
        <v>156</v>
      </c>
      <c r="J24" s="51" t="s">
        <v>9</v>
      </c>
      <c r="K24" s="53">
        <v>39778</v>
      </c>
      <c r="L24" s="53">
        <v>39802</v>
      </c>
      <c r="M24" s="54">
        <f t="shared" si="1"/>
        <v>24</v>
      </c>
      <c r="N24" s="55">
        <f t="shared" si="2"/>
        <v>0</v>
      </c>
      <c r="O24" s="56" t="str">
        <f t="shared" si="3"/>
        <v>Conforme</v>
      </c>
      <c r="P24" s="51"/>
      <c r="R24" s="57" t="str">
        <f>IF(AND($E24=RelConducteur,$J24="Professionnel",ISNUMBER($C24),$C24&gt;=RelDebut,$C24&lt;=RelFin),COUNTIFS($E$9:$E24,RelConducteur,$J$9:$J24,"Professionnel",$C$9:$C24,"&gt;="&amp;RelDebut,$C$9:$C24,"&lt;="&amp;RelFin),"")</f>
        <v/>
      </c>
    </row>
    <row r="25" spans="2:18" ht="18" customHeight="1" x14ac:dyDescent="0.25">
      <c r="B25" s="48">
        <f>IF(C25="","",COUNT($C$9:C25))</f>
        <v>17</v>
      </c>
      <c r="C25" s="49">
        <v>46406</v>
      </c>
      <c r="D25" s="50">
        <v>0.41666666666666669</v>
      </c>
      <c r="E25" s="51" t="s">
        <v>148</v>
      </c>
      <c r="F25" s="52" t="str">
        <f t="shared" si="0"/>
        <v>Service commercial</v>
      </c>
      <c r="G25" s="51" t="s">
        <v>134</v>
      </c>
      <c r="H25" s="51" t="s">
        <v>157</v>
      </c>
      <c r="I25" s="51" t="s">
        <v>158</v>
      </c>
      <c r="J25" s="51" t="s">
        <v>8</v>
      </c>
      <c r="K25" s="53">
        <v>39802</v>
      </c>
      <c r="L25" s="53">
        <v>40015</v>
      </c>
      <c r="M25" s="54">
        <f t="shared" si="1"/>
        <v>213</v>
      </c>
      <c r="N25" s="55">
        <f t="shared" si="2"/>
        <v>0</v>
      </c>
      <c r="O25" s="56" t="str">
        <f t="shared" si="3"/>
        <v>Conforme</v>
      </c>
      <c r="P25" s="51"/>
      <c r="R25" s="57" t="str">
        <f>IF(AND($E25=RelConducteur,$J25="Professionnel",ISNUMBER($C25),$C25&gt;=RelDebut,$C25&lt;=RelFin),COUNTIFS($E$9:$E25,RelConducteur,$J$9:$J25,"Professionnel",$C$9:$C25,"&gt;="&amp;RelDebut,$C$9:$C25,"&lt;="&amp;RelFin),"")</f>
        <v/>
      </c>
    </row>
    <row r="26" spans="2:18" ht="18" customHeight="1" x14ac:dyDescent="0.25">
      <c r="B26" s="48">
        <f>IF(C26="","",COUNT($C$9:C26))</f>
        <v>18</v>
      </c>
      <c r="C26" s="49">
        <v>46406</v>
      </c>
      <c r="D26" s="50">
        <v>0.75</v>
      </c>
      <c r="E26" s="51" t="s">
        <v>139</v>
      </c>
      <c r="F26" s="52" t="str">
        <f t="shared" si="0"/>
        <v>Service technique</v>
      </c>
      <c r="G26" s="51" t="s">
        <v>134</v>
      </c>
      <c r="H26" s="51" t="s">
        <v>155</v>
      </c>
      <c r="I26" s="51" t="s">
        <v>156</v>
      </c>
      <c r="J26" s="51" t="s">
        <v>9</v>
      </c>
      <c r="K26" s="53">
        <v>40015</v>
      </c>
      <c r="L26" s="53">
        <v>40039</v>
      </c>
      <c r="M26" s="54">
        <f t="shared" si="1"/>
        <v>24</v>
      </c>
      <c r="N26" s="55">
        <f t="shared" si="2"/>
        <v>0</v>
      </c>
      <c r="O26" s="56" t="str">
        <f t="shared" si="3"/>
        <v>Conforme</v>
      </c>
      <c r="P26" s="51"/>
      <c r="R26" s="57" t="str">
        <f>IF(AND($E26=RelConducteur,$J26="Professionnel",ISNUMBER($C26),$C26&gt;=RelDebut,$C26&lt;=RelFin),COUNTIFS($E$9:$E26,RelConducteur,$J$9:$J26,"Professionnel",$C$9:$C26,"&gt;="&amp;RelDebut,$C$9:$C26,"&lt;="&amp;RelFin),"")</f>
        <v/>
      </c>
    </row>
    <row r="27" spans="2:18" ht="18" customHeight="1" x14ac:dyDescent="0.25">
      <c r="B27" s="48">
        <f>IF(C27="","",COUNT($C$9:C27))</f>
        <v>19</v>
      </c>
      <c r="C27" s="49">
        <v>46407</v>
      </c>
      <c r="D27" s="50">
        <v>0.41666666666666669</v>
      </c>
      <c r="E27" s="51" t="s">
        <v>148</v>
      </c>
      <c r="F27" s="52" t="str">
        <f t="shared" si="0"/>
        <v>Service commercial</v>
      </c>
      <c r="G27" s="51" t="s">
        <v>134</v>
      </c>
      <c r="H27" s="51" t="s">
        <v>159</v>
      </c>
      <c r="I27" s="51" t="s">
        <v>160</v>
      </c>
      <c r="J27" s="51" t="s">
        <v>8</v>
      </c>
      <c r="K27" s="53">
        <v>40039</v>
      </c>
      <c r="L27" s="53">
        <v>40172</v>
      </c>
      <c r="M27" s="54">
        <f t="shared" si="1"/>
        <v>133</v>
      </c>
      <c r="N27" s="55">
        <f t="shared" si="2"/>
        <v>0</v>
      </c>
      <c r="O27" s="56" t="str">
        <f t="shared" si="3"/>
        <v>Conforme</v>
      </c>
      <c r="P27" s="51"/>
      <c r="R27" s="57" t="str">
        <f>IF(AND($E27=RelConducteur,$J27="Professionnel",ISNUMBER($C27),$C27&gt;=RelDebut,$C27&lt;=RelFin),COUNTIFS($E$9:$E27,RelConducteur,$J$9:$J27,"Professionnel",$C$9:$C27,"&gt;="&amp;RelDebut,$C$9:$C27,"&lt;="&amp;RelFin),"")</f>
        <v/>
      </c>
    </row>
    <row r="28" spans="2:18" ht="18" customHeight="1" x14ac:dyDescent="0.25">
      <c r="B28" s="48">
        <f>IF(C28="","",COUNT($C$9:C28))</f>
        <v>20</v>
      </c>
      <c r="C28" s="49">
        <v>46407</v>
      </c>
      <c r="D28" s="50">
        <v>0.75</v>
      </c>
      <c r="E28" s="51" t="s">
        <v>139</v>
      </c>
      <c r="F28" s="52" t="str">
        <f t="shared" si="0"/>
        <v>Service technique</v>
      </c>
      <c r="G28" s="51" t="s">
        <v>134</v>
      </c>
      <c r="H28" s="51" t="s">
        <v>155</v>
      </c>
      <c r="I28" s="51" t="s">
        <v>156</v>
      </c>
      <c r="J28" s="51" t="s">
        <v>9</v>
      </c>
      <c r="K28" s="53">
        <v>40172</v>
      </c>
      <c r="L28" s="53">
        <v>40196</v>
      </c>
      <c r="M28" s="54">
        <f t="shared" si="1"/>
        <v>24</v>
      </c>
      <c r="N28" s="55">
        <f t="shared" si="2"/>
        <v>0</v>
      </c>
      <c r="O28" s="56" t="str">
        <f t="shared" si="3"/>
        <v>Conforme</v>
      </c>
      <c r="P28" s="51"/>
      <c r="R28" s="57" t="str">
        <f>IF(AND($E28=RelConducteur,$J28="Professionnel",ISNUMBER($C28),$C28&gt;=RelDebut,$C28&lt;=RelFin),COUNTIFS($E$9:$E28,RelConducteur,$J$9:$J28,"Professionnel",$C$9:$C28,"&gt;="&amp;RelDebut,$C$9:$C28,"&lt;="&amp;RelFin),"")</f>
        <v/>
      </c>
    </row>
    <row r="29" spans="2:18" ht="18" customHeight="1" x14ac:dyDescent="0.25">
      <c r="B29" s="48">
        <f>IF(C29="","",COUNT($C$9:C29))</f>
        <v>21</v>
      </c>
      <c r="C29" s="49">
        <v>46408</v>
      </c>
      <c r="D29" s="50">
        <v>0.75</v>
      </c>
      <c r="E29" s="51" t="s">
        <v>139</v>
      </c>
      <c r="F29" s="52" t="str">
        <f t="shared" si="0"/>
        <v>Service technique</v>
      </c>
      <c r="G29" s="51" t="s">
        <v>134</v>
      </c>
      <c r="H29" s="51" t="s">
        <v>155</v>
      </c>
      <c r="I29" s="51" t="s">
        <v>156</v>
      </c>
      <c r="J29" s="51" t="s">
        <v>9</v>
      </c>
      <c r="K29" s="53">
        <v>40196</v>
      </c>
      <c r="L29" s="53">
        <v>40220</v>
      </c>
      <c r="M29" s="54">
        <f t="shared" si="1"/>
        <v>24</v>
      </c>
      <c r="N29" s="55">
        <f t="shared" si="2"/>
        <v>0</v>
      </c>
      <c r="O29" s="56" t="str">
        <f t="shared" si="3"/>
        <v>Conforme</v>
      </c>
      <c r="P29" s="51"/>
      <c r="R29" s="57" t="str">
        <f>IF(AND($E29=RelConducteur,$J29="Professionnel",ISNUMBER($C29),$C29&gt;=RelDebut,$C29&lt;=RelFin),COUNTIFS($E$9:$E29,RelConducteur,$J$9:$J29,"Professionnel",$C$9:$C29,"&gt;="&amp;RelDebut,$C$9:$C29,"&lt;="&amp;RelFin),"")</f>
        <v/>
      </c>
    </row>
    <row r="30" spans="2:18" ht="18" customHeight="1" x14ac:dyDescent="0.25">
      <c r="B30" s="48">
        <f>IF(C30="","",COUNT($C$9:C30))</f>
        <v>22</v>
      </c>
      <c r="C30" s="49">
        <v>46409</v>
      </c>
      <c r="D30" s="50">
        <v>0.35416666666666669</v>
      </c>
      <c r="E30" s="51" t="s">
        <v>133</v>
      </c>
      <c r="F30" s="52" t="str">
        <f t="shared" si="0"/>
        <v>Service technique</v>
      </c>
      <c r="G30" s="51" t="s">
        <v>134</v>
      </c>
      <c r="H30" s="51" t="s">
        <v>151</v>
      </c>
      <c r="I30" s="51" t="s">
        <v>152</v>
      </c>
      <c r="J30" s="51" t="s">
        <v>8</v>
      </c>
      <c r="K30" s="53">
        <v>40220</v>
      </c>
      <c r="L30" s="53">
        <v>40274</v>
      </c>
      <c r="M30" s="54">
        <f t="shared" si="1"/>
        <v>54</v>
      </c>
      <c r="N30" s="55">
        <f t="shared" si="2"/>
        <v>0</v>
      </c>
      <c r="O30" s="56" t="str">
        <f t="shared" si="3"/>
        <v>Conforme</v>
      </c>
      <c r="P30" s="51"/>
      <c r="R30" s="57" t="str">
        <f>IF(AND($E30=RelConducteur,$J30="Professionnel",ISNUMBER($C30),$C30&gt;=RelDebut,$C30&lt;=RelFin),COUNTIFS($E$9:$E30,RelConducteur,$J$9:$J30,"Professionnel",$C$9:$C30,"&gt;="&amp;RelDebut,$C$9:$C30,"&lt;="&amp;RelFin),"")</f>
        <v/>
      </c>
    </row>
    <row r="31" spans="2:18" ht="18" customHeight="1" x14ac:dyDescent="0.25">
      <c r="B31" s="48">
        <f>IF(C31="","",COUNT($C$9:C31))</f>
        <v>23</v>
      </c>
      <c r="C31" s="49">
        <v>46412</v>
      </c>
      <c r="D31" s="50">
        <v>0.3125</v>
      </c>
      <c r="E31" s="51" t="s">
        <v>139</v>
      </c>
      <c r="F31" s="52" t="str">
        <f t="shared" si="0"/>
        <v>Service technique</v>
      </c>
      <c r="G31" s="51" t="s">
        <v>134</v>
      </c>
      <c r="H31" s="51" t="s">
        <v>161</v>
      </c>
      <c r="I31" s="51" t="s">
        <v>162</v>
      </c>
      <c r="J31" s="51" t="s">
        <v>8</v>
      </c>
      <c r="K31" s="53">
        <v>40274</v>
      </c>
      <c r="L31" s="53">
        <v>40299</v>
      </c>
      <c r="M31" s="54">
        <f t="shared" si="1"/>
        <v>25</v>
      </c>
      <c r="N31" s="55">
        <f t="shared" si="2"/>
        <v>0</v>
      </c>
      <c r="O31" s="56" t="str">
        <f t="shared" si="3"/>
        <v>Conforme</v>
      </c>
      <c r="P31" s="51"/>
      <c r="R31" s="57" t="str">
        <f>IF(AND($E31=RelConducteur,$J31="Professionnel",ISNUMBER($C31),$C31&gt;=RelDebut,$C31&lt;=RelFin),COUNTIFS($E$9:$E31,RelConducteur,$J$9:$J31,"Professionnel",$C$9:$C31,"&gt;="&amp;RelDebut,$C$9:$C31,"&lt;="&amp;RelFin),"")</f>
        <v/>
      </c>
    </row>
    <row r="32" spans="2:18" ht="18" customHeight="1" x14ac:dyDescent="0.25">
      <c r="B32" s="48">
        <f>IF(C32="","",COUNT($C$9:C32))</f>
        <v>24</v>
      </c>
      <c r="C32" s="49">
        <v>46412</v>
      </c>
      <c r="D32" s="50">
        <v>0.58333333333333337</v>
      </c>
      <c r="E32" s="51" t="s">
        <v>133</v>
      </c>
      <c r="F32" s="52" t="str">
        <f t="shared" si="0"/>
        <v>Service technique</v>
      </c>
      <c r="G32" s="51" t="s">
        <v>134</v>
      </c>
      <c r="H32" s="51" t="s">
        <v>137</v>
      </c>
      <c r="I32" s="51" t="s">
        <v>138</v>
      </c>
      <c r="J32" s="51" t="s">
        <v>8</v>
      </c>
      <c r="K32" s="53">
        <v>40299</v>
      </c>
      <c r="L32" s="53">
        <v>40365</v>
      </c>
      <c r="M32" s="54">
        <f t="shared" si="1"/>
        <v>66</v>
      </c>
      <c r="N32" s="55">
        <f t="shared" si="2"/>
        <v>0</v>
      </c>
      <c r="O32" s="56" t="str">
        <f t="shared" si="3"/>
        <v>Conforme</v>
      </c>
      <c r="P32" s="51"/>
      <c r="R32" s="57" t="str">
        <f>IF(AND($E32=RelConducteur,$J32="Professionnel",ISNUMBER($C32),$C32&gt;=RelDebut,$C32&lt;=RelFin),COUNTIFS($E$9:$E32,RelConducteur,$J$9:$J32,"Professionnel",$C$9:$C32,"&gt;="&amp;RelDebut,$C$9:$C32,"&lt;="&amp;RelFin),"")</f>
        <v/>
      </c>
    </row>
    <row r="33" spans="2:18" ht="18" customHeight="1" x14ac:dyDescent="0.25">
      <c r="B33" s="48">
        <f>IF(C33="","",COUNT($C$9:C33))</f>
        <v>25</v>
      </c>
      <c r="C33" s="49">
        <v>46414</v>
      </c>
      <c r="D33" s="50">
        <v>0.35416666666666669</v>
      </c>
      <c r="E33" s="51" t="s">
        <v>139</v>
      </c>
      <c r="F33" s="52" t="str">
        <f t="shared" si="0"/>
        <v>Service technique</v>
      </c>
      <c r="G33" s="51" t="s">
        <v>134</v>
      </c>
      <c r="H33" s="51" t="s">
        <v>144</v>
      </c>
      <c r="I33" s="51" t="s">
        <v>145</v>
      </c>
      <c r="J33" s="51" t="s">
        <v>8</v>
      </c>
      <c r="K33" s="53">
        <v>40365</v>
      </c>
      <c r="L33" s="53">
        <v>40397</v>
      </c>
      <c r="M33" s="54">
        <f t="shared" si="1"/>
        <v>32</v>
      </c>
      <c r="N33" s="55">
        <f t="shared" si="2"/>
        <v>0</v>
      </c>
      <c r="O33" s="56" t="str">
        <f t="shared" si="3"/>
        <v>Conforme</v>
      </c>
      <c r="P33" s="51"/>
      <c r="R33" s="57" t="str">
        <f>IF(AND($E33=RelConducteur,$J33="Professionnel",ISNUMBER($C33),$C33&gt;=RelDebut,$C33&lt;=RelFin),COUNTIFS($E$9:$E33,RelConducteur,$J$9:$J33,"Professionnel",$C$9:$C33,"&gt;="&amp;RelDebut,$C$9:$C33,"&lt;="&amp;RelFin),"")</f>
        <v/>
      </c>
    </row>
    <row r="34" spans="2:18" ht="18" customHeight="1" x14ac:dyDescent="0.25">
      <c r="B34" s="48">
        <f>IF(C34="","",COUNT($C$9:C34))</f>
        <v>26</v>
      </c>
      <c r="C34" s="49">
        <v>46415</v>
      </c>
      <c r="D34" s="50">
        <v>0.35416666666666669</v>
      </c>
      <c r="E34" s="51" t="s">
        <v>133</v>
      </c>
      <c r="F34" s="52" t="str">
        <f t="shared" si="0"/>
        <v>Service technique</v>
      </c>
      <c r="G34" s="51" t="s">
        <v>134</v>
      </c>
      <c r="H34" s="51" t="s">
        <v>163</v>
      </c>
      <c r="I34" s="51" t="s">
        <v>164</v>
      </c>
      <c r="J34" s="51" t="s">
        <v>8</v>
      </c>
      <c r="K34" s="53">
        <v>40397</v>
      </c>
      <c r="L34" s="53">
        <v>40423</v>
      </c>
      <c r="M34" s="54">
        <f t="shared" si="1"/>
        <v>26</v>
      </c>
      <c r="N34" s="55">
        <f t="shared" si="2"/>
        <v>0</v>
      </c>
      <c r="O34" s="56" t="str">
        <f t="shared" si="3"/>
        <v>Conforme</v>
      </c>
      <c r="P34" s="51"/>
      <c r="R34" s="57" t="str">
        <f>IF(AND($E34=RelConducteur,$J34="Professionnel",ISNUMBER($C34),$C34&gt;=RelDebut,$C34&lt;=RelFin),COUNTIFS($E$9:$E34,RelConducteur,$J$9:$J34,"Professionnel",$C$9:$C34,"&gt;="&amp;RelDebut,$C$9:$C34,"&lt;="&amp;RelFin),"")</f>
        <v/>
      </c>
    </row>
    <row r="35" spans="2:18" ht="18" customHeight="1" x14ac:dyDescent="0.25">
      <c r="B35" s="48">
        <f>IF(C35="","",COUNT($C$9:C35))</f>
        <v>27</v>
      </c>
      <c r="C35" s="49">
        <v>46415</v>
      </c>
      <c r="D35" s="50">
        <v>0.41666666666666669</v>
      </c>
      <c r="E35" s="51" t="s">
        <v>148</v>
      </c>
      <c r="F35" s="52" t="str">
        <f t="shared" si="0"/>
        <v>Service commercial</v>
      </c>
      <c r="G35" s="51" t="s">
        <v>134</v>
      </c>
      <c r="H35" s="51" t="s">
        <v>157</v>
      </c>
      <c r="I35" s="51" t="s">
        <v>158</v>
      </c>
      <c r="J35" s="51" t="s">
        <v>8</v>
      </c>
      <c r="K35" s="53">
        <v>40423</v>
      </c>
      <c r="L35" s="53">
        <v>40635</v>
      </c>
      <c r="M35" s="54">
        <f t="shared" si="1"/>
        <v>212</v>
      </c>
      <c r="N35" s="55">
        <f t="shared" si="2"/>
        <v>0</v>
      </c>
      <c r="O35" s="56" t="str">
        <f t="shared" si="3"/>
        <v>Conforme</v>
      </c>
      <c r="P35" s="51"/>
      <c r="R35" s="57" t="str">
        <f>IF(AND($E35=RelConducteur,$J35="Professionnel",ISNUMBER($C35),$C35&gt;=RelDebut,$C35&lt;=RelFin),COUNTIFS($E$9:$E35,RelConducteur,$J$9:$J35,"Professionnel",$C$9:$C35,"&gt;="&amp;RelDebut,$C$9:$C35,"&lt;="&amp;RelFin),"")</f>
        <v/>
      </c>
    </row>
    <row r="36" spans="2:18" ht="18" customHeight="1" x14ac:dyDescent="0.25">
      <c r="B36" s="48">
        <f>IF(C36="","",COUNT($C$9:C36))</f>
        <v>28</v>
      </c>
      <c r="C36" s="49">
        <v>46416</v>
      </c>
      <c r="D36" s="50">
        <v>0.35416666666666669</v>
      </c>
      <c r="E36" s="51" t="s">
        <v>139</v>
      </c>
      <c r="F36" s="52" t="str">
        <f t="shared" si="0"/>
        <v>Service technique</v>
      </c>
      <c r="G36" s="51" t="s">
        <v>134</v>
      </c>
      <c r="H36" s="51" t="s">
        <v>165</v>
      </c>
      <c r="I36" s="51" t="s">
        <v>166</v>
      </c>
      <c r="J36" s="51" t="s">
        <v>8</v>
      </c>
      <c r="K36" s="53">
        <v>40635</v>
      </c>
      <c r="L36" s="53">
        <v>40706</v>
      </c>
      <c r="M36" s="54">
        <f t="shared" si="1"/>
        <v>71</v>
      </c>
      <c r="N36" s="55">
        <f t="shared" si="2"/>
        <v>0</v>
      </c>
      <c r="O36" s="56" t="str">
        <f t="shared" si="3"/>
        <v>Conforme</v>
      </c>
      <c r="P36" s="51"/>
      <c r="R36" s="57" t="str">
        <f>IF(AND($E36=RelConducteur,$J36="Professionnel",ISNUMBER($C36),$C36&gt;=RelDebut,$C36&lt;=RelFin),COUNTIFS($E$9:$E36,RelConducteur,$J$9:$J36,"Professionnel",$C$9:$C36,"&gt;="&amp;RelDebut,$C$9:$C36,"&lt;="&amp;RelFin),"")</f>
        <v/>
      </c>
    </row>
    <row r="37" spans="2:18" ht="18" customHeight="1" x14ac:dyDescent="0.25">
      <c r="B37" s="48">
        <f>IF(C37="","",COUNT($C$9:C37))</f>
        <v>29</v>
      </c>
      <c r="C37" s="49">
        <v>46416</v>
      </c>
      <c r="D37" s="50">
        <v>0.41666666666666669</v>
      </c>
      <c r="E37" s="51" t="s">
        <v>148</v>
      </c>
      <c r="F37" s="52" t="str">
        <f t="shared" si="0"/>
        <v>Service commercial</v>
      </c>
      <c r="G37" s="51" t="s">
        <v>134</v>
      </c>
      <c r="H37" s="51" t="s">
        <v>167</v>
      </c>
      <c r="I37" s="51" t="s">
        <v>168</v>
      </c>
      <c r="J37" s="51" t="s">
        <v>8</v>
      </c>
      <c r="K37" s="53">
        <v>40706</v>
      </c>
      <c r="L37" s="53">
        <v>40720</v>
      </c>
      <c r="M37" s="54">
        <f t="shared" si="1"/>
        <v>14</v>
      </c>
      <c r="N37" s="55">
        <f t="shared" si="2"/>
        <v>0</v>
      </c>
      <c r="O37" s="56" t="str">
        <f t="shared" si="3"/>
        <v>Conforme</v>
      </c>
      <c r="P37" s="51"/>
      <c r="R37" s="57" t="str">
        <f>IF(AND($E37=RelConducteur,$J37="Professionnel",ISNUMBER($C37),$C37&gt;=RelDebut,$C37&lt;=RelFin),COUNTIFS($E$9:$E37,RelConducteur,$J$9:$J37,"Professionnel",$C$9:$C37,"&gt;="&amp;RelDebut,$C$9:$C37,"&lt;="&amp;RelFin),"")</f>
        <v/>
      </c>
    </row>
    <row r="38" spans="2:18" ht="18" customHeight="1" x14ac:dyDescent="0.25">
      <c r="B38" s="48">
        <f>IF(C38="","",COUNT($C$9:C38))</f>
        <v>30</v>
      </c>
      <c r="C38" s="49">
        <v>46416</v>
      </c>
      <c r="D38" s="50">
        <v>0.58333333333333337</v>
      </c>
      <c r="E38" s="51" t="s">
        <v>133</v>
      </c>
      <c r="F38" s="52" t="str">
        <f t="shared" si="0"/>
        <v>Service technique</v>
      </c>
      <c r="G38" s="51" t="s">
        <v>134</v>
      </c>
      <c r="H38" s="51" t="s">
        <v>163</v>
      </c>
      <c r="I38" s="51" t="s">
        <v>164</v>
      </c>
      <c r="J38" s="51" t="s">
        <v>8</v>
      </c>
      <c r="K38" s="53">
        <v>40720</v>
      </c>
      <c r="L38" s="53">
        <v>40742</v>
      </c>
      <c r="M38" s="54">
        <f t="shared" si="1"/>
        <v>22</v>
      </c>
      <c r="N38" s="55">
        <f t="shared" si="2"/>
        <v>0</v>
      </c>
      <c r="O38" s="56" t="str">
        <f t="shared" si="3"/>
        <v>Conforme</v>
      </c>
      <c r="P38" s="51"/>
      <c r="R38" s="57" t="str">
        <f>IF(AND($E38=RelConducteur,$J38="Professionnel",ISNUMBER($C38),$C38&gt;=RelDebut,$C38&lt;=RelFin),COUNTIFS($E$9:$E38,RelConducteur,$J$9:$J38,"Professionnel",$C$9:$C38,"&gt;="&amp;RelDebut,$C$9:$C38,"&lt;="&amp;RelFin),"")</f>
        <v/>
      </c>
    </row>
    <row r="39" spans="2:18" ht="18" customHeight="1" x14ac:dyDescent="0.25">
      <c r="B39" s="48">
        <f>IF(C39="","",COUNT($C$9:C39))</f>
        <v>31</v>
      </c>
      <c r="C39" s="49">
        <v>46419</v>
      </c>
      <c r="D39" s="50">
        <v>0.33333333333333331</v>
      </c>
      <c r="E39" s="51" t="s">
        <v>133</v>
      </c>
      <c r="F39" s="52" t="str">
        <f t="shared" si="0"/>
        <v>Service technique</v>
      </c>
      <c r="G39" s="51" t="s">
        <v>134</v>
      </c>
      <c r="H39" s="51" t="s">
        <v>146</v>
      </c>
      <c r="I39" s="51" t="s">
        <v>147</v>
      </c>
      <c r="J39" s="51" t="s">
        <v>8</v>
      </c>
      <c r="K39" s="53">
        <v>40742</v>
      </c>
      <c r="L39" s="53">
        <v>40776</v>
      </c>
      <c r="M39" s="54">
        <f t="shared" si="1"/>
        <v>34</v>
      </c>
      <c r="N39" s="55">
        <f t="shared" si="2"/>
        <v>0</v>
      </c>
      <c r="O39" s="56" t="str">
        <f t="shared" si="3"/>
        <v>Conforme</v>
      </c>
      <c r="P39" s="51"/>
      <c r="R39" s="57" t="str">
        <f>IF(AND($E39=RelConducteur,$J39="Professionnel",ISNUMBER($C39),$C39&gt;=RelDebut,$C39&lt;=RelFin),COUNTIFS($E$9:$E39,RelConducteur,$J$9:$J39,"Professionnel",$C$9:$C39,"&gt;="&amp;RelDebut,$C$9:$C39,"&lt;="&amp;RelFin),"")</f>
        <v/>
      </c>
    </row>
    <row r="40" spans="2:18" ht="18" customHeight="1" x14ac:dyDescent="0.25">
      <c r="B40" s="48">
        <f>IF(C40="","",COUNT($C$9:C40))</f>
        <v>32</v>
      </c>
      <c r="C40" s="49">
        <v>46420</v>
      </c>
      <c r="D40" s="50">
        <v>0.33333333333333331</v>
      </c>
      <c r="E40" s="51" t="s">
        <v>139</v>
      </c>
      <c r="F40" s="52" t="str">
        <f t="shared" si="0"/>
        <v>Service technique</v>
      </c>
      <c r="G40" s="51" t="s">
        <v>134</v>
      </c>
      <c r="H40" s="51" t="s">
        <v>161</v>
      </c>
      <c r="I40" s="51" t="s">
        <v>162</v>
      </c>
      <c r="J40" s="51" t="s">
        <v>8</v>
      </c>
      <c r="K40" s="53">
        <v>40776</v>
      </c>
      <c r="L40" s="53">
        <v>40802</v>
      </c>
      <c r="M40" s="54">
        <f t="shared" si="1"/>
        <v>26</v>
      </c>
      <c r="N40" s="55">
        <f t="shared" si="2"/>
        <v>0</v>
      </c>
      <c r="O40" s="56" t="str">
        <f t="shared" si="3"/>
        <v>Conforme</v>
      </c>
      <c r="P40" s="51"/>
      <c r="R40" s="57" t="str">
        <f>IF(AND($E40=RelConducteur,$J40="Professionnel",ISNUMBER($C40),$C40&gt;=RelDebut,$C40&lt;=RelFin),COUNTIFS($E$9:$E40,RelConducteur,$J$9:$J40,"Professionnel",$C$9:$C40,"&gt;="&amp;RelDebut,$C$9:$C40,"&lt;="&amp;RelFin),"")</f>
        <v/>
      </c>
    </row>
    <row r="41" spans="2:18" ht="18" customHeight="1" x14ac:dyDescent="0.25">
      <c r="B41" s="48">
        <f>IF(C41="","",COUNT($C$9:C41))</f>
        <v>33</v>
      </c>
      <c r="C41" s="49">
        <v>46420</v>
      </c>
      <c r="D41" s="50">
        <v>0.41666666666666669</v>
      </c>
      <c r="E41" s="51" t="s">
        <v>148</v>
      </c>
      <c r="F41" s="52" t="str">
        <f t="shared" si="0"/>
        <v>Service commercial</v>
      </c>
      <c r="G41" s="51" t="s">
        <v>134</v>
      </c>
      <c r="H41" s="51" t="s">
        <v>153</v>
      </c>
      <c r="I41" s="51" t="s">
        <v>154</v>
      </c>
      <c r="J41" s="51" t="s">
        <v>8</v>
      </c>
      <c r="K41" s="53">
        <v>40802</v>
      </c>
      <c r="L41" s="53">
        <v>40948</v>
      </c>
      <c r="M41" s="54">
        <f t="shared" si="1"/>
        <v>146</v>
      </c>
      <c r="N41" s="55">
        <f t="shared" si="2"/>
        <v>0</v>
      </c>
      <c r="O41" s="56" t="str">
        <f t="shared" si="3"/>
        <v>Conforme</v>
      </c>
      <c r="P41" s="51"/>
      <c r="R41" s="57" t="str">
        <f>IF(AND($E41=RelConducteur,$J41="Professionnel",ISNUMBER($C41),$C41&gt;=RelDebut,$C41&lt;=RelFin),COUNTIFS($E$9:$E41,RelConducteur,$J$9:$J41,"Professionnel",$C$9:$C41,"&gt;="&amp;RelDebut,$C$9:$C41,"&lt;="&amp;RelFin),"")</f>
        <v/>
      </c>
    </row>
    <row r="42" spans="2:18" ht="18" customHeight="1" x14ac:dyDescent="0.25">
      <c r="B42" s="48">
        <f>IF(C42="","",COUNT($C$9:C42))</f>
        <v>34</v>
      </c>
      <c r="C42" s="49">
        <v>46421</v>
      </c>
      <c r="D42" s="50">
        <v>0.33333333333333331</v>
      </c>
      <c r="E42" s="51" t="s">
        <v>133</v>
      </c>
      <c r="F42" s="52" t="str">
        <f t="shared" si="0"/>
        <v>Service technique</v>
      </c>
      <c r="G42" s="51" t="s">
        <v>134</v>
      </c>
      <c r="H42" s="51" t="s">
        <v>142</v>
      </c>
      <c r="I42" s="51" t="s">
        <v>143</v>
      </c>
      <c r="J42" s="51" t="s">
        <v>8</v>
      </c>
      <c r="K42" s="53">
        <v>40948</v>
      </c>
      <c r="L42" s="53">
        <v>40968</v>
      </c>
      <c r="M42" s="54">
        <f t="shared" si="1"/>
        <v>20</v>
      </c>
      <c r="N42" s="55">
        <f t="shared" si="2"/>
        <v>0</v>
      </c>
      <c r="O42" s="56" t="str">
        <f t="shared" si="3"/>
        <v>Conforme</v>
      </c>
      <c r="P42" s="51"/>
      <c r="R42" s="57" t="str">
        <f>IF(AND($E42=RelConducteur,$J42="Professionnel",ISNUMBER($C42),$C42&gt;=RelDebut,$C42&lt;=RelFin),COUNTIFS($E$9:$E42,RelConducteur,$J$9:$J42,"Professionnel",$C$9:$C42,"&gt;="&amp;RelDebut,$C$9:$C42,"&lt;="&amp;RelFin),"")</f>
        <v/>
      </c>
    </row>
    <row r="43" spans="2:18" ht="18" customHeight="1" x14ac:dyDescent="0.25">
      <c r="B43" s="48">
        <f>IF(C43="","",COUNT($C$9:C43))</f>
        <v>35</v>
      </c>
      <c r="C43" s="49">
        <v>46422</v>
      </c>
      <c r="D43" s="50">
        <v>0.3125</v>
      </c>
      <c r="E43" s="51" t="s">
        <v>139</v>
      </c>
      <c r="F43" s="52" t="str">
        <f t="shared" si="0"/>
        <v>Service technique</v>
      </c>
      <c r="G43" s="51" t="s">
        <v>134</v>
      </c>
      <c r="H43" s="51" t="s">
        <v>144</v>
      </c>
      <c r="I43" s="51" t="s">
        <v>145</v>
      </c>
      <c r="J43" s="51" t="s">
        <v>8</v>
      </c>
      <c r="K43" s="53">
        <v>40968</v>
      </c>
      <c r="L43" s="53">
        <v>40997</v>
      </c>
      <c r="M43" s="54">
        <f t="shared" si="1"/>
        <v>29</v>
      </c>
      <c r="N43" s="55">
        <f t="shared" si="2"/>
        <v>0</v>
      </c>
      <c r="O43" s="56" t="str">
        <f t="shared" si="3"/>
        <v>Conforme</v>
      </c>
      <c r="P43" s="51"/>
      <c r="R43" s="57" t="str">
        <f>IF(AND($E43=RelConducteur,$J43="Professionnel",ISNUMBER($C43),$C43&gt;=RelDebut,$C43&lt;=RelFin),COUNTIFS($E$9:$E43,RelConducteur,$J$9:$J43,"Professionnel",$C$9:$C43,"&gt;="&amp;RelDebut,$C$9:$C43,"&lt;="&amp;RelFin),"")</f>
        <v/>
      </c>
    </row>
    <row r="44" spans="2:18" ht="18" customHeight="1" x14ac:dyDescent="0.25">
      <c r="B44" s="48">
        <f>IF(C44="","",COUNT($C$9:C44))</f>
        <v>36</v>
      </c>
      <c r="C44" s="49">
        <v>46423</v>
      </c>
      <c r="D44" s="50">
        <v>0.33333333333333331</v>
      </c>
      <c r="E44" s="51" t="s">
        <v>133</v>
      </c>
      <c r="F44" s="52" t="str">
        <f t="shared" si="0"/>
        <v>Service technique</v>
      </c>
      <c r="G44" s="51" t="s">
        <v>134</v>
      </c>
      <c r="H44" s="51" t="s">
        <v>144</v>
      </c>
      <c r="I44" s="51" t="s">
        <v>145</v>
      </c>
      <c r="J44" s="51" t="s">
        <v>8</v>
      </c>
      <c r="K44" s="53">
        <v>40997</v>
      </c>
      <c r="L44" s="53">
        <v>41028</v>
      </c>
      <c r="M44" s="54">
        <f t="shared" si="1"/>
        <v>31</v>
      </c>
      <c r="N44" s="55">
        <f t="shared" si="2"/>
        <v>0</v>
      </c>
      <c r="O44" s="56" t="str">
        <f t="shared" si="3"/>
        <v>Conforme</v>
      </c>
      <c r="P44" s="51"/>
      <c r="R44" s="57" t="str">
        <f>IF(AND($E44=RelConducteur,$J44="Professionnel",ISNUMBER($C44),$C44&gt;=RelDebut,$C44&lt;=RelFin),COUNTIFS($E$9:$E44,RelConducteur,$J$9:$J44,"Professionnel",$C$9:$C44,"&gt;="&amp;RelDebut,$C$9:$C44,"&lt;="&amp;RelFin),"")</f>
        <v/>
      </c>
    </row>
    <row r="45" spans="2:18" ht="18" customHeight="1" x14ac:dyDescent="0.25">
      <c r="B45" s="48">
        <f>IF(C45="","",COUNT($C$9:C45))</f>
        <v>37</v>
      </c>
      <c r="C45" s="49">
        <v>46423</v>
      </c>
      <c r="D45" s="50">
        <v>0.60416666666666663</v>
      </c>
      <c r="E45" s="51" t="s">
        <v>139</v>
      </c>
      <c r="F45" s="52" t="str">
        <f t="shared" si="0"/>
        <v>Service technique</v>
      </c>
      <c r="G45" s="51" t="s">
        <v>134</v>
      </c>
      <c r="H45" s="51" t="s">
        <v>161</v>
      </c>
      <c r="I45" s="51" t="s">
        <v>162</v>
      </c>
      <c r="J45" s="51" t="s">
        <v>8</v>
      </c>
      <c r="K45" s="53">
        <v>41028</v>
      </c>
      <c r="L45" s="53">
        <v>41054</v>
      </c>
      <c r="M45" s="54">
        <f t="shared" si="1"/>
        <v>26</v>
      </c>
      <c r="N45" s="55">
        <f t="shared" si="2"/>
        <v>0</v>
      </c>
      <c r="O45" s="56" t="str">
        <f t="shared" si="3"/>
        <v>Conforme</v>
      </c>
      <c r="P45" s="51"/>
      <c r="R45" s="57" t="str">
        <f>IF(AND($E45=RelConducteur,$J45="Professionnel",ISNUMBER($C45),$C45&gt;=RelDebut,$C45&lt;=RelFin),COUNTIFS($E$9:$E45,RelConducteur,$J$9:$J45,"Professionnel",$C$9:$C45,"&gt;="&amp;RelDebut,$C$9:$C45,"&lt;="&amp;RelFin),"")</f>
        <v/>
      </c>
    </row>
    <row r="46" spans="2:18" ht="18" customHeight="1" x14ac:dyDescent="0.25">
      <c r="B46" s="48">
        <f>IF(C46="","",COUNT($C$9:C46))</f>
        <v>38</v>
      </c>
      <c r="C46" s="49">
        <v>46426</v>
      </c>
      <c r="D46" s="50">
        <v>0.3125</v>
      </c>
      <c r="E46" s="51" t="s">
        <v>139</v>
      </c>
      <c r="F46" s="52" t="str">
        <f t="shared" si="0"/>
        <v>Service technique</v>
      </c>
      <c r="G46" s="51" t="s">
        <v>134</v>
      </c>
      <c r="H46" s="51" t="s">
        <v>144</v>
      </c>
      <c r="I46" s="51" t="s">
        <v>145</v>
      </c>
      <c r="J46" s="51" t="s">
        <v>8</v>
      </c>
      <c r="K46" s="53">
        <v>41054</v>
      </c>
      <c r="L46" s="53">
        <v>41085</v>
      </c>
      <c r="M46" s="54">
        <f t="shared" si="1"/>
        <v>31</v>
      </c>
      <c r="N46" s="55">
        <f t="shared" si="2"/>
        <v>0</v>
      </c>
      <c r="O46" s="56" t="str">
        <f t="shared" si="3"/>
        <v>Conforme</v>
      </c>
      <c r="P46" s="51"/>
      <c r="R46" s="57" t="str">
        <f>IF(AND($E46=RelConducteur,$J46="Professionnel",ISNUMBER($C46),$C46&gt;=RelDebut,$C46&lt;=RelFin),COUNTIFS($E$9:$E46,RelConducteur,$J$9:$J46,"Professionnel",$C$9:$C46,"&gt;="&amp;RelDebut,$C$9:$C46,"&lt;="&amp;RelFin),"")</f>
        <v/>
      </c>
    </row>
    <row r="47" spans="2:18" ht="18" customHeight="1" x14ac:dyDescent="0.25">
      <c r="B47" s="48">
        <f>IF(C47="","",COUNT($C$9:C47))</f>
        <v>39</v>
      </c>
      <c r="C47" s="49">
        <v>46426</v>
      </c>
      <c r="D47" s="50">
        <v>0.41666666666666669</v>
      </c>
      <c r="E47" s="51" t="s">
        <v>148</v>
      </c>
      <c r="F47" s="52" t="str">
        <f t="shared" si="0"/>
        <v>Service commercial</v>
      </c>
      <c r="G47" s="51" t="s">
        <v>134</v>
      </c>
      <c r="H47" s="51" t="s">
        <v>159</v>
      </c>
      <c r="I47" s="51" t="s">
        <v>160</v>
      </c>
      <c r="J47" s="51" t="s">
        <v>8</v>
      </c>
      <c r="K47" s="53">
        <v>41085</v>
      </c>
      <c r="L47" s="53">
        <v>41216</v>
      </c>
      <c r="M47" s="54">
        <f t="shared" si="1"/>
        <v>131</v>
      </c>
      <c r="N47" s="55">
        <f t="shared" si="2"/>
        <v>0</v>
      </c>
      <c r="O47" s="56" t="str">
        <f t="shared" si="3"/>
        <v>Conforme</v>
      </c>
      <c r="P47" s="51"/>
      <c r="R47" s="57" t="str">
        <f>IF(AND($E47=RelConducteur,$J47="Professionnel",ISNUMBER($C47),$C47&gt;=RelDebut,$C47&lt;=RelFin),COUNTIFS($E$9:$E47,RelConducteur,$J$9:$J47,"Professionnel",$C$9:$C47,"&gt;="&amp;RelDebut,$C$9:$C47,"&lt;="&amp;RelFin),"")</f>
        <v/>
      </c>
    </row>
    <row r="48" spans="2:18" ht="18" customHeight="1" x14ac:dyDescent="0.25">
      <c r="B48" s="48">
        <f>IF(C48="","",COUNT($C$9:C48))</f>
        <v>40</v>
      </c>
      <c r="C48" s="49">
        <v>46427</v>
      </c>
      <c r="D48" s="50">
        <v>0.35416666666666669</v>
      </c>
      <c r="E48" s="51" t="s">
        <v>133</v>
      </c>
      <c r="F48" s="52" t="str">
        <f t="shared" si="0"/>
        <v>Service technique</v>
      </c>
      <c r="G48" s="51" t="s">
        <v>134</v>
      </c>
      <c r="H48" s="51" t="s">
        <v>137</v>
      </c>
      <c r="I48" s="51" t="s">
        <v>138</v>
      </c>
      <c r="J48" s="51" t="s">
        <v>8</v>
      </c>
      <c r="K48" s="53">
        <v>41216</v>
      </c>
      <c r="L48" s="53">
        <v>41279</v>
      </c>
      <c r="M48" s="54">
        <f t="shared" si="1"/>
        <v>63</v>
      </c>
      <c r="N48" s="55">
        <f t="shared" si="2"/>
        <v>0</v>
      </c>
      <c r="O48" s="56" t="str">
        <f t="shared" si="3"/>
        <v>Conforme</v>
      </c>
      <c r="P48" s="51"/>
      <c r="R48" s="57" t="str">
        <f>IF(AND($E48=RelConducteur,$J48="Professionnel",ISNUMBER($C48),$C48&gt;=RelDebut,$C48&lt;=RelFin),COUNTIFS($E$9:$E48,RelConducteur,$J$9:$J48,"Professionnel",$C$9:$C48,"&gt;="&amp;RelDebut,$C$9:$C48,"&lt;="&amp;RelFin),"")</f>
        <v/>
      </c>
    </row>
    <row r="49" spans="2:18" ht="18" customHeight="1" x14ac:dyDescent="0.25">
      <c r="B49" s="48">
        <f>IF(C49="","",COUNT($C$9:C49))</f>
        <v>41</v>
      </c>
      <c r="C49" s="49">
        <v>46427</v>
      </c>
      <c r="D49" s="50">
        <v>0.41666666666666669</v>
      </c>
      <c r="E49" s="51" t="s">
        <v>148</v>
      </c>
      <c r="F49" s="52" t="str">
        <f t="shared" si="0"/>
        <v>Service commercial</v>
      </c>
      <c r="G49" s="51" t="s">
        <v>134</v>
      </c>
      <c r="H49" s="51" t="s">
        <v>153</v>
      </c>
      <c r="I49" s="51" t="s">
        <v>154</v>
      </c>
      <c r="J49" s="51" t="s">
        <v>8</v>
      </c>
      <c r="K49" s="53">
        <v>41279</v>
      </c>
      <c r="L49" s="53">
        <v>41418</v>
      </c>
      <c r="M49" s="54">
        <f t="shared" si="1"/>
        <v>139</v>
      </c>
      <c r="N49" s="55">
        <f t="shared" si="2"/>
        <v>0</v>
      </c>
      <c r="O49" s="56" t="str">
        <f t="shared" si="3"/>
        <v>Conforme</v>
      </c>
      <c r="P49" s="51"/>
      <c r="R49" s="57" t="str">
        <f>IF(AND($E49=RelConducteur,$J49="Professionnel",ISNUMBER($C49),$C49&gt;=RelDebut,$C49&lt;=RelFin),COUNTIFS($E$9:$E49,RelConducteur,$J$9:$J49,"Professionnel",$C$9:$C49,"&gt;="&amp;RelDebut,$C$9:$C49,"&lt;="&amp;RelFin),"")</f>
        <v/>
      </c>
    </row>
    <row r="50" spans="2:18" ht="18" customHeight="1" x14ac:dyDescent="0.25">
      <c r="B50" s="48">
        <f>IF(C50="","",COUNT($C$9:C50))</f>
        <v>42</v>
      </c>
      <c r="C50" s="49">
        <v>46428</v>
      </c>
      <c r="D50" s="50">
        <v>0.35416666666666669</v>
      </c>
      <c r="E50" s="51" t="s">
        <v>139</v>
      </c>
      <c r="F50" s="52" t="str">
        <f t="shared" si="0"/>
        <v>Service technique</v>
      </c>
      <c r="G50" s="51" t="s">
        <v>134</v>
      </c>
      <c r="H50" s="51" t="s">
        <v>151</v>
      </c>
      <c r="I50" s="51" t="s">
        <v>152</v>
      </c>
      <c r="J50" s="51" t="s">
        <v>8</v>
      </c>
      <c r="K50" s="53">
        <v>41418</v>
      </c>
      <c r="L50" s="53">
        <v>41471</v>
      </c>
      <c r="M50" s="54">
        <f t="shared" si="1"/>
        <v>53</v>
      </c>
      <c r="N50" s="55">
        <f t="shared" si="2"/>
        <v>0</v>
      </c>
      <c r="O50" s="56" t="str">
        <f t="shared" si="3"/>
        <v>Conforme</v>
      </c>
      <c r="P50" s="51"/>
      <c r="R50" s="57" t="str">
        <f>IF(AND($E50=RelConducteur,$J50="Professionnel",ISNUMBER($C50),$C50&gt;=RelDebut,$C50&lt;=RelFin),COUNTIFS($E$9:$E50,RelConducteur,$J$9:$J50,"Professionnel",$C$9:$C50,"&gt;="&amp;RelDebut,$C$9:$C50,"&lt;="&amp;RelFin),"")</f>
        <v/>
      </c>
    </row>
    <row r="51" spans="2:18" ht="18" customHeight="1" x14ac:dyDescent="0.25">
      <c r="B51" s="48">
        <f>IF(C51="","",COUNT($C$9:C51))</f>
        <v>43</v>
      </c>
      <c r="C51" s="49">
        <v>46428</v>
      </c>
      <c r="D51" s="50">
        <v>0.58333333333333337</v>
      </c>
      <c r="E51" s="51" t="s">
        <v>133</v>
      </c>
      <c r="F51" s="52" t="str">
        <f t="shared" si="0"/>
        <v>Service technique</v>
      </c>
      <c r="G51" s="51" t="s">
        <v>134</v>
      </c>
      <c r="H51" s="51" t="s">
        <v>142</v>
      </c>
      <c r="I51" s="51" t="s">
        <v>143</v>
      </c>
      <c r="J51" s="51" t="s">
        <v>8</v>
      </c>
      <c r="K51" s="53">
        <v>41471</v>
      </c>
      <c r="L51" s="53">
        <v>41491</v>
      </c>
      <c r="M51" s="54">
        <f t="shared" si="1"/>
        <v>20</v>
      </c>
      <c r="N51" s="55">
        <f t="shared" si="2"/>
        <v>0</v>
      </c>
      <c r="O51" s="56" t="str">
        <f t="shared" si="3"/>
        <v>Conforme</v>
      </c>
      <c r="P51" s="51"/>
      <c r="R51" s="57" t="str">
        <f>IF(AND($E51=RelConducteur,$J51="Professionnel",ISNUMBER($C51),$C51&gt;=RelDebut,$C51&lt;=RelFin),COUNTIFS($E$9:$E51,RelConducteur,$J$9:$J51,"Professionnel",$C$9:$C51,"&gt;="&amp;RelDebut,$C$9:$C51,"&lt;="&amp;RelFin),"")</f>
        <v/>
      </c>
    </row>
    <row r="52" spans="2:18" ht="18" customHeight="1" x14ac:dyDescent="0.25">
      <c r="B52" s="48">
        <f>IF(C52="","",COUNT($C$9:C52))</f>
        <v>44</v>
      </c>
      <c r="C52" s="49">
        <v>46428</v>
      </c>
      <c r="D52" s="50">
        <v>0.66666666666666663</v>
      </c>
      <c r="E52" s="51" t="s">
        <v>169</v>
      </c>
      <c r="F52" s="52" t="str">
        <f t="shared" si="0"/>
        <v>Direction</v>
      </c>
      <c r="G52" s="51" t="s">
        <v>134</v>
      </c>
      <c r="H52" s="51" t="s">
        <v>140</v>
      </c>
      <c r="I52" s="51" t="s">
        <v>170</v>
      </c>
      <c r="J52" s="51" t="s">
        <v>8</v>
      </c>
      <c r="K52" s="53">
        <v>41491</v>
      </c>
      <c r="L52" s="53">
        <v>41513</v>
      </c>
      <c r="M52" s="54">
        <f t="shared" si="1"/>
        <v>22</v>
      </c>
      <c r="N52" s="55">
        <f t="shared" si="2"/>
        <v>0</v>
      </c>
      <c r="O52" s="56" t="str">
        <f t="shared" si="3"/>
        <v>Conforme</v>
      </c>
      <c r="P52" s="51"/>
      <c r="R52" s="57" t="str">
        <f>IF(AND($E52=RelConducteur,$J52="Professionnel",ISNUMBER($C52),$C52&gt;=RelDebut,$C52&lt;=RelFin),COUNTIFS($E$9:$E52,RelConducteur,$J$9:$J52,"Professionnel",$C$9:$C52,"&gt;="&amp;RelDebut,$C$9:$C52,"&lt;="&amp;RelFin),"")</f>
        <v/>
      </c>
    </row>
    <row r="53" spans="2:18" ht="18" customHeight="1" x14ac:dyDescent="0.25">
      <c r="B53" s="48">
        <f>IF(C53="","",COUNT($C$9:C53))</f>
        <v>45</v>
      </c>
      <c r="C53" s="49">
        <v>46429</v>
      </c>
      <c r="D53" s="50">
        <v>0.3125</v>
      </c>
      <c r="E53" s="51" t="s">
        <v>133</v>
      </c>
      <c r="F53" s="52" t="str">
        <f t="shared" si="0"/>
        <v>Service technique</v>
      </c>
      <c r="G53" s="51" t="s">
        <v>134</v>
      </c>
      <c r="H53" s="51" t="s">
        <v>144</v>
      </c>
      <c r="I53" s="51" t="s">
        <v>145</v>
      </c>
      <c r="J53" s="51" t="s">
        <v>8</v>
      </c>
      <c r="K53" s="53">
        <v>41513</v>
      </c>
      <c r="L53" s="53">
        <v>41541</v>
      </c>
      <c r="M53" s="54">
        <f t="shared" si="1"/>
        <v>28</v>
      </c>
      <c r="N53" s="55">
        <f t="shared" si="2"/>
        <v>0</v>
      </c>
      <c r="O53" s="56" t="str">
        <f t="shared" si="3"/>
        <v>Conforme</v>
      </c>
      <c r="P53" s="51"/>
      <c r="R53" s="57" t="str">
        <f>IF(AND($E53=RelConducteur,$J53="Professionnel",ISNUMBER($C53),$C53&gt;=RelDebut,$C53&lt;=RelFin),COUNTIFS($E$9:$E53,RelConducteur,$J$9:$J53,"Professionnel",$C$9:$C53,"&gt;="&amp;RelDebut,$C$9:$C53,"&lt;="&amp;RelFin),"")</f>
        <v/>
      </c>
    </row>
    <row r="54" spans="2:18" ht="18" customHeight="1" x14ac:dyDescent="0.25">
      <c r="B54" s="48">
        <f>IF(C54="","",COUNT($C$9:C54))</f>
        <v>46</v>
      </c>
      <c r="C54" s="49">
        <v>46430</v>
      </c>
      <c r="D54" s="50">
        <v>0.60416666666666663</v>
      </c>
      <c r="E54" s="51" t="s">
        <v>133</v>
      </c>
      <c r="F54" s="52" t="str">
        <f t="shared" si="0"/>
        <v>Service technique</v>
      </c>
      <c r="G54" s="51" t="s">
        <v>134</v>
      </c>
      <c r="H54" s="51" t="s">
        <v>165</v>
      </c>
      <c r="I54" s="51" t="s">
        <v>166</v>
      </c>
      <c r="J54" s="51" t="s">
        <v>8</v>
      </c>
      <c r="K54" s="53">
        <v>41541</v>
      </c>
      <c r="L54" s="53">
        <v>41613</v>
      </c>
      <c r="M54" s="54">
        <f t="shared" si="1"/>
        <v>72</v>
      </c>
      <c r="N54" s="55">
        <f t="shared" si="2"/>
        <v>0</v>
      </c>
      <c r="O54" s="56" t="str">
        <f t="shared" si="3"/>
        <v>Conforme</v>
      </c>
      <c r="P54" s="51"/>
      <c r="R54" s="57" t="str">
        <f>IF(AND($E54=RelConducteur,$J54="Professionnel",ISNUMBER($C54),$C54&gt;=RelDebut,$C54&lt;=RelFin),COUNTIFS($E$9:$E54,RelConducteur,$J$9:$J54,"Professionnel",$C$9:$C54,"&gt;="&amp;RelDebut,$C$9:$C54,"&lt;="&amp;RelFin),"")</f>
        <v/>
      </c>
    </row>
    <row r="55" spans="2:18" ht="18" customHeight="1" x14ac:dyDescent="0.25">
      <c r="B55" s="48">
        <f>IF(C55="","",COUNT($C$9:C55))</f>
        <v>47</v>
      </c>
      <c r="C55" s="49">
        <v>46433</v>
      </c>
      <c r="D55" s="50">
        <v>0.3125</v>
      </c>
      <c r="E55" s="51" t="s">
        <v>133</v>
      </c>
      <c r="F55" s="52" t="str">
        <f t="shared" si="0"/>
        <v>Service technique</v>
      </c>
      <c r="G55" s="51" t="s">
        <v>134</v>
      </c>
      <c r="H55" s="51" t="s">
        <v>151</v>
      </c>
      <c r="I55" s="51" t="s">
        <v>152</v>
      </c>
      <c r="J55" s="51" t="s">
        <v>8</v>
      </c>
      <c r="K55" s="53">
        <v>41613</v>
      </c>
      <c r="L55" s="53">
        <v>41665</v>
      </c>
      <c r="M55" s="54">
        <f t="shared" si="1"/>
        <v>52</v>
      </c>
      <c r="N55" s="55">
        <f t="shared" si="2"/>
        <v>0</v>
      </c>
      <c r="O55" s="56" t="str">
        <f t="shared" si="3"/>
        <v>Conforme</v>
      </c>
      <c r="P55" s="51"/>
      <c r="R55" s="57" t="str">
        <f>IF(AND($E55=RelConducteur,$J55="Professionnel",ISNUMBER($C55),$C55&gt;=RelDebut,$C55&lt;=RelFin),COUNTIFS($E$9:$E55,RelConducteur,$J$9:$J55,"Professionnel",$C$9:$C55,"&gt;="&amp;RelDebut,$C$9:$C55,"&lt;="&amp;RelFin),"")</f>
        <v/>
      </c>
    </row>
    <row r="56" spans="2:18" ht="18" customHeight="1" x14ac:dyDescent="0.25">
      <c r="B56" s="48">
        <f>IF(C56="","",COUNT($C$9:C56))</f>
        <v>48</v>
      </c>
      <c r="C56" s="49">
        <v>46433</v>
      </c>
      <c r="D56" s="50">
        <v>0.75</v>
      </c>
      <c r="E56" s="51" t="s">
        <v>139</v>
      </c>
      <c r="F56" s="52" t="str">
        <f t="shared" si="0"/>
        <v>Service technique</v>
      </c>
      <c r="G56" s="51" t="s">
        <v>134</v>
      </c>
      <c r="H56" s="51" t="s">
        <v>155</v>
      </c>
      <c r="I56" s="51" t="s">
        <v>156</v>
      </c>
      <c r="J56" s="51" t="s">
        <v>9</v>
      </c>
      <c r="K56" s="53">
        <v>41665</v>
      </c>
      <c r="L56" s="53">
        <v>41689</v>
      </c>
      <c r="M56" s="54">
        <f t="shared" si="1"/>
        <v>24</v>
      </c>
      <c r="N56" s="55">
        <f t="shared" si="2"/>
        <v>0</v>
      </c>
      <c r="O56" s="56" t="str">
        <f t="shared" si="3"/>
        <v>Conforme</v>
      </c>
      <c r="P56" s="51"/>
      <c r="R56" s="57" t="str">
        <f>IF(AND($E56=RelConducteur,$J56="Professionnel",ISNUMBER($C56),$C56&gt;=RelDebut,$C56&lt;=RelFin),COUNTIFS($E$9:$E56,RelConducteur,$J$9:$J56,"Professionnel",$C$9:$C56,"&gt;="&amp;RelDebut,$C$9:$C56,"&lt;="&amp;RelFin),"")</f>
        <v/>
      </c>
    </row>
    <row r="57" spans="2:18" ht="18" customHeight="1" x14ac:dyDescent="0.25">
      <c r="B57" s="48">
        <f>IF(C57="","",COUNT($C$9:C57))</f>
        <v>49</v>
      </c>
      <c r="C57" s="49">
        <v>46434</v>
      </c>
      <c r="D57" s="50">
        <v>0.3125</v>
      </c>
      <c r="E57" s="51" t="s">
        <v>139</v>
      </c>
      <c r="F57" s="52" t="str">
        <f t="shared" si="0"/>
        <v>Service technique</v>
      </c>
      <c r="G57" s="51" t="s">
        <v>134</v>
      </c>
      <c r="H57" s="51" t="s">
        <v>144</v>
      </c>
      <c r="I57" s="51" t="s">
        <v>145</v>
      </c>
      <c r="J57" s="51" t="s">
        <v>8</v>
      </c>
      <c r="K57" s="53">
        <v>41689</v>
      </c>
      <c r="L57" s="53">
        <v>41720</v>
      </c>
      <c r="M57" s="54">
        <f t="shared" si="1"/>
        <v>31</v>
      </c>
      <c r="N57" s="55">
        <f t="shared" si="2"/>
        <v>0</v>
      </c>
      <c r="O57" s="56" t="str">
        <f t="shared" si="3"/>
        <v>Conforme</v>
      </c>
      <c r="P57" s="51"/>
      <c r="R57" s="57" t="str">
        <f>IF(AND($E57=RelConducteur,$J57="Professionnel",ISNUMBER($C57),$C57&gt;=RelDebut,$C57&lt;=RelFin),COUNTIFS($E$9:$E57,RelConducteur,$J$9:$J57,"Professionnel",$C$9:$C57,"&gt;="&amp;RelDebut,$C$9:$C57,"&lt;="&amp;RelFin),"")</f>
        <v/>
      </c>
    </row>
    <row r="58" spans="2:18" ht="18" customHeight="1" x14ac:dyDescent="0.25">
      <c r="B58" s="48">
        <f>IF(C58="","",COUNT($C$9:C58))</f>
        <v>50</v>
      </c>
      <c r="C58" s="49">
        <v>46434</v>
      </c>
      <c r="D58" s="50">
        <v>0.75</v>
      </c>
      <c r="E58" s="51" t="s">
        <v>139</v>
      </c>
      <c r="F58" s="52" t="str">
        <f t="shared" si="0"/>
        <v>Service technique</v>
      </c>
      <c r="G58" s="51" t="s">
        <v>134</v>
      </c>
      <c r="H58" s="51" t="s">
        <v>155</v>
      </c>
      <c r="I58" s="51" t="s">
        <v>156</v>
      </c>
      <c r="J58" s="51" t="s">
        <v>9</v>
      </c>
      <c r="K58" s="53">
        <v>41720</v>
      </c>
      <c r="L58" s="53">
        <v>41744</v>
      </c>
      <c r="M58" s="54">
        <f t="shared" si="1"/>
        <v>24</v>
      </c>
      <c r="N58" s="55">
        <f t="shared" si="2"/>
        <v>0</v>
      </c>
      <c r="O58" s="56" t="str">
        <f t="shared" si="3"/>
        <v>Conforme</v>
      </c>
      <c r="P58" s="51"/>
      <c r="R58" s="57" t="str">
        <f>IF(AND($E58=RelConducteur,$J58="Professionnel",ISNUMBER($C58),$C58&gt;=RelDebut,$C58&lt;=RelFin),COUNTIFS($E$9:$E58,RelConducteur,$J$9:$J58,"Professionnel",$C$9:$C58,"&gt;="&amp;RelDebut,$C$9:$C58,"&lt;="&amp;RelFin),"")</f>
        <v/>
      </c>
    </row>
    <row r="59" spans="2:18" ht="18" customHeight="1" x14ac:dyDescent="0.25">
      <c r="B59" s="48">
        <f>IF(C59="","",COUNT($C$9:C59))</f>
        <v>51</v>
      </c>
      <c r="C59" s="49">
        <v>46435</v>
      </c>
      <c r="D59" s="50">
        <v>0.33333333333333331</v>
      </c>
      <c r="E59" s="51" t="s">
        <v>133</v>
      </c>
      <c r="F59" s="52" t="str">
        <f t="shared" si="0"/>
        <v>Service technique</v>
      </c>
      <c r="G59" s="51" t="s">
        <v>134</v>
      </c>
      <c r="H59" s="51" t="s">
        <v>137</v>
      </c>
      <c r="I59" s="51" t="s">
        <v>138</v>
      </c>
      <c r="J59" s="51" t="s">
        <v>8</v>
      </c>
      <c r="K59" s="53">
        <v>41744</v>
      </c>
      <c r="L59" s="53">
        <v>41806</v>
      </c>
      <c r="M59" s="54">
        <f t="shared" si="1"/>
        <v>62</v>
      </c>
      <c r="N59" s="55">
        <f t="shared" si="2"/>
        <v>0</v>
      </c>
      <c r="O59" s="56" t="str">
        <f t="shared" si="3"/>
        <v>Conforme</v>
      </c>
      <c r="P59" s="51"/>
      <c r="R59" s="57" t="str">
        <f>IF(AND($E59=RelConducteur,$J59="Professionnel",ISNUMBER($C59),$C59&gt;=RelDebut,$C59&lt;=RelFin),COUNTIFS($E$9:$E59,RelConducteur,$J$9:$J59,"Professionnel",$C$9:$C59,"&gt;="&amp;RelDebut,$C$9:$C59,"&lt;="&amp;RelFin),"")</f>
        <v/>
      </c>
    </row>
    <row r="60" spans="2:18" ht="18" customHeight="1" x14ac:dyDescent="0.25">
      <c r="B60" s="48">
        <f>IF(C60="","",COUNT($C$9:C60))</f>
        <v>52</v>
      </c>
      <c r="C60" s="49">
        <v>46435</v>
      </c>
      <c r="D60" s="50">
        <v>0.75</v>
      </c>
      <c r="E60" s="51" t="s">
        <v>139</v>
      </c>
      <c r="F60" s="52" t="str">
        <f t="shared" si="0"/>
        <v>Service technique</v>
      </c>
      <c r="G60" s="51" t="s">
        <v>134</v>
      </c>
      <c r="H60" s="51" t="s">
        <v>155</v>
      </c>
      <c r="I60" s="51" t="s">
        <v>156</v>
      </c>
      <c r="J60" s="51" t="s">
        <v>9</v>
      </c>
      <c r="K60" s="53">
        <v>41806</v>
      </c>
      <c r="L60" s="53">
        <v>41830</v>
      </c>
      <c r="M60" s="54">
        <f t="shared" si="1"/>
        <v>24</v>
      </c>
      <c r="N60" s="55">
        <f t="shared" si="2"/>
        <v>0</v>
      </c>
      <c r="O60" s="56" t="str">
        <f t="shared" si="3"/>
        <v>Conforme</v>
      </c>
      <c r="P60" s="51"/>
      <c r="R60" s="57" t="str">
        <f>IF(AND($E60=RelConducteur,$J60="Professionnel",ISNUMBER($C60),$C60&gt;=RelDebut,$C60&lt;=RelFin),COUNTIFS($E$9:$E60,RelConducteur,$J$9:$J60,"Professionnel",$C$9:$C60,"&gt;="&amp;RelDebut,$C$9:$C60,"&lt;="&amp;RelFin),"")</f>
        <v/>
      </c>
    </row>
    <row r="61" spans="2:18" ht="18" customHeight="1" x14ac:dyDescent="0.25">
      <c r="B61" s="48">
        <f>IF(C61="","",COUNT($C$9:C61))</f>
        <v>53</v>
      </c>
      <c r="C61" s="49">
        <v>46436</v>
      </c>
      <c r="D61" s="50">
        <v>0.75</v>
      </c>
      <c r="E61" s="51" t="s">
        <v>139</v>
      </c>
      <c r="F61" s="52" t="str">
        <f t="shared" si="0"/>
        <v>Service technique</v>
      </c>
      <c r="G61" s="51" t="s">
        <v>134</v>
      </c>
      <c r="H61" s="51" t="s">
        <v>155</v>
      </c>
      <c r="I61" s="51" t="s">
        <v>156</v>
      </c>
      <c r="J61" s="51" t="s">
        <v>9</v>
      </c>
      <c r="K61" s="53">
        <v>41830</v>
      </c>
      <c r="L61" s="53">
        <v>41854</v>
      </c>
      <c r="M61" s="54">
        <f t="shared" si="1"/>
        <v>24</v>
      </c>
      <c r="N61" s="55">
        <f t="shared" si="2"/>
        <v>0</v>
      </c>
      <c r="O61" s="56" t="str">
        <f t="shared" si="3"/>
        <v>Conforme</v>
      </c>
      <c r="P61" s="51"/>
      <c r="R61" s="57" t="str">
        <f>IF(AND($E61=RelConducteur,$J61="Professionnel",ISNUMBER($C61),$C61&gt;=RelDebut,$C61&lt;=RelFin),COUNTIFS($E$9:$E61,RelConducteur,$J$9:$J61,"Professionnel",$C$9:$C61,"&gt;="&amp;RelDebut,$C$9:$C61,"&lt;="&amp;RelFin),"")</f>
        <v/>
      </c>
    </row>
    <row r="62" spans="2:18" ht="18" customHeight="1" x14ac:dyDescent="0.25">
      <c r="B62" s="48">
        <f>IF(C62="","",COUNT($C$9:C62))</f>
        <v>54</v>
      </c>
      <c r="C62" s="49">
        <v>46437</v>
      </c>
      <c r="D62" s="50">
        <v>0.3125</v>
      </c>
      <c r="E62" s="51" t="s">
        <v>133</v>
      </c>
      <c r="F62" s="52" t="str">
        <f t="shared" si="0"/>
        <v>Service technique</v>
      </c>
      <c r="G62" s="51" t="s">
        <v>134</v>
      </c>
      <c r="H62" s="51" t="s">
        <v>163</v>
      </c>
      <c r="I62" s="51" t="s">
        <v>164</v>
      </c>
      <c r="J62" s="51" t="s">
        <v>8</v>
      </c>
      <c r="K62" s="53">
        <v>41854</v>
      </c>
      <c r="L62" s="53">
        <v>41881</v>
      </c>
      <c r="M62" s="54">
        <f t="shared" si="1"/>
        <v>27</v>
      </c>
      <c r="N62" s="55">
        <f t="shared" si="2"/>
        <v>0</v>
      </c>
      <c r="O62" s="56" t="str">
        <f t="shared" si="3"/>
        <v>Conforme</v>
      </c>
      <c r="P62" s="51"/>
      <c r="R62" s="57" t="str">
        <f>IF(AND($E62=RelConducteur,$J62="Professionnel",ISNUMBER($C62),$C62&gt;=RelDebut,$C62&lt;=RelFin),COUNTIFS($E$9:$E62,RelConducteur,$J$9:$J62,"Professionnel",$C$9:$C62,"&gt;="&amp;RelDebut,$C$9:$C62,"&lt;="&amp;RelFin),"")</f>
        <v/>
      </c>
    </row>
    <row r="63" spans="2:18" ht="18" customHeight="1" x14ac:dyDescent="0.25">
      <c r="B63" s="48">
        <f>IF(C63="","",COUNT($C$9:C63))</f>
        <v>55</v>
      </c>
      <c r="C63" s="49">
        <v>46440</v>
      </c>
      <c r="D63" s="50">
        <v>0.35416666666666669</v>
      </c>
      <c r="E63" s="51" t="s">
        <v>139</v>
      </c>
      <c r="F63" s="52" t="str">
        <f t="shared" si="0"/>
        <v>Service technique</v>
      </c>
      <c r="G63" s="51" t="s">
        <v>134</v>
      </c>
      <c r="H63" s="51" t="s">
        <v>137</v>
      </c>
      <c r="I63" s="51" t="s">
        <v>138</v>
      </c>
      <c r="J63" s="51" t="s">
        <v>8</v>
      </c>
      <c r="K63" s="53">
        <v>41881</v>
      </c>
      <c r="L63" s="53">
        <v>41945</v>
      </c>
      <c r="M63" s="54">
        <f t="shared" si="1"/>
        <v>64</v>
      </c>
      <c r="N63" s="55">
        <f t="shared" si="2"/>
        <v>0</v>
      </c>
      <c r="O63" s="56" t="str">
        <f t="shared" si="3"/>
        <v>Conforme</v>
      </c>
      <c r="P63" s="51"/>
      <c r="R63" s="57" t="str">
        <f>IF(AND($E63=RelConducteur,$J63="Professionnel",ISNUMBER($C63),$C63&gt;=RelDebut,$C63&lt;=RelFin),COUNTIFS($E$9:$E63,RelConducteur,$J$9:$J63,"Professionnel",$C$9:$C63,"&gt;="&amp;RelDebut,$C$9:$C63,"&lt;="&amp;RelFin),"")</f>
        <v/>
      </c>
    </row>
    <row r="64" spans="2:18" ht="18" customHeight="1" x14ac:dyDescent="0.25">
      <c r="B64" s="48">
        <f>IF(C64="","",COUNT($C$9:C64))</f>
        <v>56</v>
      </c>
      <c r="C64" s="49">
        <v>46441</v>
      </c>
      <c r="D64" s="50">
        <v>0.35416666666666669</v>
      </c>
      <c r="E64" s="51" t="s">
        <v>133</v>
      </c>
      <c r="F64" s="52" t="str">
        <f t="shared" si="0"/>
        <v>Service technique</v>
      </c>
      <c r="G64" s="51" t="s">
        <v>134</v>
      </c>
      <c r="H64" s="51" t="s">
        <v>151</v>
      </c>
      <c r="I64" s="51" t="s">
        <v>152</v>
      </c>
      <c r="J64" s="51" t="s">
        <v>8</v>
      </c>
      <c r="K64" s="53">
        <v>41945</v>
      </c>
      <c r="L64" s="53">
        <v>42000</v>
      </c>
      <c r="M64" s="54">
        <f t="shared" si="1"/>
        <v>55</v>
      </c>
      <c r="N64" s="55">
        <f t="shared" si="2"/>
        <v>0</v>
      </c>
      <c r="O64" s="56" t="str">
        <f t="shared" si="3"/>
        <v>Conforme</v>
      </c>
      <c r="P64" s="51"/>
      <c r="R64" s="57" t="str">
        <f>IF(AND($E64=RelConducteur,$J64="Professionnel",ISNUMBER($C64),$C64&gt;=RelDebut,$C64&lt;=RelFin),COUNTIFS($E$9:$E64,RelConducteur,$J$9:$J64,"Professionnel",$C$9:$C64,"&gt;="&amp;RelDebut,$C$9:$C64,"&lt;="&amp;RelFin),"")</f>
        <v/>
      </c>
    </row>
    <row r="65" spans="2:18" ht="18" customHeight="1" x14ac:dyDescent="0.25">
      <c r="B65" s="48">
        <f>IF(C65="","",COUNT($C$9:C65))</f>
        <v>57</v>
      </c>
      <c r="C65" s="49">
        <v>46441</v>
      </c>
      <c r="D65" s="50">
        <v>0.4375</v>
      </c>
      <c r="E65" s="51" t="s">
        <v>148</v>
      </c>
      <c r="F65" s="52" t="str">
        <f t="shared" si="0"/>
        <v>Service commercial</v>
      </c>
      <c r="G65" s="51" t="s">
        <v>134</v>
      </c>
      <c r="H65" s="51" t="s">
        <v>157</v>
      </c>
      <c r="I65" s="51" t="s">
        <v>158</v>
      </c>
      <c r="J65" s="51" t="s">
        <v>8</v>
      </c>
      <c r="K65" s="53">
        <v>42000</v>
      </c>
      <c r="L65" s="53">
        <v>42214</v>
      </c>
      <c r="M65" s="54">
        <f t="shared" si="1"/>
        <v>214</v>
      </c>
      <c r="N65" s="55">
        <f t="shared" si="2"/>
        <v>0</v>
      </c>
      <c r="O65" s="56" t="str">
        <f t="shared" si="3"/>
        <v>Conforme</v>
      </c>
      <c r="P65" s="51"/>
      <c r="R65" s="57" t="str">
        <f>IF(AND($E65=RelConducteur,$J65="Professionnel",ISNUMBER($C65),$C65&gt;=RelDebut,$C65&lt;=RelFin),COUNTIFS($E$9:$E65,RelConducteur,$J$9:$J65,"Professionnel",$C$9:$C65,"&gt;="&amp;RelDebut,$C$9:$C65,"&lt;="&amp;RelFin),"")</f>
        <v/>
      </c>
    </row>
    <row r="66" spans="2:18" ht="18" customHeight="1" x14ac:dyDescent="0.25">
      <c r="B66" s="48">
        <f>IF(C66="","",COUNT($C$9:C66))</f>
        <v>58</v>
      </c>
      <c r="C66" s="49">
        <v>46442</v>
      </c>
      <c r="D66" s="50">
        <v>0.3125</v>
      </c>
      <c r="E66" s="51" t="s">
        <v>139</v>
      </c>
      <c r="F66" s="52" t="str">
        <f t="shared" si="0"/>
        <v>Service technique</v>
      </c>
      <c r="G66" s="51" t="s">
        <v>134</v>
      </c>
      <c r="H66" s="51" t="s">
        <v>163</v>
      </c>
      <c r="I66" s="51" t="s">
        <v>164</v>
      </c>
      <c r="J66" s="51" t="s">
        <v>8</v>
      </c>
      <c r="K66" s="53">
        <v>42214</v>
      </c>
      <c r="L66" s="53">
        <v>42237</v>
      </c>
      <c r="M66" s="54">
        <f t="shared" si="1"/>
        <v>23</v>
      </c>
      <c r="N66" s="55">
        <f t="shared" si="2"/>
        <v>0</v>
      </c>
      <c r="O66" s="56" t="str">
        <f t="shared" si="3"/>
        <v>Conforme</v>
      </c>
      <c r="P66" s="51"/>
      <c r="R66" s="57" t="str">
        <f>IF(AND($E66=RelConducteur,$J66="Professionnel",ISNUMBER($C66),$C66&gt;=RelDebut,$C66&lt;=RelFin),COUNTIFS($E$9:$E66,RelConducteur,$J$9:$J66,"Professionnel",$C$9:$C66,"&gt;="&amp;RelDebut,$C$9:$C66,"&lt;="&amp;RelFin),"")</f>
        <v/>
      </c>
    </row>
    <row r="67" spans="2:18" ht="18" customHeight="1" x14ac:dyDescent="0.25">
      <c r="B67" s="48">
        <f>IF(C67="","",COUNT($C$9:C67))</f>
        <v>59</v>
      </c>
      <c r="C67" s="49">
        <v>46443</v>
      </c>
      <c r="D67" s="50">
        <v>0.3125</v>
      </c>
      <c r="E67" s="51" t="s">
        <v>133</v>
      </c>
      <c r="F67" s="52" t="str">
        <f t="shared" si="0"/>
        <v>Service technique</v>
      </c>
      <c r="G67" s="51" t="s">
        <v>134</v>
      </c>
      <c r="H67" s="51" t="s">
        <v>137</v>
      </c>
      <c r="I67" s="51" t="s">
        <v>138</v>
      </c>
      <c r="J67" s="51" t="s">
        <v>8</v>
      </c>
      <c r="K67" s="53">
        <v>42237</v>
      </c>
      <c r="L67" s="53">
        <v>42301</v>
      </c>
      <c r="M67" s="54">
        <f t="shared" si="1"/>
        <v>64</v>
      </c>
      <c r="N67" s="55">
        <f t="shared" si="2"/>
        <v>0</v>
      </c>
      <c r="O67" s="56" t="str">
        <f t="shared" si="3"/>
        <v>Conforme</v>
      </c>
      <c r="P67" s="51"/>
      <c r="R67" s="57" t="str">
        <f>IF(AND($E67=RelConducteur,$J67="Professionnel",ISNUMBER($C67),$C67&gt;=RelDebut,$C67&lt;=RelFin),COUNTIFS($E$9:$E67,RelConducteur,$J$9:$J67,"Professionnel",$C$9:$C67,"&gt;="&amp;RelDebut,$C$9:$C67,"&lt;="&amp;RelFin),"")</f>
        <v/>
      </c>
    </row>
    <row r="68" spans="2:18" ht="18" customHeight="1" x14ac:dyDescent="0.25">
      <c r="B68" s="48">
        <f>IF(C68="","",COUNT($C$9:C68))</f>
        <v>60</v>
      </c>
      <c r="C68" s="49">
        <v>46443</v>
      </c>
      <c r="D68" s="50">
        <v>0.4375</v>
      </c>
      <c r="E68" s="51" t="s">
        <v>148</v>
      </c>
      <c r="F68" s="52" t="str">
        <f t="shared" si="0"/>
        <v>Service commercial</v>
      </c>
      <c r="G68" s="51" t="s">
        <v>134</v>
      </c>
      <c r="H68" s="51" t="s">
        <v>171</v>
      </c>
      <c r="I68" s="51" t="s">
        <v>172</v>
      </c>
      <c r="J68" s="51" t="s">
        <v>8</v>
      </c>
      <c r="K68" s="53">
        <v>42301</v>
      </c>
      <c r="L68" s="53">
        <v>42317</v>
      </c>
      <c r="M68" s="54">
        <f t="shared" si="1"/>
        <v>16</v>
      </c>
      <c r="N68" s="55">
        <f t="shared" si="2"/>
        <v>0</v>
      </c>
      <c r="O68" s="56" t="str">
        <f t="shared" si="3"/>
        <v>Conforme</v>
      </c>
      <c r="P68" s="51"/>
      <c r="R68" s="57" t="str">
        <f>IF(AND($E68=RelConducteur,$J68="Professionnel",ISNUMBER($C68),$C68&gt;=RelDebut,$C68&lt;=RelFin),COUNTIFS($E$9:$E68,RelConducteur,$J$9:$J68,"Professionnel",$C$9:$C68,"&gt;="&amp;RelDebut,$C$9:$C68,"&lt;="&amp;RelFin),"")</f>
        <v/>
      </c>
    </row>
    <row r="69" spans="2:18" ht="18" customHeight="1" x14ac:dyDescent="0.25">
      <c r="B69" s="48">
        <f>IF(C69="","",COUNT($C$9:C69))</f>
        <v>61</v>
      </c>
      <c r="C69" s="49">
        <v>46444</v>
      </c>
      <c r="D69" s="50">
        <v>0.35416666666666669</v>
      </c>
      <c r="E69" s="51" t="s">
        <v>139</v>
      </c>
      <c r="F69" s="52" t="str">
        <f t="shared" si="0"/>
        <v>Service technique</v>
      </c>
      <c r="G69" s="51" t="s">
        <v>134</v>
      </c>
      <c r="H69" s="51" t="s">
        <v>151</v>
      </c>
      <c r="I69" s="51" t="s">
        <v>152</v>
      </c>
      <c r="J69" s="51" t="s">
        <v>8</v>
      </c>
      <c r="K69" s="53">
        <v>42317</v>
      </c>
      <c r="L69" s="53">
        <v>42373</v>
      </c>
      <c r="M69" s="54">
        <f t="shared" si="1"/>
        <v>56</v>
      </c>
      <c r="N69" s="55">
        <f t="shared" si="2"/>
        <v>0</v>
      </c>
      <c r="O69" s="56" t="str">
        <f t="shared" si="3"/>
        <v>Conforme</v>
      </c>
      <c r="P69" s="51"/>
      <c r="R69" s="57" t="str">
        <f>IF(AND($E69=RelConducteur,$J69="Professionnel",ISNUMBER($C69),$C69&gt;=RelDebut,$C69&lt;=RelFin),COUNTIFS($E$9:$E69,RelConducteur,$J$9:$J69,"Professionnel",$C$9:$C69,"&gt;="&amp;RelDebut,$C$9:$C69,"&lt;="&amp;RelFin),"")</f>
        <v/>
      </c>
    </row>
    <row r="70" spans="2:18" ht="18" customHeight="1" x14ac:dyDescent="0.25">
      <c r="B70" s="48">
        <f>IF(C70="","",COUNT($C$9:C70))</f>
        <v>62</v>
      </c>
      <c r="C70" s="49">
        <v>46444</v>
      </c>
      <c r="D70" s="50">
        <v>0.66666666666666663</v>
      </c>
      <c r="E70" s="51" t="s">
        <v>169</v>
      </c>
      <c r="F70" s="52" t="str">
        <f t="shared" si="0"/>
        <v>Direction</v>
      </c>
      <c r="G70" s="51" t="s">
        <v>134</v>
      </c>
      <c r="H70" s="51" t="s">
        <v>173</v>
      </c>
      <c r="I70" s="51" t="s">
        <v>174</v>
      </c>
      <c r="J70" s="51" t="s">
        <v>8</v>
      </c>
      <c r="K70" s="53">
        <v>42373</v>
      </c>
      <c r="L70" s="53">
        <v>42384</v>
      </c>
      <c r="M70" s="54">
        <f t="shared" si="1"/>
        <v>11</v>
      </c>
      <c r="N70" s="55">
        <f t="shared" si="2"/>
        <v>0</v>
      </c>
      <c r="O70" s="56" t="str">
        <f t="shared" si="3"/>
        <v>Conforme</v>
      </c>
      <c r="P70" s="51"/>
      <c r="R70" s="57" t="str">
        <f>IF(AND($E70=RelConducteur,$J70="Professionnel",ISNUMBER($C70),$C70&gt;=RelDebut,$C70&lt;=RelFin),COUNTIFS($E$9:$E70,RelConducteur,$J$9:$J70,"Professionnel",$C$9:$C70,"&gt;="&amp;RelDebut,$C$9:$C70,"&lt;="&amp;RelFin),"")</f>
        <v/>
      </c>
    </row>
    <row r="71" spans="2:18" ht="18" customHeight="1" x14ac:dyDescent="0.25">
      <c r="B71" s="48">
        <f>IF(C71="","",COUNT($C$9:C71))</f>
        <v>63</v>
      </c>
      <c r="C71" s="49">
        <v>46447</v>
      </c>
      <c r="D71" s="50">
        <v>0.58333333333333337</v>
      </c>
      <c r="E71" s="51" t="s">
        <v>139</v>
      </c>
      <c r="F71" s="52" t="str">
        <f t="shared" si="0"/>
        <v>Service technique</v>
      </c>
      <c r="G71" s="51" t="s">
        <v>134</v>
      </c>
      <c r="H71" s="51" t="s">
        <v>144</v>
      </c>
      <c r="I71" s="51" t="s">
        <v>145</v>
      </c>
      <c r="J71" s="51" t="s">
        <v>8</v>
      </c>
      <c r="K71" s="53">
        <v>42384</v>
      </c>
      <c r="L71" s="53">
        <v>42413</v>
      </c>
      <c r="M71" s="54">
        <f t="shared" si="1"/>
        <v>29</v>
      </c>
      <c r="N71" s="55">
        <f t="shared" si="2"/>
        <v>0</v>
      </c>
      <c r="O71" s="56" t="str">
        <f t="shared" si="3"/>
        <v>Conforme</v>
      </c>
      <c r="P71" s="51"/>
      <c r="R71" s="57" t="str">
        <f>IF(AND($E71=RelConducteur,$J71="Professionnel",ISNUMBER($C71),$C71&gt;=RelDebut,$C71&lt;=RelFin),COUNTIFS($E$9:$E71,RelConducteur,$J$9:$J71,"Professionnel",$C$9:$C71,"&gt;="&amp;RelDebut,$C$9:$C71,"&lt;="&amp;RelFin),"")</f>
        <v/>
      </c>
    </row>
    <row r="72" spans="2:18" ht="18" customHeight="1" x14ac:dyDescent="0.25">
      <c r="B72" s="48">
        <f>IF(C72="","",COUNT($C$9:C72))</f>
        <v>64</v>
      </c>
      <c r="C72" s="49">
        <v>46448</v>
      </c>
      <c r="D72" s="50">
        <v>0.33333333333333331</v>
      </c>
      <c r="E72" s="51" t="s">
        <v>139</v>
      </c>
      <c r="F72" s="52" t="str">
        <f t="shared" si="0"/>
        <v>Service technique</v>
      </c>
      <c r="G72" s="51" t="s">
        <v>134</v>
      </c>
      <c r="H72" s="51" t="s">
        <v>144</v>
      </c>
      <c r="I72" s="51" t="s">
        <v>145</v>
      </c>
      <c r="J72" s="51" t="s">
        <v>8</v>
      </c>
      <c r="K72" s="53">
        <v>42413</v>
      </c>
      <c r="L72" s="53">
        <v>42442</v>
      </c>
      <c r="M72" s="54">
        <f t="shared" si="1"/>
        <v>29</v>
      </c>
      <c r="N72" s="55">
        <f t="shared" si="2"/>
        <v>0</v>
      </c>
      <c r="O72" s="56" t="str">
        <f t="shared" si="3"/>
        <v>Conforme</v>
      </c>
      <c r="P72" s="51"/>
      <c r="R72" s="57" t="str">
        <f>IF(AND($E72=RelConducteur,$J72="Professionnel",ISNUMBER($C72),$C72&gt;=RelDebut,$C72&lt;=RelFin),COUNTIFS($E$9:$E72,RelConducteur,$J$9:$J72,"Professionnel",$C$9:$C72,"&gt;="&amp;RelDebut,$C$9:$C72,"&lt;="&amp;RelFin),"")</f>
        <v/>
      </c>
    </row>
    <row r="73" spans="2:18" ht="18" customHeight="1" x14ac:dyDescent="0.25">
      <c r="B73" s="48">
        <f>IF(C73="","",COUNT($C$9:C73))</f>
        <v>65</v>
      </c>
      <c r="C73" s="49">
        <v>46448</v>
      </c>
      <c r="D73" s="50">
        <v>0.58333333333333337</v>
      </c>
      <c r="E73" s="51" t="s">
        <v>133</v>
      </c>
      <c r="F73" s="52" t="str">
        <f t="shared" ref="F73:F136" si="4">IF(OR(C73="",E73=""),"",IFERROR(INDEX(CondService,MATCH(E73,CondNoms,0))&amp;"","Conducteur inconnu"))</f>
        <v>Service technique</v>
      </c>
      <c r="G73" s="51" t="s">
        <v>134</v>
      </c>
      <c r="H73" s="51" t="s">
        <v>137</v>
      </c>
      <c r="I73" s="51" t="s">
        <v>138</v>
      </c>
      <c r="J73" s="51" t="s">
        <v>8</v>
      </c>
      <c r="K73" s="53">
        <v>42442</v>
      </c>
      <c r="L73" s="53">
        <v>42504</v>
      </c>
      <c r="M73" s="54">
        <f t="shared" ref="M73:M136" si="5">IF(OR(K73="",L73=""),"",L73-K73)</f>
        <v>62</v>
      </c>
      <c r="N73" s="55">
        <f t="shared" si="2"/>
        <v>0</v>
      </c>
      <c r="O73" s="56" t="str">
        <f t="shared" si="3"/>
        <v>Conforme</v>
      </c>
      <c r="P73" s="51"/>
      <c r="R73" s="57" t="str">
        <f>IF(AND($E73=RelConducteur,$J73="Professionnel",ISNUMBER($C73),$C73&gt;=RelDebut,$C73&lt;=RelFin),COUNTIFS($E$9:$E73,RelConducteur,$J$9:$J73,"Professionnel",$C$9:$C73,"&gt;="&amp;RelDebut,$C$9:$C73,"&lt;="&amp;RelFin),"")</f>
        <v/>
      </c>
    </row>
    <row r="74" spans="2:18" ht="18" customHeight="1" x14ac:dyDescent="0.25">
      <c r="B74" s="48">
        <f>IF(C74="","",COUNT($C$9:C74))</f>
        <v>66</v>
      </c>
      <c r="C74" s="49">
        <v>46449</v>
      </c>
      <c r="D74" s="50">
        <v>0.58333333333333337</v>
      </c>
      <c r="E74" s="51" t="s">
        <v>139</v>
      </c>
      <c r="F74" s="52" t="str">
        <f t="shared" si="4"/>
        <v>Service technique</v>
      </c>
      <c r="G74" s="51" t="s">
        <v>134</v>
      </c>
      <c r="H74" s="51" t="s">
        <v>142</v>
      </c>
      <c r="I74" s="51" t="s">
        <v>143</v>
      </c>
      <c r="J74" s="51" t="s">
        <v>8</v>
      </c>
      <c r="K74" s="53">
        <v>42504</v>
      </c>
      <c r="L74" s="53">
        <v>42524</v>
      </c>
      <c r="M74" s="54">
        <f t="shared" si="5"/>
        <v>20</v>
      </c>
      <c r="N74" s="55">
        <f t="shared" ref="N74:N137" si="6">IF(OR(C74="",K74="",L73=""),"",K74-L73)</f>
        <v>0</v>
      </c>
      <c r="O74" s="56" t="str">
        <f t="shared" ref="O74:O137" si="7">IF(C74="","",IF(OR(E74="",G74="",H74="",J74="",K74="",L74="",AND(J74="Professionnel",I74="")),"Incomplet",IF(AND(ISNUMBER(C73),C74&lt;C73),"Ordre des dates",IF(L74&lt;K74,"Compteur incohérent",IF(AND(ISNUMBER(N74),N74&gt;ToleranceKm),"Km non enregistrés",IF(AND(ISNUMBER(N74),N74&lt;-ToleranceKm),"Chevauchement",IF(AND(J74="Personnel",UsagePrive="Non"),"Usage privé non autorisé","Conforme")))))))</f>
        <v>Conforme</v>
      </c>
      <c r="P74" s="51"/>
      <c r="R74" s="57" t="str">
        <f>IF(AND($E74=RelConducteur,$J74="Professionnel",ISNUMBER($C74),$C74&gt;=RelDebut,$C74&lt;=RelFin),COUNTIFS($E$9:$E74,RelConducteur,$J$9:$J74,"Professionnel",$C$9:$C74,"&gt;="&amp;RelDebut,$C$9:$C74,"&lt;="&amp;RelFin),"")</f>
        <v/>
      </c>
    </row>
    <row r="75" spans="2:18" ht="18" customHeight="1" x14ac:dyDescent="0.25">
      <c r="B75" s="48">
        <f>IF(C75="","",COUNT($C$9:C75))</f>
        <v>67</v>
      </c>
      <c r="C75" s="49">
        <v>46454</v>
      </c>
      <c r="D75" s="50">
        <v>0.3125</v>
      </c>
      <c r="E75" s="51" t="s">
        <v>139</v>
      </c>
      <c r="F75" s="52" t="str">
        <f t="shared" si="4"/>
        <v>Service technique</v>
      </c>
      <c r="G75" s="51" t="s">
        <v>134</v>
      </c>
      <c r="H75" s="51" t="s">
        <v>137</v>
      </c>
      <c r="I75" s="51" t="s">
        <v>138</v>
      </c>
      <c r="J75" s="51" t="s">
        <v>8</v>
      </c>
      <c r="K75" s="53">
        <v>42524</v>
      </c>
      <c r="L75" s="53">
        <v>42586</v>
      </c>
      <c r="M75" s="54">
        <f t="shared" si="5"/>
        <v>62</v>
      </c>
      <c r="N75" s="55">
        <f t="shared" si="6"/>
        <v>0</v>
      </c>
      <c r="O75" s="56" t="str">
        <f t="shared" si="7"/>
        <v>Conforme</v>
      </c>
      <c r="P75" s="51"/>
      <c r="R75" s="57" t="str">
        <f>IF(AND($E75=RelConducteur,$J75="Professionnel",ISNUMBER($C75),$C75&gt;=RelDebut,$C75&lt;=RelFin),COUNTIFS($E$9:$E75,RelConducteur,$J$9:$J75,"Professionnel",$C$9:$C75,"&gt;="&amp;RelDebut,$C$9:$C75,"&lt;="&amp;RelFin),"")</f>
        <v/>
      </c>
    </row>
    <row r="76" spans="2:18" ht="18" customHeight="1" x14ac:dyDescent="0.25">
      <c r="B76" s="48">
        <f>IF(C76="","",COUNT($C$9:C76))</f>
        <v>68</v>
      </c>
      <c r="C76" s="49">
        <v>46455</v>
      </c>
      <c r="D76" s="50">
        <v>0.33333333333333331</v>
      </c>
      <c r="E76" s="51" t="s">
        <v>133</v>
      </c>
      <c r="F76" s="52" t="str">
        <f t="shared" si="4"/>
        <v>Service technique</v>
      </c>
      <c r="G76" s="51" t="s">
        <v>134</v>
      </c>
      <c r="H76" s="51" t="s">
        <v>140</v>
      </c>
      <c r="I76" s="51" t="s">
        <v>141</v>
      </c>
      <c r="J76" s="51" t="s">
        <v>8</v>
      </c>
      <c r="K76" s="53">
        <v>42586</v>
      </c>
      <c r="L76" s="53">
        <v>42612</v>
      </c>
      <c r="M76" s="54">
        <f t="shared" si="5"/>
        <v>26</v>
      </c>
      <c r="N76" s="55">
        <f t="shared" si="6"/>
        <v>0</v>
      </c>
      <c r="O76" s="56" t="str">
        <f t="shared" si="7"/>
        <v>Conforme</v>
      </c>
      <c r="P76" s="51"/>
      <c r="R76" s="57" t="str">
        <f>IF(AND($E76=RelConducteur,$J76="Professionnel",ISNUMBER($C76),$C76&gt;=RelDebut,$C76&lt;=RelFin),COUNTIFS($E$9:$E76,RelConducteur,$J$9:$J76,"Professionnel",$C$9:$C76,"&gt;="&amp;RelDebut,$C$9:$C76,"&lt;="&amp;RelFin),"")</f>
        <v/>
      </c>
    </row>
    <row r="77" spans="2:18" ht="18" customHeight="1" x14ac:dyDescent="0.25">
      <c r="B77" s="48">
        <f>IF(C77="","",COUNT($C$9:C77))</f>
        <v>69</v>
      </c>
      <c r="C77" s="49">
        <v>46456</v>
      </c>
      <c r="D77" s="50">
        <v>0.33333333333333331</v>
      </c>
      <c r="E77" s="51" t="s">
        <v>139</v>
      </c>
      <c r="F77" s="52" t="str">
        <f t="shared" si="4"/>
        <v>Service technique</v>
      </c>
      <c r="G77" s="51" t="s">
        <v>134</v>
      </c>
      <c r="H77" s="51" t="s">
        <v>165</v>
      </c>
      <c r="I77" s="51" t="s">
        <v>166</v>
      </c>
      <c r="J77" s="51" t="s">
        <v>8</v>
      </c>
      <c r="K77" s="53">
        <v>42612</v>
      </c>
      <c r="L77" s="53">
        <v>42681</v>
      </c>
      <c r="M77" s="54">
        <f t="shared" si="5"/>
        <v>69</v>
      </c>
      <c r="N77" s="55">
        <f t="shared" si="6"/>
        <v>0</v>
      </c>
      <c r="O77" s="56" t="str">
        <f t="shared" si="7"/>
        <v>Conforme</v>
      </c>
      <c r="P77" s="51"/>
      <c r="R77" s="57" t="str">
        <f>IF(AND($E77=RelConducteur,$J77="Professionnel",ISNUMBER($C77),$C77&gt;=RelDebut,$C77&lt;=RelFin),COUNTIFS($E$9:$E77,RelConducteur,$J$9:$J77,"Professionnel",$C$9:$C77,"&gt;="&amp;RelDebut,$C$9:$C77,"&lt;="&amp;RelFin),"")</f>
        <v/>
      </c>
    </row>
    <row r="78" spans="2:18" ht="18" customHeight="1" x14ac:dyDescent="0.25">
      <c r="B78" s="48">
        <f>IF(C78="","",COUNT($C$9:C78))</f>
        <v>70</v>
      </c>
      <c r="C78" s="49">
        <v>46456</v>
      </c>
      <c r="D78" s="50">
        <v>0.58333333333333337</v>
      </c>
      <c r="E78" s="51" t="s">
        <v>133</v>
      </c>
      <c r="F78" s="52" t="str">
        <f t="shared" si="4"/>
        <v>Service technique</v>
      </c>
      <c r="G78" s="51" t="s">
        <v>134</v>
      </c>
      <c r="H78" s="51" t="s">
        <v>137</v>
      </c>
      <c r="I78" s="51" t="s">
        <v>138</v>
      </c>
      <c r="J78" s="51" t="s">
        <v>8</v>
      </c>
      <c r="K78" s="53">
        <v>42681</v>
      </c>
      <c r="L78" s="53">
        <v>42747</v>
      </c>
      <c r="M78" s="54">
        <f t="shared" si="5"/>
        <v>66</v>
      </c>
      <c r="N78" s="55">
        <f t="shared" si="6"/>
        <v>0</v>
      </c>
      <c r="O78" s="56" t="str">
        <f t="shared" si="7"/>
        <v>Conforme</v>
      </c>
      <c r="P78" s="51"/>
      <c r="R78" s="57" t="str">
        <f>IF(AND($E78=RelConducteur,$J78="Professionnel",ISNUMBER($C78),$C78&gt;=RelDebut,$C78&lt;=RelFin),COUNTIFS($E$9:$E78,RelConducteur,$J$9:$J78,"Professionnel",$C$9:$C78,"&gt;="&amp;RelDebut,$C$9:$C78,"&lt;="&amp;RelFin),"")</f>
        <v/>
      </c>
    </row>
    <row r="79" spans="2:18" ht="18" customHeight="1" x14ac:dyDescent="0.25">
      <c r="B79" s="48">
        <f>IF(C79="","",COUNT($C$9:C79))</f>
        <v>71</v>
      </c>
      <c r="C79" s="49">
        <v>46457</v>
      </c>
      <c r="D79" s="50">
        <v>0.33333333333333331</v>
      </c>
      <c r="E79" s="51" t="s">
        <v>133</v>
      </c>
      <c r="F79" s="52" t="str">
        <f t="shared" si="4"/>
        <v>Service technique</v>
      </c>
      <c r="G79" s="51" t="s">
        <v>134</v>
      </c>
      <c r="H79" s="51" t="s">
        <v>151</v>
      </c>
      <c r="I79" s="51" t="s">
        <v>152</v>
      </c>
      <c r="J79" s="51" t="s">
        <v>8</v>
      </c>
      <c r="K79" s="53">
        <v>42747</v>
      </c>
      <c r="L79" s="53">
        <v>42803</v>
      </c>
      <c r="M79" s="54">
        <f t="shared" si="5"/>
        <v>56</v>
      </c>
      <c r="N79" s="55">
        <f t="shared" si="6"/>
        <v>0</v>
      </c>
      <c r="O79" s="56" t="str">
        <f t="shared" si="7"/>
        <v>Conforme</v>
      </c>
      <c r="P79" s="51"/>
      <c r="R79" s="57" t="str">
        <f>IF(AND($E79=RelConducteur,$J79="Professionnel",ISNUMBER($C79),$C79&gt;=RelDebut,$C79&lt;=RelFin),COUNTIFS($E$9:$E79,RelConducteur,$J$9:$J79,"Professionnel",$C$9:$C79,"&gt;="&amp;RelDebut,$C$9:$C79,"&lt;="&amp;RelFin),"")</f>
        <v/>
      </c>
    </row>
    <row r="80" spans="2:18" ht="18" customHeight="1" x14ac:dyDescent="0.25">
      <c r="B80" s="48">
        <f>IF(C80="","",COUNT($C$9:C80))</f>
        <v>72</v>
      </c>
      <c r="C80" s="49">
        <v>46457</v>
      </c>
      <c r="D80" s="50">
        <v>0.58333333333333337</v>
      </c>
      <c r="E80" s="51" t="s">
        <v>139</v>
      </c>
      <c r="F80" s="52" t="str">
        <f t="shared" si="4"/>
        <v>Service technique</v>
      </c>
      <c r="G80" s="51" t="s">
        <v>134</v>
      </c>
      <c r="H80" s="51" t="s">
        <v>142</v>
      </c>
      <c r="I80" s="51" t="s">
        <v>143</v>
      </c>
      <c r="J80" s="51" t="s">
        <v>8</v>
      </c>
      <c r="K80" s="53">
        <v>42803</v>
      </c>
      <c r="L80" s="53">
        <v>42823</v>
      </c>
      <c r="M80" s="54">
        <f t="shared" si="5"/>
        <v>20</v>
      </c>
      <c r="N80" s="55">
        <f t="shared" si="6"/>
        <v>0</v>
      </c>
      <c r="O80" s="56" t="str">
        <f t="shared" si="7"/>
        <v>Conforme</v>
      </c>
      <c r="P80" s="51"/>
      <c r="R80" s="57" t="str">
        <f>IF(AND($E80=RelConducteur,$J80="Professionnel",ISNUMBER($C80),$C80&gt;=RelDebut,$C80&lt;=RelFin),COUNTIFS($E$9:$E80,RelConducteur,$J$9:$J80,"Professionnel",$C$9:$C80,"&gt;="&amp;RelDebut,$C$9:$C80,"&lt;="&amp;RelFin),"")</f>
        <v/>
      </c>
    </row>
    <row r="81" spans="2:18" ht="18" customHeight="1" x14ac:dyDescent="0.25">
      <c r="B81" s="48">
        <f>IF(C81="","",COUNT($C$9:C81))</f>
        <v>73</v>
      </c>
      <c r="C81" s="49">
        <v>46458</v>
      </c>
      <c r="D81" s="50">
        <v>0.33333333333333331</v>
      </c>
      <c r="E81" s="51" t="s">
        <v>139</v>
      </c>
      <c r="F81" s="52" t="str">
        <f t="shared" si="4"/>
        <v>Service technique</v>
      </c>
      <c r="G81" s="51" t="s">
        <v>134</v>
      </c>
      <c r="H81" s="51" t="s">
        <v>140</v>
      </c>
      <c r="I81" s="51" t="s">
        <v>141</v>
      </c>
      <c r="J81" s="51" t="s">
        <v>8</v>
      </c>
      <c r="K81" s="53">
        <v>42823</v>
      </c>
      <c r="L81" s="53">
        <v>42845</v>
      </c>
      <c r="M81" s="54">
        <f t="shared" si="5"/>
        <v>22</v>
      </c>
      <c r="N81" s="55">
        <f t="shared" si="6"/>
        <v>0</v>
      </c>
      <c r="O81" s="56" t="str">
        <f t="shared" si="7"/>
        <v>Conforme</v>
      </c>
      <c r="P81" s="51"/>
      <c r="R81" s="57" t="str">
        <f>IF(AND($E81=RelConducteur,$J81="Professionnel",ISNUMBER($C81),$C81&gt;=RelDebut,$C81&lt;=RelFin),COUNTIFS($E$9:$E81,RelConducteur,$J$9:$J81,"Professionnel",$C$9:$C81,"&gt;="&amp;RelDebut,$C$9:$C81,"&lt;="&amp;RelFin),"")</f>
        <v/>
      </c>
    </row>
    <row r="82" spans="2:18" ht="18" customHeight="1" x14ac:dyDescent="0.25">
      <c r="B82" s="48">
        <f>IF(C82="","",COUNT($C$9:C82))</f>
        <v>74</v>
      </c>
      <c r="C82" s="49">
        <v>46458</v>
      </c>
      <c r="D82" s="50">
        <v>0.41666666666666669</v>
      </c>
      <c r="E82" s="51" t="s">
        <v>148</v>
      </c>
      <c r="F82" s="52" t="str">
        <f t="shared" si="4"/>
        <v>Service commercial</v>
      </c>
      <c r="G82" s="51" t="s">
        <v>134</v>
      </c>
      <c r="H82" s="51" t="s">
        <v>159</v>
      </c>
      <c r="I82" s="51" t="s">
        <v>160</v>
      </c>
      <c r="J82" s="51" t="s">
        <v>8</v>
      </c>
      <c r="K82" s="53">
        <v>42845</v>
      </c>
      <c r="L82" s="53">
        <v>42970</v>
      </c>
      <c r="M82" s="54">
        <f t="shared" si="5"/>
        <v>125</v>
      </c>
      <c r="N82" s="55">
        <f t="shared" si="6"/>
        <v>0</v>
      </c>
      <c r="O82" s="56" t="str">
        <f t="shared" si="7"/>
        <v>Conforme</v>
      </c>
      <c r="P82" s="51"/>
      <c r="R82" s="57">
        <f>IF(AND($E82=RelConducteur,$J82="Professionnel",ISNUMBER($C82),$C82&gt;=RelDebut,$C82&lt;=RelFin),COUNTIFS($E$9:$E82,RelConducteur,$J$9:$J82,"Professionnel",$C$9:$C82,"&gt;="&amp;RelDebut,$C$9:$C82,"&lt;="&amp;RelFin),"")</f>
        <v>1</v>
      </c>
    </row>
    <row r="83" spans="2:18" ht="18" customHeight="1" x14ac:dyDescent="0.25">
      <c r="B83" s="48">
        <f>IF(C83="","",COUNT($C$9:C83))</f>
        <v>75</v>
      </c>
      <c r="C83" s="49">
        <v>46461</v>
      </c>
      <c r="D83" s="50">
        <v>0.35416666666666669</v>
      </c>
      <c r="E83" s="51" t="s">
        <v>133</v>
      </c>
      <c r="F83" s="52" t="str">
        <f t="shared" si="4"/>
        <v>Service technique</v>
      </c>
      <c r="G83" s="51" t="s">
        <v>134</v>
      </c>
      <c r="H83" s="51" t="s">
        <v>137</v>
      </c>
      <c r="I83" s="51" t="s">
        <v>138</v>
      </c>
      <c r="J83" s="51" t="s">
        <v>8</v>
      </c>
      <c r="K83" s="53">
        <v>42970</v>
      </c>
      <c r="L83" s="53">
        <v>43033</v>
      </c>
      <c r="M83" s="54">
        <f t="shared" si="5"/>
        <v>63</v>
      </c>
      <c r="N83" s="55">
        <f t="shared" si="6"/>
        <v>0</v>
      </c>
      <c r="O83" s="56" t="str">
        <f t="shared" si="7"/>
        <v>Conforme</v>
      </c>
      <c r="P83" s="51"/>
      <c r="R83" s="57" t="str">
        <f>IF(AND($E83=RelConducteur,$J83="Professionnel",ISNUMBER($C83),$C83&gt;=RelDebut,$C83&lt;=RelFin),COUNTIFS($E$9:$E83,RelConducteur,$J$9:$J83,"Professionnel",$C$9:$C83,"&gt;="&amp;RelDebut,$C$9:$C83,"&lt;="&amp;RelFin),"")</f>
        <v/>
      </c>
    </row>
    <row r="84" spans="2:18" ht="18" customHeight="1" x14ac:dyDescent="0.25">
      <c r="B84" s="48">
        <f>IF(C84="","",COUNT($C$9:C84))</f>
        <v>76</v>
      </c>
      <c r="C84" s="49">
        <v>46461</v>
      </c>
      <c r="D84" s="50">
        <v>0.60416666666666663</v>
      </c>
      <c r="E84" s="51" t="s">
        <v>139</v>
      </c>
      <c r="F84" s="52" t="str">
        <f t="shared" si="4"/>
        <v>Service technique</v>
      </c>
      <c r="G84" s="51" t="s">
        <v>134</v>
      </c>
      <c r="H84" s="51" t="s">
        <v>144</v>
      </c>
      <c r="I84" s="51" t="s">
        <v>145</v>
      </c>
      <c r="J84" s="51" t="s">
        <v>8</v>
      </c>
      <c r="K84" s="53">
        <v>43033</v>
      </c>
      <c r="L84" s="53">
        <v>43062</v>
      </c>
      <c r="M84" s="54">
        <f t="shared" si="5"/>
        <v>29</v>
      </c>
      <c r="N84" s="55">
        <f t="shared" si="6"/>
        <v>0</v>
      </c>
      <c r="O84" s="56" t="str">
        <f t="shared" si="7"/>
        <v>Conforme</v>
      </c>
      <c r="P84" s="51"/>
      <c r="R84" s="57" t="str">
        <f>IF(AND($E84=RelConducteur,$J84="Professionnel",ISNUMBER($C84),$C84&gt;=RelDebut,$C84&lt;=RelFin),COUNTIFS($E$9:$E84,RelConducteur,$J$9:$J84,"Professionnel",$C$9:$C84,"&gt;="&amp;RelDebut,$C$9:$C84,"&lt;="&amp;RelFin),"")</f>
        <v/>
      </c>
    </row>
    <row r="85" spans="2:18" ht="18" customHeight="1" x14ac:dyDescent="0.25">
      <c r="B85" s="48">
        <f>IF(C85="","",COUNT($C$9:C85))</f>
        <v>77</v>
      </c>
      <c r="C85" s="49">
        <v>46461</v>
      </c>
      <c r="D85" s="50">
        <v>0.75</v>
      </c>
      <c r="E85" s="51" t="s">
        <v>139</v>
      </c>
      <c r="F85" s="52" t="str">
        <f t="shared" si="4"/>
        <v>Service technique</v>
      </c>
      <c r="G85" s="51" t="s">
        <v>134</v>
      </c>
      <c r="H85" s="51" t="s">
        <v>155</v>
      </c>
      <c r="I85" s="51" t="s">
        <v>156</v>
      </c>
      <c r="J85" s="51" t="s">
        <v>9</v>
      </c>
      <c r="K85" s="53">
        <v>43062</v>
      </c>
      <c r="L85" s="53">
        <v>43086</v>
      </c>
      <c r="M85" s="54">
        <f t="shared" si="5"/>
        <v>24</v>
      </c>
      <c r="N85" s="55">
        <f t="shared" si="6"/>
        <v>0</v>
      </c>
      <c r="O85" s="56" t="str">
        <f t="shared" si="7"/>
        <v>Conforme</v>
      </c>
      <c r="P85" s="51"/>
      <c r="R85" s="57" t="str">
        <f>IF(AND($E85=RelConducteur,$J85="Professionnel",ISNUMBER($C85),$C85&gt;=RelDebut,$C85&lt;=RelFin),COUNTIFS($E$9:$E85,RelConducteur,$J$9:$J85,"Professionnel",$C$9:$C85,"&gt;="&amp;RelDebut,$C$9:$C85,"&lt;="&amp;RelFin),"")</f>
        <v/>
      </c>
    </row>
    <row r="86" spans="2:18" ht="18" customHeight="1" x14ac:dyDescent="0.25">
      <c r="B86" s="48">
        <f>IF(C86="","",COUNT($C$9:C86))</f>
        <v>78</v>
      </c>
      <c r="C86" s="49">
        <v>46462</v>
      </c>
      <c r="D86" s="50">
        <v>0.3125</v>
      </c>
      <c r="E86" s="51" t="s">
        <v>139</v>
      </c>
      <c r="F86" s="52" t="str">
        <f t="shared" si="4"/>
        <v>Service technique</v>
      </c>
      <c r="G86" s="51" t="s">
        <v>134</v>
      </c>
      <c r="H86" s="51" t="s">
        <v>142</v>
      </c>
      <c r="I86" s="51" t="s">
        <v>143</v>
      </c>
      <c r="J86" s="51" t="s">
        <v>8</v>
      </c>
      <c r="K86" s="53">
        <v>43086</v>
      </c>
      <c r="L86" s="53">
        <v>43103</v>
      </c>
      <c r="M86" s="54">
        <f t="shared" si="5"/>
        <v>17</v>
      </c>
      <c r="N86" s="55">
        <f t="shared" si="6"/>
        <v>0</v>
      </c>
      <c r="O86" s="56" t="str">
        <f t="shared" si="7"/>
        <v>Conforme</v>
      </c>
      <c r="P86" s="51"/>
      <c r="R86" s="57" t="str">
        <f>IF(AND($E86=RelConducteur,$J86="Professionnel",ISNUMBER($C86),$C86&gt;=RelDebut,$C86&lt;=RelFin),COUNTIFS($E$9:$E86,RelConducteur,$J$9:$J86,"Professionnel",$C$9:$C86,"&gt;="&amp;RelDebut,$C$9:$C86,"&lt;="&amp;RelFin),"")</f>
        <v/>
      </c>
    </row>
    <row r="87" spans="2:18" ht="18" customHeight="1" x14ac:dyDescent="0.25">
      <c r="B87" s="48">
        <f>IF(C87="","",COUNT($C$9:C87))</f>
        <v>79</v>
      </c>
      <c r="C87" s="49">
        <v>46462</v>
      </c>
      <c r="D87" s="50">
        <v>0.58333333333333337</v>
      </c>
      <c r="E87" s="51" t="s">
        <v>133</v>
      </c>
      <c r="F87" s="52" t="str">
        <f t="shared" si="4"/>
        <v>Service technique</v>
      </c>
      <c r="G87" s="51" t="s">
        <v>134</v>
      </c>
      <c r="H87" s="51" t="s">
        <v>142</v>
      </c>
      <c r="I87" s="51" t="s">
        <v>143</v>
      </c>
      <c r="J87" s="51" t="s">
        <v>8</v>
      </c>
      <c r="K87" s="53">
        <v>43103</v>
      </c>
      <c r="L87" s="53">
        <v>43120</v>
      </c>
      <c r="M87" s="54">
        <f t="shared" si="5"/>
        <v>17</v>
      </c>
      <c r="N87" s="55">
        <f t="shared" si="6"/>
        <v>0</v>
      </c>
      <c r="O87" s="56" t="str">
        <f t="shared" si="7"/>
        <v>Conforme</v>
      </c>
      <c r="P87" s="51"/>
      <c r="R87" s="57" t="str">
        <f>IF(AND($E87=RelConducteur,$J87="Professionnel",ISNUMBER($C87),$C87&gt;=RelDebut,$C87&lt;=RelFin),COUNTIFS($E$9:$E87,RelConducteur,$J$9:$J87,"Professionnel",$C$9:$C87,"&gt;="&amp;RelDebut,$C$9:$C87,"&lt;="&amp;RelFin),"")</f>
        <v/>
      </c>
    </row>
    <row r="88" spans="2:18" ht="18" customHeight="1" x14ac:dyDescent="0.25">
      <c r="B88" s="48">
        <f>IF(C88="","",COUNT($C$9:C88))</f>
        <v>80</v>
      </c>
      <c r="C88" s="49">
        <v>46462</v>
      </c>
      <c r="D88" s="50">
        <v>0.75</v>
      </c>
      <c r="E88" s="51" t="s">
        <v>139</v>
      </c>
      <c r="F88" s="52" t="str">
        <f t="shared" si="4"/>
        <v>Service technique</v>
      </c>
      <c r="G88" s="51" t="s">
        <v>134</v>
      </c>
      <c r="H88" s="51" t="s">
        <v>155</v>
      </c>
      <c r="I88" s="51" t="s">
        <v>156</v>
      </c>
      <c r="J88" s="51" t="s">
        <v>9</v>
      </c>
      <c r="K88" s="53">
        <v>43120</v>
      </c>
      <c r="L88" s="53">
        <v>43144</v>
      </c>
      <c r="M88" s="54">
        <f t="shared" si="5"/>
        <v>24</v>
      </c>
      <c r="N88" s="55">
        <f t="shared" si="6"/>
        <v>0</v>
      </c>
      <c r="O88" s="56" t="str">
        <f t="shared" si="7"/>
        <v>Conforme</v>
      </c>
      <c r="P88" s="51"/>
      <c r="R88" s="57" t="str">
        <f>IF(AND($E88=RelConducteur,$J88="Professionnel",ISNUMBER($C88),$C88&gt;=RelDebut,$C88&lt;=RelFin),COUNTIFS($E$9:$E88,RelConducteur,$J$9:$J88,"Professionnel",$C$9:$C88,"&gt;="&amp;RelDebut,$C$9:$C88,"&lt;="&amp;RelFin),"")</f>
        <v/>
      </c>
    </row>
    <row r="89" spans="2:18" ht="18" customHeight="1" x14ac:dyDescent="0.25">
      <c r="B89" s="48">
        <f>IF(C89="","",COUNT($C$9:C89))</f>
        <v>81</v>
      </c>
      <c r="C89" s="49">
        <v>46463</v>
      </c>
      <c r="D89" s="50">
        <v>0.60416666666666663</v>
      </c>
      <c r="E89" s="51" t="s">
        <v>139</v>
      </c>
      <c r="F89" s="52" t="str">
        <f t="shared" si="4"/>
        <v>Service technique</v>
      </c>
      <c r="G89" s="51" t="s">
        <v>134</v>
      </c>
      <c r="H89" s="51" t="s">
        <v>140</v>
      </c>
      <c r="I89" s="51" t="s">
        <v>141</v>
      </c>
      <c r="J89" s="51" t="s">
        <v>8</v>
      </c>
      <c r="K89" s="53">
        <v>43144</v>
      </c>
      <c r="L89" s="53">
        <v>43168</v>
      </c>
      <c r="M89" s="54">
        <f t="shared" si="5"/>
        <v>24</v>
      </c>
      <c r="N89" s="55">
        <f t="shared" si="6"/>
        <v>0</v>
      </c>
      <c r="O89" s="56" t="str">
        <f t="shared" si="7"/>
        <v>Conforme</v>
      </c>
      <c r="P89" s="51"/>
      <c r="R89" s="57" t="str">
        <f>IF(AND($E89=RelConducteur,$J89="Professionnel",ISNUMBER($C89),$C89&gt;=RelDebut,$C89&lt;=RelFin),COUNTIFS($E$9:$E89,RelConducteur,$J$9:$J89,"Professionnel",$C$9:$C89,"&gt;="&amp;RelDebut,$C$9:$C89,"&lt;="&amp;RelFin),"")</f>
        <v/>
      </c>
    </row>
    <row r="90" spans="2:18" ht="18" customHeight="1" x14ac:dyDescent="0.25">
      <c r="B90" s="48">
        <f>IF(C90="","",COUNT($C$9:C90))</f>
        <v>82</v>
      </c>
      <c r="C90" s="49">
        <v>46463</v>
      </c>
      <c r="D90" s="50">
        <v>0.75</v>
      </c>
      <c r="E90" s="51" t="s">
        <v>139</v>
      </c>
      <c r="F90" s="52" t="str">
        <f t="shared" si="4"/>
        <v>Service technique</v>
      </c>
      <c r="G90" s="51" t="s">
        <v>134</v>
      </c>
      <c r="H90" s="51" t="s">
        <v>155</v>
      </c>
      <c r="I90" s="51" t="s">
        <v>156</v>
      </c>
      <c r="J90" s="51" t="s">
        <v>9</v>
      </c>
      <c r="K90" s="53">
        <v>43168</v>
      </c>
      <c r="L90" s="53">
        <v>43192</v>
      </c>
      <c r="M90" s="54">
        <f t="shared" si="5"/>
        <v>24</v>
      </c>
      <c r="N90" s="55">
        <f t="shared" si="6"/>
        <v>0</v>
      </c>
      <c r="O90" s="56" t="str">
        <f t="shared" si="7"/>
        <v>Conforme</v>
      </c>
      <c r="P90" s="51"/>
      <c r="R90" s="57" t="str">
        <f>IF(AND($E90=RelConducteur,$J90="Professionnel",ISNUMBER($C90),$C90&gt;=RelDebut,$C90&lt;=RelFin),COUNTIFS($E$9:$E90,RelConducteur,$J$9:$J90,"Professionnel",$C$9:$C90,"&gt;="&amp;RelDebut,$C$9:$C90,"&lt;="&amp;RelFin),"")</f>
        <v/>
      </c>
    </row>
    <row r="91" spans="2:18" ht="18" customHeight="1" x14ac:dyDescent="0.25">
      <c r="B91" s="48">
        <f>IF(C91="","",COUNT($C$9:C91))</f>
        <v>83</v>
      </c>
      <c r="C91" s="49">
        <v>46464</v>
      </c>
      <c r="D91" s="50">
        <v>0.35416666666666669</v>
      </c>
      <c r="E91" s="51" t="s">
        <v>139</v>
      </c>
      <c r="F91" s="52" t="str">
        <f t="shared" si="4"/>
        <v>Service technique</v>
      </c>
      <c r="G91" s="51" t="s">
        <v>134</v>
      </c>
      <c r="H91" s="51" t="s">
        <v>161</v>
      </c>
      <c r="I91" s="51" t="s">
        <v>162</v>
      </c>
      <c r="J91" s="51" t="s">
        <v>8</v>
      </c>
      <c r="K91" s="53">
        <v>43192</v>
      </c>
      <c r="L91" s="53">
        <v>43219</v>
      </c>
      <c r="M91" s="54">
        <f t="shared" si="5"/>
        <v>27</v>
      </c>
      <c r="N91" s="55">
        <f t="shared" si="6"/>
        <v>0</v>
      </c>
      <c r="O91" s="56" t="str">
        <f t="shared" si="7"/>
        <v>Conforme</v>
      </c>
      <c r="P91" s="51"/>
      <c r="R91" s="57" t="str">
        <f>IF(AND($E91=RelConducteur,$J91="Professionnel",ISNUMBER($C91),$C91&gt;=RelDebut,$C91&lt;=RelFin),COUNTIFS($E$9:$E91,RelConducteur,$J$9:$J91,"Professionnel",$C$9:$C91,"&gt;="&amp;RelDebut,$C$9:$C91,"&lt;="&amp;RelFin),"")</f>
        <v/>
      </c>
    </row>
    <row r="92" spans="2:18" ht="18" customHeight="1" x14ac:dyDescent="0.25">
      <c r="B92" s="48">
        <f>IF(C92="","",COUNT($C$9:C92))</f>
        <v>84</v>
      </c>
      <c r="C92" s="49">
        <v>46464</v>
      </c>
      <c r="D92" s="50">
        <v>0.41666666666666669</v>
      </c>
      <c r="E92" s="51" t="s">
        <v>148</v>
      </c>
      <c r="F92" s="52" t="str">
        <f t="shared" si="4"/>
        <v>Service commercial</v>
      </c>
      <c r="G92" s="51" t="s">
        <v>134</v>
      </c>
      <c r="H92" s="51" t="s">
        <v>157</v>
      </c>
      <c r="I92" s="51" t="s">
        <v>158</v>
      </c>
      <c r="J92" s="51" t="s">
        <v>8</v>
      </c>
      <c r="K92" s="53">
        <v>43219</v>
      </c>
      <c r="L92" s="53">
        <v>43435</v>
      </c>
      <c r="M92" s="54">
        <f t="shared" si="5"/>
        <v>216</v>
      </c>
      <c r="N92" s="55">
        <f t="shared" si="6"/>
        <v>0</v>
      </c>
      <c r="O92" s="56" t="str">
        <f t="shared" si="7"/>
        <v>Conforme</v>
      </c>
      <c r="P92" s="51"/>
      <c r="R92" s="57">
        <f>IF(AND($E92=RelConducteur,$J92="Professionnel",ISNUMBER($C92),$C92&gt;=RelDebut,$C92&lt;=RelFin),COUNTIFS($E$9:$E92,RelConducteur,$J$9:$J92,"Professionnel",$C$9:$C92,"&gt;="&amp;RelDebut,$C$9:$C92,"&lt;="&amp;RelFin),"")</f>
        <v>2</v>
      </c>
    </row>
    <row r="93" spans="2:18" ht="18" customHeight="1" x14ac:dyDescent="0.25">
      <c r="B93" s="48">
        <f>IF(C93="","",COUNT($C$9:C93))</f>
        <v>85</v>
      </c>
      <c r="C93" s="49">
        <v>46464</v>
      </c>
      <c r="D93" s="50">
        <v>0.75</v>
      </c>
      <c r="E93" s="51" t="s">
        <v>139</v>
      </c>
      <c r="F93" s="52" t="str">
        <f t="shared" si="4"/>
        <v>Service technique</v>
      </c>
      <c r="G93" s="51" t="s">
        <v>134</v>
      </c>
      <c r="H93" s="51" t="s">
        <v>155</v>
      </c>
      <c r="I93" s="51" t="s">
        <v>156</v>
      </c>
      <c r="J93" s="51" t="s">
        <v>9</v>
      </c>
      <c r="K93" s="53">
        <v>43435</v>
      </c>
      <c r="L93" s="53">
        <v>43459</v>
      </c>
      <c r="M93" s="54">
        <f t="shared" si="5"/>
        <v>24</v>
      </c>
      <c r="N93" s="55">
        <f t="shared" si="6"/>
        <v>0</v>
      </c>
      <c r="O93" s="56" t="str">
        <f t="shared" si="7"/>
        <v>Conforme</v>
      </c>
      <c r="P93" s="51"/>
      <c r="R93" s="57" t="str">
        <f>IF(AND($E93=RelConducteur,$J93="Professionnel",ISNUMBER($C93),$C93&gt;=RelDebut,$C93&lt;=RelFin),COUNTIFS($E$9:$E93,RelConducteur,$J$9:$J93,"Professionnel",$C$9:$C93,"&gt;="&amp;RelDebut,$C$9:$C93,"&lt;="&amp;RelFin),"")</f>
        <v/>
      </c>
    </row>
    <row r="94" spans="2:18" ht="18" customHeight="1" x14ac:dyDescent="0.25">
      <c r="B94" s="48">
        <f>IF(C94="","",COUNT($C$9:C94))</f>
        <v>86</v>
      </c>
      <c r="C94" s="49">
        <v>46465</v>
      </c>
      <c r="D94" s="50">
        <v>0.3125</v>
      </c>
      <c r="E94" s="51" t="s">
        <v>133</v>
      </c>
      <c r="F94" s="52" t="str">
        <f t="shared" si="4"/>
        <v>Service technique</v>
      </c>
      <c r="G94" s="51" t="s">
        <v>134</v>
      </c>
      <c r="H94" s="51" t="s">
        <v>163</v>
      </c>
      <c r="I94" s="51" t="s">
        <v>164</v>
      </c>
      <c r="J94" s="51" t="s">
        <v>8</v>
      </c>
      <c r="K94" s="53">
        <v>43459</v>
      </c>
      <c r="L94" s="53">
        <v>43487</v>
      </c>
      <c r="M94" s="54">
        <f t="shared" si="5"/>
        <v>28</v>
      </c>
      <c r="N94" s="55">
        <f t="shared" si="6"/>
        <v>0</v>
      </c>
      <c r="O94" s="56" t="str">
        <f t="shared" si="7"/>
        <v>Conforme</v>
      </c>
      <c r="P94" s="51"/>
      <c r="R94" s="57" t="str">
        <f>IF(AND($E94=RelConducteur,$J94="Professionnel",ISNUMBER($C94),$C94&gt;=RelDebut,$C94&lt;=RelFin),COUNTIFS($E$9:$E94,RelConducteur,$J$9:$J94,"Professionnel",$C$9:$C94,"&gt;="&amp;RelDebut,$C$9:$C94,"&lt;="&amp;RelFin),"")</f>
        <v/>
      </c>
    </row>
    <row r="95" spans="2:18" ht="18" customHeight="1" x14ac:dyDescent="0.25">
      <c r="B95" s="48">
        <f>IF(C95="","",COUNT($C$9:C95))</f>
        <v>87</v>
      </c>
      <c r="C95" s="49">
        <v>46465</v>
      </c>
      <c r="D95" s="50">
        <v>0.4375</v>
      </c>
      <c r="E95" s="51" t="s">
        <v>148</v>
      </c>
      <c r="F95" s="52" t="str">
        <f t="shared" si="4"/>
        <v>Service commercial</v>
      </c>
      <c r="G95" s="51" t="s">
        <v>134</v>
      </c>
      <c r="H95" s="51" t="s">
        <v>159</v>
      </c>
      <c r="I95" s="51" t="s">
        <v>160</v>
      </c>
      <c r="J95" s="51" t="s">
        <v>8</v>
      </c>
      <c r="K95" s="53">
        <v>43487</v>
      </c>
      <c r="L95" s="53">
        <v>43619</v>
      </c>
      <c r="M95" s="54">
        <f t="shared" si="5"/>
        <v>132</v>
      </c>
      <c r="N95" s="55">
        <f t="shared" si="6"/>
        <v>0</v>
      </c>
      <c r="O95" s="56" t="str">
        <f t="shared" si="7"/>
        <v>Conforme</v>
      </c>
      <c r="P95" s="51"/>
      <c r="R95" s="57">
        <f>IF(AND($E95=RelConducteur,$J95="Professionnel",ISNUMBER($C95),$C95&gt;=RelDebut,$C95&lt;=RelFin),COUNTIFS($E$9:$E95,RelConducteur,$J$9:$J95,"Professionnel",$C$9:$C95,"&gt;="&amp;RelDebut,$C$9:$C95,"&lt;="&amp;RelFin),"")</f>
        <v>3</v>
      </c>
    </row>
    <row r="96" spans="2:18" ht="18" customHeight="1" x14ac:dyDescent="0.25">
      <c r="B96" s="48">
        <f>IF(C96="","",COUNT($C$9:C96))</f>
        <v>88</v>
      </c>
      <c r="C96" s="49">
        <v>46468</v>
      </c>
      <c r="D96" s="50">
        <v>0.41666666666666669</v>
      </c>
      <c r="E96" s="51" t="s">
        <v>148</v>
      </c>
      <c r="F96" s="52" t="str">
        <f t="shared" si="4"/>
        <v>Service commercial</v>
      </c>
      <c r="G96" s="51" t="s">
        <v>134</v>
      </c>
      <c r="H96" s="51" t="s">
        <v>159</v>
      </c>
      <c r="I96" s="51" t="s">
        <v>160</v>
      </c>
      <c r="J96" s="51" t="s">
        <v>8</v>
      </c>
      <c r="K96" s="53">
        <v>43619</v>
      </c>
      <c r="L96" s="53">
        <v>43746</v>
      </c>
      <c r="M96" s="54">
        <f t="shared" si="5"/>
        <v>127</v>
      </c>
      <c r="N96" s="55">
        <f t="shared" si="6"/>
        <v>0</v>
      </c>
      <c r="O96" s="56" t="str">
        <f t="shared" si="7"/>
        <v>Conforme</v>
      </c>
      <c r="P96" s="51"/>
      <c r="R96" s="57">
        <f>IF(AND($E96=RelConducteur,$J96="Professionnel",ISNUMBER($C96),$C96&gt;=RelDebut,$C96&lt;=RelFin),COUNTIFS($E$9:$E96,RelConducteur,$J$9:$J96,"Professionnel",$C$9:$C96,"&gt;="&amp;RelDebut,$C$9:$C96,"&lt;="&amp;RelFin),"")</f>
        <v>4</v>
      </c>
    </row>
    <row r="97" spans="2:18" ht="18" customHeight="1" x14ac:dyDescent="0.25">
      <c r="B97" s="48">
        <f>IF(C97="","",COUNT($C$9:C97))</f>
        <v>89</v>
      </c>
      <c r="C97" s="49">
        <v>46469</v>
      </c>
      <c r="D97" s="50">
        <v>0.35416666666666669</v>
      </c>
      <c r="E97" s="51" t="s">
        <v>133</v>
      </c>
      <c r="F97" s="52" t="str">
        <f t="shared" si="4"/>
        <v>Service technique</v>
      </c>
      <c r="G97" s="51" t="s">
        <v>134</v>
      </c>
      <c r="H97" s="51" t="s">
        <v>140</v>
      </c>
      <c r="I97" s="51" t="s">
        <v>141</v>
      </c>
      <c r="J97" s="51" t="s">
        <v>8</v>
      </c>
      <c r="K97" s="53">
        <v>43746</v>
      </c>
      <c r="L97" s="53">
        <v>43770</v>
      </c>
      <c r="M97" s="54">
        <f t="shared" si="5"/>
        <v>24</v>
      </c>
      <c r="N97" s="55">
        <f t="shared" si="6"/>
        <v>0</v>
      </c>
      <c r="O97" s="56" t="str">
        <f t="shared" si="7"/>
        <v>Conforme</v>
      </c>
      <c r="P97" s="51"/>
      <c r="R97" s="57" t="str">
        <f>IF(AND($E97=RelConducteur,$J97="Professionnel",ISNUMBER($C97),$C97&gt;=RelDebut,$C97&lt;=RelFin),COUNTIFS($E$9:$E97,RelConducteur,$J$9:$J97,"Professionnel",$C$9:$C97,"&gt;="&amp;RelDebut,$C$9:$C97,"&lt;="&amp;RelFin),"")</f>
        <v/>
      </c>
    </row>
    <row r="98" spans="2:18" ht="18" customHeight="1" x14ac:dyDescent="0.25">
      <c r="B98" s="48">
        <f>IF(C98="","",COUNT($C$9:C98))</f>
        <v>90</v>
      </c>
      <c r="C98" s="49">
        <v>46469</v>
      </c>
      <c r="D98" s="50">
        <v>0.60416666666666663</v>
      </c>
      <c r="E98" s="51" t="s">
        <v>139</v>
      </c>
      <c r="F98" s="52" t="str">
        <f t="shared" si="4"/>
        <v>Service technique</v>
      </c>
      <c r="G98" s="51" t="s">
        <v>134</v>
      </c>
      <c r="H98" s="51" t="s">
        <v>161</v>
      </c>
      <c r="I98" s="51" t="s">
        <v>162</v>
      </c>
      <c r="J98" s="51" t="s">
        <v>8</v>
      </c>
      <c r="K98" s="53">
        <v>43770</v>
      </c>
      <c r="L98" s="53">
        <v>43794</v>
      </c>
      <c r="M98" s="54">
        <f t="shared" si="5"/>
        <v>24</v>
      </c>
      <c r="N98" s="55">
        <f t="shared" si="6"/>
        <v>0</v>
      </c>
      <c r="O98" s="56" t="str">
        <f t="shared" si="7"/>
        <v>Conforme</v>
      </c>
      <c r="P98" s="51"/>
      <c r="R98" s="57" t="str">
        <f>IF(AND($E98=RelConducteur,$J98="Professionnel",ISNUMBER($C98),$C98&gt;=RelDebut,$C98&lt;=RelFin),COUNTIFS($E$9:$E98,RelConducteur,$J$9:$J98,"Professionnel",$C$9:$C98,"&gt;="&amp;RelDebut,$C$9:$C98,"&lt;="&amp;RelFin),"")</f>
        <v/>
      </c>
    </row>
    <row r="99" spans="2:18" ht="18" customHeight="1" x14ac:dyDescent="0.25">
      <c r="B99" s="48">
        <f>IF(C99="","",COUNT($C$9:C99))</f>
        <v>91</v>
      </c>
      <c r="C99" s="49">
        <v>46470</v>
      </c>
      <c r="D99" s="50">
        <v>0.35416666666666669</v>
      </c>
      <c r="E99" s="51" t="s">
        <v>139</v>
      </c>
      <c r="F99" s="52" t="str">
        <f t="shared" si="4"/>
        <v>Service technique</v>
      </c>
      <c r="G99" s="51" t="s">
        <v>134</v>
      </c>
      <c r="H99" s="51" t="s">
        <v>140</v>
      </c>
      <c r="I99" s="51" t="s">
        <v>141</v>
      </c>
      <c r="J99" s="51" t="s">
        <v>8</v>
      </c>
      <c r="K99" s="53">
        <v>43794</v>
      </c>
      <c r="L99" s="53">
        <v>43820</v>
      </c>
      <c r="M99" s="54">
        <f t="shared" si="5"/>
        <v>26</v>
      </c>
      <c r="N99" s="55">
        <f t="shared" si="6"/>
        <v>0</v>
      </c>
      <c r="O99" s="56" t="str">
        <f t="shared" si="7"/>
        <v>Conforme</v>
      </c>
      <c r="P99" s="51"/>
      <c r="R99" s="57" t="str">
        <f>IF(AND($E99=RelConducteur,$J99="Professionnel",ISNUMBER($C99),$C99&gt;=RelDebut,$C99&lt;=RelFin),COUNTIFS($E$9:$E99,RelConducteur,$J$9:$J99,"Professionnel",$C$9:$C99,"&gt;="&amp;RelDebut,$C$9:$C99,"&lt;="&amp;RelFin),"")</f>
        <v/>
      </c>
    </row>
    <row r="100" spans="2:18" ht="18" customHeight="1" x14ac:dyDescent="0.25">
      <c r="B100" s="48">
        <f>IF(C100="","",COUNT($C$9:C100))</f>
        <v>92</v>
      </c>
      <c r="C100" s="49">
        <v>46472</v>
      </c>
      <c r="D100" s="50">
        <v>0.33333333333333331</v>
      </c>
      <c r="E100" s="51" t="s">
        <v>139</v>
      </c>
      <c r="F100" s="52" t="str">
        <f t="shared" si="4"/>
        <v>Service technique</v>
      </c>
      <c r="G100" s="51" t="s">
        <v>134</v>
      </c>
      <c r="H100" s="51" t="s">
        <v>161</v>
      </c>
      <c r="I100" s="51" t="s">
        <v>162</v>
      </c>
      <c r="J100" s="51" t="s">
        <v>8</v>
      </c>
      <c r="K100" s="53">
        <v>43820</v>
      </c>
      <c r="L100" s="53">
        <v>43845</v>
      </c>
      <c r="M100" s="54">
        <f t="shared" si="5"/>
        <v>25</v>
      </c>
      <c r="N100" s="55">
        <f t="shared" si="6"/>
        <v>0</v>
      </c>
      <c r="O100" s="56" t="str">
        <f t="shared" si="7"/>
        <v>Conforme</v>
      </c>
      <c r="P100" s="51"/>
      <c r="R100" s="57" t="str">
        <f>IF(AND($E100=RelConducteur,$J100="Professionnel",ISNUMBER($C100),$C100&gt;=RelDebut,$C100&lt;=RelFin),COUNTIFS($E$9:$E100,RelConducteur,$J$9:$J100,"Professionnel",$C$9:$C100,"&gt;="&amp;RelDebut,$C$9:$C100,"&lt;="&amp;RelFin),"")</f>
        <v/>
      </c>
    </row>
    <row r="101" spans="2:18" ht="18" customHeight="1" x14ac:dyDescent="0.25">
      <c r="B101" s="48">
        <f>IF(C101="","",COUNT($C$9:C101))</f>
        <v>93</v>
      </c>
      <c r="C101" s="49">
        <v>46472</v>
      </c>
      <c r="D101" s="50">
        <v>0.41666666666666669</v>
      </c>
      <c r="E101" s="51" t="s">
        <v>148</v>
      </c>
      <c r="F101" s="52" t="str">
        <f t="shared" si="4"/>
        <v>Service commercial</v>
      </c>
      <c r="G101" s="51" t="s">
        <v>134</v>
      </c>
      <c r="H101" s="51" t="s">
        <v>157</v>
      </c>
      <c r="I101" s="51" t="s">
        <v>158</v>
      </c>
      <c r="J101" s="51" t="s">
        <v>8</v>
      </c>
      <c r="K101" s="53">
        <v>43845</v>
      </c>
      <c r="L101" s="53">
        <v>44056</v>
      </c>
      <c r="M101" s="54">
        <f t="shared" si="5"/>
        <v>211</v>
      </c>
      <c r="N101" s="55">
        <f t="shared" si="6"/>
        <v>0</v>
      </c>
      <c r="O101" s="56" t="str">
        <f t="shared" si="7"/>
        <v>Conforme</v>
      </c>
      <c r="P101" s="51"/>
      <c r="R101" s="57">
        <f>IF(AND($E101=RelConducteur,$J101="Professionnel",ISNUMBER($C101),$C101&gt;=RelDebut,$C101&lt;=RelFin),COUNTIFS($E$9:$E101,RelConducteur,$J$9:$J101,"Professionnel",$C$9:$C101,"&gt;="&amp;RelDebut,$C$9:$C101,"&lt;="&amp;RelFin),"")</f>
        <v>5</v>
      </c>
    </row>
    <row r="102" spans="2:18" ht="18" customHeight="1" x14ac:dyDescent="0.25">
      <c r="B102" s="48">
        <f>IF(C102="","",COUNT($C$9:C102))</f>
        <v>94</v>
      </c>
      <c r="C102" s="49">
        <v>46476</v>
      </c>
      <c r="D102" s="50">
        <v>0.35416666666666669</v>
      </c>
      <c r="E102" s="51" t="s">
        <v>139</v>
      </c>
      <c r="F102" s="52" t="str">
        <f t="shared" si="4"/>
        <v>Service technique</v>
      </c>
      <c r="G102" s="51" t="s">
        <v>134</v>
      </c>
      <c r="H102" s="51" t="s">
        <v>165</v>
      </c>
      <c r="I102" s="51" t="s">
        <v>166</v>
      </c>
      <c r="J102" s="51" t="s">
        <v>8</v>
      </c>
      <c r="K102" s="53">
        <v>44056</v>
      </c>
      <c r="L102" s="53">
        <v>44128</v>
      </c>
      <c r="M102" s="54">
        <f t="shared" si="5"/>
        <v>72</v>
      </c>
      <c r="N102" s="55">
        <f t="shared" si="6"/>
        <v>0</v>
      </c>
      <c r="O102" s="56" t="str">
        <f t="shared" si="7"/>
        <v>Conforme</v>
      </c>
      <c r="P102" s="51"/>
      <c r="R102" s="57" t="str">
        <f>IF(AND($E102=RelConducteur,$J102="Professionnel",ISNUMBER($C102),$C102&gt;=RelDebut,$C102&lt;=RelFin),COUNTIFS($E$9:$E102,RelConducteur,$J$9:$J102,"Professionnel",$C$9:$C102,"&gt;="&amp;RelDebut,$C$9:$C102,"&lt;="&amp;RelFin),"")</f>
        <v/>
      </c>
    </row>
    <row r="103" spans="2:18" ht="18" customHeight="1" x14ac:dyDescent="0.25">
      <c r="B103" s="48">
        <f>IF(C103="","",COUNT($C$9:C103))</f>
        <v>95</v>
      </c>
      <c r="C103" s="49">
        <v>46476</v>
      </c>
      <c r="D103" s="50">
        <v>0.41666666666666669</v>
      </c>
      <c r="E103" s="51" t="s">
        <v>148</v>
      </c>
      <c r="F103" s="52" t="str">
        <f t="shared" si="4"/>
        <v>Service commercial</v>
      </c>
      <c r="G103" s="51" t="s">
        <v>134</v>
      </c>
      <c r="H103" s="51" t="s">
        <v>149</v>
      </c>
      <c r="I103" s="51" t="s">
        <v>150</v>
      </c>
      <c r="J103" s="51" t="s">
        <v>8</v>
      </c>
      <c r="K103" s="53">
        <v>44128</v>
      </c>
      <c r="L103" s="53">
        <v>44401</v>
      </c>
      <c r="M103" s="54">
        <f t="shared" si="5"/>
        <v>273</v>
      </c>
      <c r="N103" s="55">
        <f t="shared" si="6"/>
        <v>0</v>
      </c>
      <c r="O103" s="56" t="str">
        <f t="shared" si="7"/>
        <v>Conforme</v>
      </c>
      <c r="P103" s="51"/>
      <c r="R103" s="57">
        <f>IF(AND($E103=RelConducteur,$J103="Professionnel",ISNUMBER($C103),$C103&gt;=RelDebut,$C103&lt;=RelFin),COUNTIFS($E$9:$E103,RelConducteur,$J$9:$J103,"Professionnel",$C$9:$C103,"&gt;="&amp;RelDebut,$C$9:$C103,"&lt;="&amp;RelFin),"")</f>
        <v>6</v>
      </c>
    </row>
    <row r="104" spans="2:18" ht="18" customHeight="1" x14ac:dyDescent="0.25">
      <c r="B104" s="48">
        <f>IF(C104="","",COUNT($C$9:C104))</f>
        <v>96</v>
      </c>
      <c r="C104" s="49">
        <v>46477</v>
      </c>
      <c r="D104" s="50">
        <v>0.41666666666666669</v>
      </c>
      <c r="E104" s="51" t="s">
        <v>148</v>
      </c>
      <c r="F104" s="52" t="str">
        <f t="shared" si="4"/>
        <v>Service commercial</v>
      </c>
      <c r="G104" s="51" t="s">
        <v>134</v>
      </c>
      <c r="H104" s="51" t="s">
        <v>159</v>
      </c>
      <c r="I104" s="51" t="s">
        <v>160</v>
      </c>
      <c r="J104" s="51" t="s">
        <v>8</v>
      </c>
      <c r="K104" s="53">
        <v>44401</v>
      </c>
      <c r="L104" s="53">
        <v>44531</v>
      </c>
      <c r="M104" s="54">
        <f t="shared" si="5"/>
        <v>130</v>
      </c>
      <c r="N104" s="55">
        <f t="shared" si="6"/>
        <v>0</v>
      </c>
      <c r="O104" s="56" t="str">
        <f t="shared" si="7"/>
        <v>Conforme</v>
      </c>
      <c r="P104" s="51"/>
      <c r="R104" s="57">
        <f>IF(AND($E104=RelConducteur,$J104="Professionnel",ISNUMBER($C104),$C104&gt;=RelDebut,$C104&lt;=RelFin),COUNTIFS($E$9:$E104,RelConducteur,$J$9:$J104,"Professionnel",$C$9:$C104,"&gt;="&amp;RelDebut,$C$9:$C104,"&lt;="&amp;RelFin),"")</f>
        <v>7</v>
      </c>
    </row>
    <row r="105" spans="2:18" ht="18" customHeight="1" x14ac:dyDescent="0.25">
      <c r="B105" s="48">
        <f>IF(C105="","",COUNT($C$9:C105))</f>
        <v>97</v>
      </c>
      <c r="C105" s="49">
        <v>46478</v>
      </c>
      <c r="D105" s="50">
        <v>0.3125</v>
      </c>
      <c r="E105" s="51" t="s">
        <v>139</v>
      </c>
      <c r="F105" s="52" t="str">
        <f t="shared" si="4"/>
        <v>Service technique</v>
      </c>
      <c r="G105" s="51" t="s">
        <v>134</v>
      </c>
      <c r="H105" s="51" t="s">
        <v>151</v>
      </c>
      <c r="I105" s="51" t="s">
        <v>152</v>
      </c>
      <c r="J105" s="51" t="s">
        <v>8</v>
      </c>
      <c r="K105" s="53">
        <v>44531</v>
      </c>
      <c r="L105" s="53">
        <v>44582</v>
      </c>
      <c r="M105" s="54">
        <f t="shared" si="5"/>
        <v>51</v>
      </c>
      <c r="N105" s="55">
        <f t="shared" si="6"/>
        <v>0</v>
      </c>
      <c r="O105" s="56" t="str">
        <f t="shared" si="7"/>
        <v>Conforme</v>
      </c>
      <c r="P105" s="51"/>
      <c r="R105" s="57" t="str">
        <f>IF(AND($E105=RelConducteur,$J105="Professionnel",ISNUMBER($C105),$C105&gt;=RelDebut,$C105&lt;=RelFin),COUNTIFS($E$9:$E105,RelConducteur,$J$9:$J105,"Professionnel",$C$9:$C105,"&gt;="&amp;RelDebut,$C$9:$C105,"&lt;="&amp;RelFin),"")</f>
        <v/>
      </c>
    </row>
    <row r="106" spans="2:18" ht="18" customHeight="1" x14ac:dyDescent="0.25">
      <c r="B106" s="48">
        <f>IF(C106="","",COUNT($C$9:C106))</f>
        <v>98</v>
      </c>
      <c r="C106" s="49">
        <v>46478</v>
      </c>
      <c r="D106" s="50">
        <v>0.41666666666666669</v>
      </c>
      <c r="E106" s="51" t="s">
        <v>148</v>
      </c>
      <c r="F106" s="52" t="str">
        <f t="shared" si="4"/>
        <v>Service commercial</v>
      </c>
      <c r="G106" s="51" t="s">
        <v>134</v>
      </c>
      <c r="H106" s="51" t="s">
        <v>171</v>
      </c>
      <c r="I106" s="51" t="s">
        <v>172</v>
      </c>
      <c r="J106" s="51" t="s">
        <v>8</v>
      </c>
      <c r="K106" s="53">
        <v>44582</v>
      </c>
      <c r="L106" s="53">
        <v>44598</v>
      </c>
      <c r="M106" s="54">
        <f t="shared" si="5"/>
        <v>16</v>
      </c>
      <c r="N106" s="55">
        <f t="shared" si="6"/>
        <v>0</v>
      </c>
      <c r="O106" s="56" t="str">
        <f t="shared" si="7"/>
        <v>Conforme</v>
      </c>
      <c r="P106" s="51"/>
      <c r="R106" s="57" t="str">
        <f>IF(AND($E106=RelConducteur,$J106="Professionnel",ISNUMBER($C106),$C106&gt;=RelDebut,$C106&lt;=RelFin),COUNTIFS($E$9:$E106,RelConducteur,$J$9:$J106,"Professionnel",$C$9:$C106,"&gt;="&amp;RelDebut,$C$9:$C106,"&lt;="&amp;RelFin),"")</f>
        <v/>
      </c>
    </row>
    <row r="107" spans="2:18" ht="18" customHeight="1" x14ac:dyDescent="0.25">
      <c r="B107" s="48">
        <f>IF(C107="","",COUNT($C$9:C107))</f>
        <v>99</v>
      </c>
      <c r="C107" s="49">
        <v>46482</v>
      </c>
      <c r="D107" s="50">
        <v>0.35416666666666669</v>
      </c>
      <c r="E107" s="51" t="s">
        <v>139</v>
      </c>
      <c r="F107" s="52" t="str">
        <f t="shared" si="4"/>
        <v>Service technique</v>
      </c>
      <c r="G107" s="51" t="s">
        <v>134</v>
      </c>
      <c r="H107" s="51" t="s">
        <v>165</v>
      </c>
      <c r="I107" s="51" t="s">
        <v>166</v>
      </c>
      <c r="J107" s="51" t="s">
        <v>8</v>
      </c>
      <c r="K107" s="53">
        <v>44598</v>
      </c>
      <c r="L107" s="53">
        <v>44670</v>
      </c>
      <c r="M107" s="54">
        <f t="shared" si="5"/>
        <v>72</v>
      </c>
      <c r="N107" s="55">
        <f t="shared" si="6"/>
        <v>0</v>
      </c>
      <c r="O107" s="56" t="str">
        <f t="shared" si="7"/>
        <v>Conforme</v>
      </c>
      <c r="P107" s="51"/>
      <c r="R107" s="57" t="str">
        <f>IF(AND($E107=RelConducteur,$J107="Professionnel",ISNUMBER($C107),$C107&gt;=RelDebut,$C107&lt;=RelFin),COUNTIFS($E$9:$E107,RelConducteur,$J$9:$J107,"Professionnel",$C$9:$C107,"&gt;="&amp;RelDebut,$C$9:$C107,"&lt;="&amp;RelFin),"")</f>
        <v/>
      </c>
    </row>
    <row r="108" spans="2:18" ht="18" customHeight="1" x14ac:dyDescent="0.25">
      <c r="B108" s="48">
        <f>IF(C108="","",COUNT($C$9:C108))</f>
        <v>100</v>
      </c>
      <c r="C108" s="49">
        <v>46482</v>
      </c>
      <c r="D108" s="50">
        <v>0.58333333333333337</v>
      </c>
      <c r="E108" s="51" t="s">
        <v>133</v>
      </c>
      <c r="F108" s="52" t="str">
        <f t="shared" si="4"/>
        <v>Service technique</v>
      </c>
      <c r="G108" s="51" t="s">
        <v>134</v>
      </c>
      <c r="H108" s="51" t="s">
        <v>137</v>
      </c>
      <c r="I108" s="51" t="s">
        <v>138</v>
      </c>
      <c r="J108" s="51" t="s">
        <v>8</v>
      </c>
      <c r="K108" s="53">
        <v>44670</v>
      </c>
      <c r="L108" s="53">
        <v>44737</v>
      </c>
      <c r="M108" s="54">
        <f t="shared" si="5"/>
        <v>67</v>
      </c>
      <c r="N108" s="55">
        <f t="shared" si="6"/>
        <v>0</v>
      </c>
      <c r="O108" s="56" t="str">
        <f t="shared" si="7"/>
        <v>Conforme</v>
      </c>
      <c r="P108" s="51"/>
      <c r="R108" s="57" t="str">
        <f>IF(AND($E108=RelConducteur,$J108="Professionnel",ISNUMBER($C108),$C108&gt;=RelDebut,$C108&lt;=RelFin),COUNTIFS($E$9:$E108,RelConducteur,$J$9:$J108,"Professionnel",$C$9:$C108,"&gt;="&amp;RelDebut,$C$9:$C108,"&lt;="&amp;RelFin),"")</f>
        <v/>
      </c>
    </row>
    <row r="109" spans="2:18" ht="18" customHeight="1" x14ac:dyDescent="0.25">
      <c r="B109" s="48">
        <f>IF(C109="","",COUNT($C$9:C109))</f>
        <v>101</v>
      </c>
      <c r="C109" s="49">
        <v>46483</v>
      </c>
      <c r="D109" s="50">
        <v>0.33333333333333331</v>
      </c>
      <c r="E109" s="51" t="s">
        <v>133</v>
      </c>
      <c r="F109" s="52" t="str">
        <f t="shared" si="4"/>
        <v>Service technique</v>
      </c>
      <c r="G109" s="51" t="s">
        <v>134</v>
      </c>
      <c r="H109" s="51" t="s">
        <v>144</v>
      </c>
      <c r="I109" s="51" t="s">
        <v>145</v>
      </c>
      <c r="J109" s="51" t="s">
        <v>8</v>
      </c>
      <c r="K109" s="53">
        <v>44737</v>
      </c>
      <c r="L109" s="53">
        <v>44764</v>
      </c>
      <c r="M109" s="54">
        <f t="shared" si="5"/>
        <v>27</v>
      </c>
      <c r="N109" s="55">
        <f t="shared" si="6"/>
        <v>0</v>
      </c>
      <c r="O109" s="56" t="str">
        <f t="shared" si="7"/>
        <v>Conforme</v>
      </c>
      <c r="P109" s="51"/>
      <c r="R109" s="57" t="str">
        <f>IF(AND($E109=RelConducteur,$J109="Professionnel",ISNUMBER($C109),$C109&gt;=RelDebut,$C109&lt;=RelFin),COUNTIFS($E$9:$E109,RelConducteur,$J$9:$J109,"Professionnel",$C$9:$C109,"&gt;="&amp;RelDebut,$C$9:$C109,"&lt;="&amp;RelFin),"")</f>
        <v/>
      </c>
    </row>
    <row r="110" spans="2:18" ht="18" customHeight="1" x14ac:dyDescent="0.25">
      <c r="B110" s="48">
        <f>IF(C110="","",COUNT($C$9:C110))</f>
        <v>102</v>
      </c>
      <c r="C110" s="49">
        <v>46483</v>
      </c>
      <c r="D110" s="50">
        <v>0.41666666666666669</v>
      </c>
      <c r="E110" s="51" t="s">
        <v>148</v>
      </c>
      <c r="F110" s="52" t="str">
        <f t="shared" si="4"/>
        <v>Service commercial</v>
      </c>
      <c r="G110" s="51" t="s">
        <v>134</v>
      </c>
      <c r="H110" s="51" t="s">
        <v>157</v>
      </c>
      <c r="I110" s="51" t="s">
        <v>158</v>
      </c>
      <c r="J110" s="51" t="s">
        <v>8</v>
      </c>
      <c r="K110" s="53">
        <v>44764</v>
      </c>
      <c r="L110" s="53">
        <v>44983</v>
      </c>
      <c r="M110" s="54">
        <f t="shared" si="5"/>
        <v>219</v>
      </c>
      <c r="N110" s="55">
        <f t="shared" si="6"/>
        <v>0</v>
      </c>
      <c r="O110" s="56" t="str">
        <f t="shared" si="7"/>
        <v>Conforme</v>
      </c>
      <c r="P110" s="51"/>
      <c r="R110" s="57" t="str">
        <f>IF(AND($E110=RelConducteur,$J110="Professionnel",ISNUMBER($C110),$C110&gt;=RelDebut,$C110&lt;=RelFin),COUNTIFS($E$9:$E110,RelConducteur,$J$9:$J110,"Professionnel",$C$9:$C110,"&gt;="&amp;RelDebut,$C$9:$C110,"&lt;="&amp;RelFin),"")</f>
        <v/>
      </c>
    </row>
    <row r="111" spans="2:18" ht="18" customHeight="1" x14ac:dyDescent="0.25">
      <c r="B111" s="48">
        <f>IF(C111="","",COUNT($C$9:C111))</f>
        <v>103</v>
      </c>
      <c r="C111" s="49">
        <v>46484</v>
      </c>
      <c r="D111" s="50">
        <v>0.33333333333333331</v>
      </c>
      <c r="E111" s="51" t="s">
        <v>139</v>
      </c>
      <c r="F111" s="52" t="str">
        <f t="shared" si="4"/>
        <v>Service technique</v>
      </c>
      <c r="G111" s="51" t="s">
        <v>134</v>
      </c>
      <c r="H111" s="51" t="s">
        <v>137</v>
      </c>
      <c r="I111" s="51" t="s">
        <v>138</v>
      </c>
      <c r="J111" s="51" t="s">
        <v>8</v>
      </c>
      <c r="K111" s="53">
        <v>44983</v>
      </c>
      <c r="L111" s="53">
        <v>45046</v>
      </c>
      <c r="M111" s="54">
        <f t="shared" si="5"/>
        <v>63</v>
      </c>
      <c r="N111" s="55">
        <f t="shared" si="6"/>
        <v>0</v>
      </c>
      <c r="O111" s="56" t="str">
        <f t="shared" si="7"/>
        <v>Conforme</v>
      </c>
      <c r="P111" s="51"/>
      <c r="R111" s="57" t="str">
        <f>IF(AND($E111=RelConducteur,$J111="Professionnel",ISNUMBER($C111),$C111&gt;=RelDebut,$C111&lt;=RelFin),COUNTIFS($E$9:$E111,RelConducteur,$J$9:$J111,"Professionnel",$C$9:$C111,"&gt;="&amp;RelDebut,$C$9:$C111,"&lt;="&amp;RelFin),"")</f>
        <v/>
      </c>
    </row>
    <row r="112" spans="2:18" ht="18" customHeight="1" x14ac:dyDescent="0.25">
      <c r="B112" s="48">
        <f>IF(C112="","",COUNT($C$9:C112))</f>
        <v>104</v>
      </c>
      <c r="C112" s="49">
        <v>46485</v>
      </c>
      <c r="D112" s="50">
        <v>0.35416666666666669</v>
      </c>
      <c r="E112" s="51" t="s">
        <v>133</v>
      </c>
      <c r="F112" s="52" t="str">
        <f t="shared" si="4"/>
        <v>Service technique</v>
      </c>
      <c r="G112" s="51" t="s">
        <v>134</v>
      </c>
      <c r="H112" s="51" t="s">
        <v>144</v>
      </c>
      <c r="I112" s="51" t="s">
        <v>145</v>
      </c>
      <c r="J112" s="51" t="s">
        <v>8</v>
      </c>
      <c r="K112" s="53">
        <v>45046</v>
      </c>
      <c r="L112" s="53">
        <v>45075</v>
      </c>
      <c r="M112" s="54">
        <f t="shared" si="5"/>
        <v>29</v>
      </c>
      <c r="N112" s="55">
        <f t="shared" si="6"/>
        <v>0</v>
      </c>
      <c r="O112" s="56" t="str">
        <f t="shared" si="7"/>
        <v>Conforme</v>
      </c>
      <c r="P112" s="51"/>
      <c r="R112" s="57" t="str">
        <f>IF(AND($E112=RelConducteur,$J112="Professionnel",ISNUMBER($C112),$C112&gt;=RelDebut,$C112&lt;=RelFin),COUNTIFS($E$9:$E112,RelConducteur,$J$9:$J112,"Professionnel",$C$9:$C112,"&gt;="&amp;RelDebut,$C$9:$C112,"&lt;="&amp;RelFin),"")</f>
        <v/>
      </c>
    </row>
    <row r="113" spans="2:18" ht="18" customHeight="1" x14ac:dyDescent="0.25">
      <c r="B113" s="48">
        <f>IF(C113="","",COUNT($C$9:C113))</f>
        <v>105</v>
      </c>
      <c r="C113" s="49">
        <v>46485</v>
      </c>
      <c r="D113" s="50">
        <v>0.4375</v>
      </c>
      <c r="E113" s="51" t="s">
        <v>148</v>
      </c>
      <c r="F113" s="52" t="str">
        <f t="shared" si="4"/>
        <v>Service commercial</v>
      </c>
      <c r="G113" s="51" t="s">
        <v>134</v>
      </c>
      <c r="H113" s="51" t="s">
        <v>167</v>
      </c>
      <c r="I113" s="51" t="s">
        <v>168</v>
      </c>
      <c r="J113" s="51" t="s">
        <v>8</v>
      </c>
      <c r="K113" s="53">
        <v>45075</v>
      </c>
      <c r="L113" s="53">
        <v>45092</v>
      </c>
      <c r="M113" s="54">
        <f t="shared" si="5"/>
        <v>17</v>
      </c>
      <c r="N113" s="55">
        <f t="shared" si="6"/>
        <v>0</v>
      </c>
      <c r="O113" s="56" t="str">
        <f t="shared" si="7"/>
        <v>Conforme</v>
      </c>
      <c r="P113" s="51"/>
      <c r="R113" s="57" t="str">
        <f>IF(AND($E113=RelConducteur,$J113="Professionnel",ISNUMBER($C113),$C113&gt;=RelDebut,$C113&lt;=RelFin),COUNTIFS($E$9:$E113,RelConducteur,$J$9:$J113,"Professionnel",$C$9:$C113,"&gt;="&amp;RelDebut,$C$9:$C113,"&lt;="&amp;RelFin),"")</f>
        <v/>
      </c>
    </row>
    <row r="114" spans="2:18" ht="18" customHeight="1" x14ac:dyDescent="0.25">
      <c r="B114" s="48">
        <f>IF(C114="","",COUNT($C$9:C114))</f>
        <v>106</v>
      </c>
      <c r="C114" s="49">
        <v>46486</v>
      </c>
      <c r="D114" s="50">
        <v>0.41666666666666669</v>
      </c>
      <c r="E114" s="51" t="s">
        <v>148</v>
      </c>
      <c r="F114" s="52" t="str">
        <f t="shared" si="4"/>
        <v>Service commercial</v>
      </c>
      <c r="G114" s="51" t="s">
        <v>134</v>
      </c>
      <c r="H114" s="51" t="s">
        <v>171</v>
      </c>
      <c r="I114" s="51" t="s">
        <v>172</v>
      </c>
      <c r="J114" s="51" t="s">
        <v>8</v>
      </c>
      <c r="K114" s="53">
        <v>45092</v>
      </c>
      <c r="L114" s="53">
        <v>45105</v>
      </c>
      <c r="M114" s="54">
        <f t="shared" si="5"/>
        <v>13</v>
      </c>
      <c r="N114" s="55">
        <f t="shared" si="6"/>
        <v>0</v>
      </c>
      <c r="O114" s="56" t="str">
        <f t="shared" si="7"/>
        <v>Conforme</v>
      </c>
      <c r="P114" s="51"/>
      <c r="R114" s="57" t="str">
        <f>IF(AND($E114=RelConducteur,$J114="Professionnel",ISNUMBER($C114),$C114&gt;=RelDebut,$C114&lt;=RelFin),COUNTIFS($E$9:$E114,RelConducteur,$J$9:$J114,"Professionnel",$C$9:$C114,"&gt;="&amp;RelDebut,$C$9:$C114,"&lt;="&amp;RelFin),"")</f>
        <v/>
      </c>
    </row>
    <row r="115" spans="2:18" ht="18" customHeight="1" x14ac:dyDescent="0.25">
      <c r="B115" s="48">
        <f>IF(C115="","",COUNT($C$9:C115))</f>
        <v>107</v>
      </c>
      <c r="C115" s="49">
        <v>46489</v>
      </c>
      <c r="D115" s="50">
        <v>0.3125</v>
      </c>
      <c r="E115" s="51" t="s">
        <v>133</v>
      </c>
      <c r="F115" s="52" t="str">
        <f t="shared" si="4"/>
        <v>Service technique</v>
      </c>
      <c r="G115" s="51" t="s">
        <v>134</v>
      </c>
      <c r="H115" s="51" t="s">
        <v>163</v>
      </c>
      <c r="I115" s="51" t="s">
        <v>164</v>
      </c>
      <c r="J115" s="51" t="s">
        <v>8</v>
      </c>
      <c r="K115" s="53">
        <v>45105</v>
      </c>
      <c r="L115" s="53">
        <v>45131</v>
      </c>
      <c r="M115" s="54">
        <f t="shared" si="5"/>
        <v>26</v>
      </c>
      <c r="N115" s="55">
        <f t="shared" si="6"/>
        <v>0</v>
      </c>
      <c r="O115" s="56" t="str">
        <f t="shared" si="7"/>
        <v>Conforme</v>
      </c>
      <c r="P115" s="51"/>
      <c r="R115" s="57" t="str">
        <f>IF(AND($E115=RelConducteur,$J115="Professionnel",ISNUMBER($C115),$C115&gt;=RelDebut,$C115&lt;=RelFin),COUNTIFS($E$9:$E115,RelConducteur,$J$9:$J115,"Professionnel",$C$9:$C115,"&gt;="&amp;RelDebut,$C$9:$C115,"&lt;="&amp;RelFin),"")</f>
        <v/>
      </c>
    </row>
    <row r="116" spans="2:18" ht="18" customHeight="1" x14ac:dyDescent="0.25">
      <c r="B116" s="48">
        <f>IF(C116="","",COUNT($C$9:C116))</f>
        <v>108</v>
      </c>
      <c r="C116" s="49">
        <v>46489</v>
      </c>
      <c r="D116" s="50">
        <v>0.4375</v>
      </c>
      <c r="E116" s="51" t="s">
        <v>148</v>
      </c>
      <c r="F116" s="52" t="str">
        <f t="shared" si="4"/>
        <v>Service commercial</v>
      </c>
      <c r="G116" s="51" t="s">
        <v>134</v>
      </c>
      <c r="H116" s="51" t="s">
        <v>167</v>
      </c>
      <c r="I116" s="51" t="s">
        <v>168</v>
      </c>
      <c r="J116" s="51" t="s">
        <v>8</v>
      </c>
      <c r="K116" s="53">
        <v>45131</v>
      </c>
      <c r="L116" s="53">
        <v>45149</v>
      </c>
      <c r="M116" s="54">
        <f t="shared" si="5"/>
        <v>18</v>
      </c>
      <c r="N116" s="55">
        <f t="shared" si="6"/>
        <v>0</v>
      </c>
      <c r="O116" s="56" t="str">
        <f t="shared" si="7"/>
        <v>Conforme</v>
      </c>
      <c r="P116" s="51"/>
      <c r="R116" s="57" t="str">
        <f>IF(AND($E116=RelConducteur,$J116="Professionnel",ISNUMBER($C116),$C116&gt;=RelDebut,$C116&lt;=RelFin),COUNTIFS($E$9:$E116,RelConducteur,$J$9:$J116,"Professionnel",$C$9:$C116,"&gt;="&amp;RelDebut,$C$9:$C116,"&lt;="&amp;RelFin),"")</f>
        <v/>
      </c>
    </row>
    <row r="117" spans="2:18" ht="18" customHeight="1" x14ac:dyDescent="0.25">
      <c r="B117" s="48">
        <f>IF(C117="","",COUNT($C$9:C117))</f>
        <v>109</v>
      </c>
      <c r="C117" s="49">
        <v>46489</v>
      </c>
      <c r="D117" s="50">
        <v>0.75</v>
      </c>
      <c r="E117" s="51" t="s">
        <v>139</v>
      </c>
      <c r="F117" s="52" t="str">
        <f t="shared" si="4"/>
        <v>Service technique</v>
      </c>
      <c r="G117" s="51" t="s">
        <v>134</v>
      </c>
      <c r="H117" s="51" t="s">
        <v>155</v>
      </c>
      <c r="I117" s="51" t="s">
        <v>156</v>
      </c>
      <c r="J117" s="51" t="s">
        <v>9</v>
      </c>
      <c r="K117" s="53">
        <v>45149</v>
      </c>
      <c r="L117" s="53">
        <v>45173</v>
      </c>
      <c r="M117" s="54">
        <f t="shared" si="5"/>
        <v>24</v>
      </c>
      <c r="N117" s="55">
        <f t="shared" si="6"/>
        <v>0</v>
      </c>
      <c r="O117" s="56" t="str">
        <f t="shared" si="7"/>
        <v>Conforme</v>
      </c>
      <c r="P117" s="51"/>
      <c r="R117" s="57" t="str">
        <f>IF(AND($E117=RelConducteur,$J117="Professionnel",ISNUMBER($C117),$C117&gt;=RelDebut,$C117&lt;=RelFin),COUNTIFS($E$9:$E117,RelConducteur,$J$9:$J117,"Professionnel",$C$9:$C117,"&gt;="&amp;RelDebut,$C$9:$C117,"&lt;="&amp;RelFin),"")</f>
        <v/>
      </c>
    </row>
    <row r="118" spans="2:18" ht="18" customHeight="1" x14ac:dyDescent="0.25">
      <c r="B118" s="48">
        <f>IF(C118="","",COUNT($C$9:C118))</f>
        <v>110</v>
      </c>
      <c r="C118" s="49">
        <v>46490</v>
      </c>
      <c r="D118" s="50">
        <v>0.35416666666666669</v>
      </c>
      <c r="E118" s="51" t="s">
        <v>139</v>
      </c>
      <c r="F118" s="52" t="str">
        <f t="shared" si="4"/>
        <v>Service technique</v>
      </c>
      <c r="G118" s="51" t="s">
        <v>134</v>
      </c>
      <c r="H118" s="51" t="s">
        <v>165</v>
      </c>
      <c r="I118" s="51" t="s">
        <v>166</v>
      </c>
      <c r="J118" s="51" t="s">
        <v>8</v>
      </c>
      <c r="K118" s="53">
        <v>45173</v>
      </c>
      <c r="L118" s="53">
        <v>45243</v>
      </c>
      <c r="M118" s="54">
        <f t="shared" si="5"/>
        <v>70</v>
      </c>
      <c r="N118" s="55">
        <f t="shared" si="6"/>
        <v>0</v>
      </c>
      <c r="O118" s="56" t="str">
        <f t="shared" si="7"/>
        <v>Conforme</v>
      </c>
      <c r="P118" s="51"/>
      <c r="R118" s="57" t="str">
        <f>IF(AND($E118=RelConducteur,$J118="Professionnel",ISNUMBER($C118),$C118&gt;=RelDebut,$C118&lt;=RelFin),COUNTIFS($E$9:$E118,RelConducteur,$J$9:$J118,"Professionnel",$C$9:$C118,"&gt;="&amp;RelDebut,$C$9:$C118,"&lt;="&amp;RelFin),"")</f>
        <v/>
      </c>
    </row>
    <row r="119" spans="2:18" ht="18" customHeight="1" x14ac:dyDescent="0.25">
      <c r="B119" s="48">
        <f>IF(C119="","",COUNT($C$9:C119))</f>
        <v>111</v>
      </c>
      <c r="C119" s="49">
        <v>46490</v>
      </c>
      <c r="D119" s="50">
        <v>0.75</v>
      </c>
      <c r="E119" s="51" t="s">
        <v>139</v>
      </c>
      <c r="F119" s="52" t="str">
        <f t="shared" si="4"/>
        <v>Service technique</v>
      </c>
      <c r="G119" s="51" t="s">
        <v>134</v>
      </c>
      <c r="H119" s="51" t="s">
        <v>155</v>
      </c>
      <c r="I119" s="51" t="s">
        <v>156</v>
      </c>
      <c r="J119" s="51" t="s">
        <v>9</v>
      </c>
      <c r="K119" s="53">
        <v>45243</v>
      </c>
      <c r="L119" s="53">
        <v>45267</v>
      </c>
      <c r="M119" s="54">
        <f t="shared" si="5"/>
        <v>24</v>
      </c>
      <c r="N119" s="55">
        <f t="shared" si="6"/>
        <v>0</v>
      </c>
      <c r="O119" s="56" t="str">
        <f t="shared" si="7"/>
        <v>Conforme</v>
      </c>
      <c r="P119" s="51"/>
      <c r="R119" s="57" t="str">
        <f>IF(AND($E119=RelConducteur,$J119="Professionnel",ISNUMBER($C119),$C119&gt;=RelDebut,$C119&lt;=RelFin),COUNTIFS($E$9:$E119,RelConducteur,$J$9:$J119,"Professionnel",$C$9:$C119,"&gt;="&amp;RelDebut,$C$9:$C119,"&lt;="&amp;RelFin),"")</f>
        <v/>
      </c>
    </row>
    <row r="120" spans="2:18" ht="18" customHeight="1" x14ac:dyDescent="0.25">
      <c r="B120" s="48">
        <f>IF(C120="","",COUNT($C$9:C120))</f>
        <v>112</v>
      </c>
      <c r="C120" s="49">
        <v>46491</v>
      </c>
      <c r="D120" s="50">
        <v>0.35416666666666669</v>
      </c>
      <c r="E120" s="51" t="s">
        <v>133</v>
      </c>
      <c r="F120" s="52" t="str">
        <f t="shared" si="4"/>
        <v>Service technique</v>
      </c>
      <c r="G120" s="51" t="s">
        <v>134</v>
      </c>
      <c r="H120" s="51" t="s">
        <v>163</v>
      </c>
      <c r="I120" s="51" t="s">
        <v>164</v>
      </c>
      <c r="J120" s="51" t="s">
        <v>8</v>
      </c>
      <c r="K120" s="53">
        <v>45267</v>
      </c>
      <c r="L120" s="53">
        <v>45294</v>
      </c>
      <c r="M120" s="54">
        <f t="shared" si="5"/>
        <v>27</v>
      </c>
      <c r="N120" s="55">
        <f t="shared" si="6"/>
        <v>0</v>
      </c>
      <c r="O120" s="56" t="str">
        <f t="shared" si="7"/>
        <v>Conforme</v>
      </c>
      <c r="P120" s="51"/>
      <c r="R120" s="57" t="str">
        <f>IF(AND($E120=RelConducteur,$J120="Professionnel",ISNUMBER($C120),$C120&gt;=RelDebut,$C120&lt;=RelFin),COUNTIFS($E$9:$E120,RelConducteur,$J$9:$J120,"Professionnel",$C$9:$C120,"&gt;="&amp;RelDebut,$C$9:$C120,"&lt;="&amp;RelFin),"")</f>
        <v/>
      </c>
    </row>
    <row r="121" spans="2:18" ht="18" customHeight="1" x14ac:dyDescent="0.25">
      <c r="B121" s="48">
        <f>IF(C121="","",COUNT($C$9:C121))</f>
        <v>113</v>
      </c>
      <c r="C121" s="49">
        <v>46491</v>
      </c>
      <c r="D121" s="50">
        <v>0.75</v>
      </c>
      <c r="E121" s="51" t="s">
        <v>139</v>
      </c>
      <c r="F121" s="52" t="str">
        <f t="shared" si="4"/>
        <v>Service technique</v>
      </c>
      <c r="G121" s="51" t="s">
        <v>134</v>
      </c>
      <c r="H121" s="51" t="s">
        <v>155</v>
      </c>
      <c r="I121" s="51" t="s">
        <v>156</v>
      </c>
      <c r="J121" s="51" t="s">
        <v>9</v>
      </c>
      <c r="K121" s="53">
        <v>45294</v>
      </c>
      <c r="L121" s="53">
        <v>45318</v>
      </c>
      <c r="M121" s="54">
        <f t="shared" si="5"/>
        <v>24</v>
      </c>
      <c r="N121" s="55">
        <f t="shared" si="6"/>
        <v>0</v>
      </c>
      <c r="O121" s="56" t="str">
        <f t="shared" si="7"/>
        <v>Conforme</v>
      </c>
      <c r="P121" s="51"/>
      <c r="R121" s="57" t="str">
        <f>IF(AND($E121=RelConducteur,$J121="Professionnel",ISNUMBER($C121),$C121&gt;=RelDebut,$C121&lt;=RelFin),COUNTIFS($E$9:$E121,RelConducteur,$J$9:$J121,"Professionnel",$C$9:$C121,"&gt;="&amp;RelDebut,$C$9:$C121,"&lt;="&amp;RelFin),"")</f>
        <v/>
      </c>
    </row>
    <row r="122" spans="2:18" ht="18" customHeight="1" x14ac:dyDescent="0.25">
      <c r="B122" s="48">
        <f>IF(C122="","",COUNT($C$9:C122))</f>
        <v>114</v>
      </c>
      <c r="C122" s="49">
        <v>46492</v>
      </c>
      <c r="D122" s="50">
        <v>0.33333333333333331</v>
      </c>
      <c r="E122" s="51" t="s">
        <v>139</v>
      </c>
      <c r="F122" s="52" t="str">
        <f t="shared" si="4"/>
        <v>Service technique</v>
      </c>
      <c r="G122" s="51" t="s">
        <v>134</v>
      </c>
      <c r="H122" s="51" t="s">
        <v>151</v>
      </c>
      <c r="I122" s="51" t="s">
        <v>152</v>
      </c>
      <c r="J122" s="51" t="s">
        <v>8</v>
      </c>
      <c r="K122" s="53">
        <v>45318</v>
      </c>
      <c r="L122" s="53">
        <v>45371</v>
      </c>
      <c r="M122" s="54">
        <f t="shared" si="5"/>
        <v>53</v>
      </c>
      <c r="N122" s="55">
        <f t="shared" si="6"/>
        <v>0</v>
      </c>
      <c r="O122" s="56" t="str">
        <f t="shared" si="7"/>
        <v>Conforme</v>
      </c>
      <c r="P122" s="51"/>
      <c r="R122" s="57" t="str">
        <f>IF(AND($E122=RelConducteur,$J122="Professionnel",ISNUMBER($C122),$C122&gt;=RelDebut,$C122&lt;=RelFin),COUNTIFS($E$9:$E122,RelConducteur,$J$9:$J122,"Professionnel",$C$9:$C122,"&gt;="&amp;RelDebut,$C$9:$C122,"&lt;="&amp;RelFin),"")</f>
        <v/>
      </c>
    </row>
    <row r="123" spans="2:18" ht="18" customHeight="1" x14ac:dyDescent="0.25">
      <c r="B123" s="48">
        <f>IF(C123="","",COUNT($C$9:C123))</f>
        <v>115</v>
      </c>
      <c r="C123" s="49">
        <v>46492</v>
      </c>
      <c r="D123" s="50">
        <v>0.75</v>
      </c>
      <c r="E123" s="51" t="s">
        <v>139</v>
      </c>
      <c r="F123" s="52" t="str">
        <f t="shared" si="4"/>
        <v>Service technique</v>
      </c>
      <c r="G123" s="51" t="s">
        <v>134</v>
      </c>
      <c r="H123" s="51" t="s">
        <v>155</v>
      </c>
      <c r="I123" s="51" t="s">
        <v>156</v>
      </c>
      <c r="J123" s="51" t="s">
        <v>9</v>
      </c>
      <c r="K123" s="53">
        <v>45371</v>
      </c>
      <c r="L123" s="53">
        <v>45395</v>
      </c>
      <c r="M123" s="54">
        <f t="shared" si="5"/>
        <v>24</v>
      </c>
      <c r="N123" s="55">
        <f t="shared" si="6"/>
        <v>0</v>
      </c>
      <c r="O123" s="56" t="str">
        <f t="shared" si="7"/>
        <v>Conforme</v>
      </c>
      <c r="P123" s="51"/>
      <c r="R123" s="57" t="str">
        <f>IF(AND($E123=RelConducteur,$J123="Professionnel",ISNUMBER($C123),$C123&gt;=RelDebut,$C123&lt;=RelFin),COUNTIFS($E$9:$E123,RelConducteur,$J$9:$J123,"Professionnel",$C$9:$C123,"&gt;="&amp;RelDebut,$C$9:$C123,"&lt;="&amp;RelFin),"")</f>
        <v/>
      </c>
    </row>
    <row r="124" spans="2:18" ht="18" customHeight="1" x14ac:dyDescent="0.25">
      <c r="B124" s="48">
        <f>IF(C124="","",COUNT($C$9:C124))</f>
        <v>116</v>
      </c>
      <c r="C124" s="49">
        <v>46493</v>
      </c>
      <c r="D124" s="50">
        <v>0.35416666666666669</v>
      </c>
      <c r="E124" s="51" t="s">
        <v>133</v>
      </c>
      <c r="F124" s="52" t="str">
        <f t="shared" si="4"/>
        <v>Service technique</v>
      </c>
      <c r="G124" s="51" t="s">
        <v>134</v>
      </c>
      <c r="H124" s="51" t="s">
        <v>151</v>
      </c>
      <c r="I124" s="51" t="s">
        <v>152</v>
      </c>
      <c r="J124" s="51" t="s">
        <v>8</v>
      </c>
      <c r="K124" s="53">
        <v>45395</v>
      </c>
      <c r="L124" s="53">
        <v>45448</v>
      </c>
      <c r="M124" s="54">
        <f t="shared" si="5"/>
        <v>53</v>
      </c>
      <c r="N124" s="55">
        <f t="shared" si="6"/>
        <v>0</v>
      </c>
      <c r="O124" s="56" t="str">
        <f t="shared" si="7"/>
        <v>Conforme</v>
      </c>
      <c r="P124" s="51"/>
      <c r="R124" s="57" t="str">
        <f>IF(AND($E124=RelConducteur,$J124="Professionnel",ISNUMBER($C124),$C124&gt;=RelDebut,$C124&lt;=RelFin),COUNTIFS($E$9:$E124,RelConducteur,$J$9:$J124,"Professionnel",$C$9:$C124,"&gt;="&amp;RelDebut,$C$9:$C124,"&lt;="&amp;RelFin),"")</f>
        <v/>
      </c>
    </row>
    <row r="125" spans="2:18" ht="18" customHeight="1" x14ac:dyDescent="0.25">
      <c r="B125" s="48">
        <f>IF(C125="","",COUNT($C$9:C125))</f>
        <v>117</v>
      </c>
      <c r="C125" s="49">
        <v>46497</v>
      </c>
      <c r="D125" s="50">
        <v>0.35416666666666669</v>
      </c>
      <c r="E125" s="51" t="s">
        <v>133</v>
      </c>
      <c r="F125" s="52" t="str">
        <f t="shared" si="4"/>
        <v>Service technique</v>
      </c>
      <c r="G125" s="51" t="s">
        <v>134</v>
      </c>
      <c r="H125" s="51" t="s">
        <v>144</v>
      </c>
      <c r="I125" s="51" t="s">
        <v>145</v>
      </c>
      <c r="J125" s="51" t="s">
        <v>8</v>
      </c>
      <c r="K125" s="53">
        <v>45448</v>
      </c>
      <c r="L125" s="53">
        <v>45480</v>
      </c>
      <c r="M125" s="54">
        <f t="shared" si="5"/>
        <v>32</v>
      </c>
      <c r="N125" s="55">
        <f t="shared" si="6"/>
        <v>0</v>
      </c>
      <c r="O125" s="56" t="str">
        <f t="shared" si="7"/>
        <v>Conforme</v>
      </c>
      <c r="P125" s="51"/>
      <c r="R125" s="57" t="str">
        <f>IF(AND($E125=RelConducteur,$J125="Professionnel",ISNUMBER($C125),$C125&gt;=RelDebut,$C125&lt;=RelFin),COUNTIFS($E$9:$E125,RelConducteur,$J$9:$J125,"Professionnel",$C$9:$C125,"&gt;="&amp;RelDebut,$C$9:$C125,"&lt;="&amp;RelFin),"")</f>
        <v/>
      </c>
    </row>
    <row r="126" spans="2:18" ht="18" customHeight="1" x14ac:dyDescent="0.25">
      <c r="B126" s="48">
        <f>IF(C126="","",COUNT($C$9:C126))</f>
        <v>118</v>
      </c>
      <c r="C126" s="49">
        <v>46497</v>
      </c>
      <c r="D126" s="50">
        <v>0.60416666666666663</v>
      </c>
      <c r="E126" s="51" t="s">
        <v>139</v>
      </c>
      <c r="F126" s="52" t="str">
        <f t="shared" si="4"/>
        <v>Service technique</v>
      </c>
      <c r="G126" s="51" t="s">
        <v>134</v>
      </c>
      <c r="H126" s="51" t="s">
        <v>140</v>
      </c>
      <c r="I126" s="51" t="s">
        <v>141</v>
      </c>
      <c r="J126" s="51" t="s">
        <v>8</v>
      </c>
      <c r="K126" s="53">
        <v>45480</v>
      </c>
      <c r="L126" s="53">
        <v>45500</v>
      </c>
      <c r="M126" s="54">
        <f t="shared" si="5"/>
        <v>20</v>
      </c>
      <c r="N126" s="55">
        <f t="shared" si="6"/>
        <v>0</v>
      </c>
      <c r="O126" s="56" t="str">
        <f t="shared" si="7"/>
        <v>Conforme</v>
      </c>
      <c r="P126" s="51"/>
      <c r="R126" s="57" t="str">
        <f>IF(AND($E126=RelConducteur,$J126="Professionnel",ISNUMBER($C126),$C126&gt;=RelDebut,$C126&lt;=RelFin),COUNTIFS($E$9:$E126,RelConducteur,$J$9:$J126,"Professionnel",$C$9:$C126,"&gt;="&amp;RelDebut,$C$9:$C126,"&lt;="&amp;RelFin),"")</f>
        <v/>
      </c>
    </row>
    <row r="127" spans="2:18" ht="18" customHeight="1" x14ac:dyDescent="0.25">
      <c r="B127" s="48">
        <f>IF(C127="","",COUNT($C$9:C127))</f>
        <v>119</v>
      </c>
      <c r="C127" s="49">
        <v>46499</v>
      </c>
      <c r="D127" s="50">
        <v>0.60416666666666663</v>
      </c>
      <c r="E127" s="51" t="s">
        <v>139</v>
      </c>
      <c r="F127" s="52" t="str">
        <f t="shared" si="4"/>
        <v>Service technique</v>
      </c>
      <c r="G127" s="51" t="s">
        <v>134</v>
      </c>
      <c r="H127" s="51" t="s">
        <v>144</v>
      </c>
      <c r="I127" s="51" t="s">
        <v>145</v>
      </c>
      <c r="J127" s="51" t="s">
        <v>8</v>
      </c>
      <c r="K127" s="53">
        <v>45500</v>
      </c>
      <c r="L127" s="53">
        <v>45531</v>
      </c>
      <c r="M127" s="54">
        <f t="shared" si="5"/>
        <v>31</v>
      </c>
      <c r="N127" s="55">
        <f t="shared" si="6"/>
        <v>0</v>
      </c>
      <c r="O127" s="56" t="str">
        <f t="shared" si="7"/>
        <v>Conforme</v>
      </c>
      <c r="P127" s="51"/>
      <c r="R127" s="57" t="str">
        <f>IF(AND($E127=RelConducteur,$J127="Professionnel",ISNUMBER($C127),$C127&gt;=RelDebut,$C127&lt;=RelFin),COUNTIFS($E$9:$E127,RelConducteur,$J$9:$J127,"Professionnel",$C$9:$C127,"&gt;="&amp;RelDebut,$C$9:$C127,"&lt;="&amp;RelFin),"")</f>
        <v/>
      </c>
    </row>
    <row r="128" spans="2:18" ht="18" customHeight="1" x14ac:dyDescent="0.25">
      <c r="B128" s="48">
        <f>IF(C128="","",COUNT($C$9:C128))</f>
        <v>120</v>
      </c>
      <c r="C128" s="49">
        <v>46500</v>
      </c>
      <c r="D128" s="50">
        <v>0.3125</v>
      </c>
      <c r="E128" s="51" t="s">
        <v>139</v>
      </c>
      <c r="F128" s="52" t="str">
        <f t="shared" si="4"/>
        <v>Service technique</v>
      </c>
      <c r="G128" s="51" t="s">
        <v>134</v>
      </c>
      <c r="H128" s="51" t="s">
        <v>135</v>
      </c>
      <c r="I128" s="51" t="s">
        <v>136</v>
      </c>
      <c r="J128" s="51" t="s">
        <v>8</v>
      </c>
      <c r="K128" s="53">
        <v>45531</v>
      </c>
      <c r="L128" s="53">
        <v>45621</v>
      </c>
      <c r="M128" s="54">
        <f t="shared" si="5"/>
        <v>90</v>
      </c>
      <c r="N128" s="55">
        <f t="shared" si="6"/>
        <v>0</v>
      </c>
      <c r="O128" s="56" t="str">
        <f t="shared" si="7"/>
        <v>Conforme</v>
      </c>
      <c r="P128" s="51"/>
      <c r="R128" s="57" t="str">
        <f>IF(AND($E128=RelConducteur,$J128="Professionnel",ISNUMBER($C128),$C128&gt;=RelDebut,$C128&lt;=RelFin),COUNTIFS($E$9:$E128,RelConducteur,$J$9:$J128,"Professionnel",$C$9:$C128,"&gt;="&amp;RelDebut,$C$9:$C128,"&lt;="&amp;RelFin),"")</f>
        <v/>
      </c>
    </row>
    <row r="129" spans="2:18" ht="18" customHeight="1" x14ac:dyDescent="0.25">
      <c r="B129" s="48">
        <f>IF(C129="","",COUNT($C$9:C129))</f>
        <v>121</v>
      </c>
      <c r="C129" s="49">
        <v>46500</v>
      </c>
      <c r="D129" s="50">
        <v>0.41666666666666669</v>
      </c>
      <c r="E129" s="51" t="s">
        <v>148</v>
      </c>
      <c r="F129" s="52" t="str">
        <f t="shared" si="4"/>
        <v>Service commercial</v>
      </c>
      <c r="G129" s="51" t="s">
        <v>134</v>
      </c>
      <c r="H129" s="51" t="s">
        <v>149</v>
      </c>
      <c r="I129" s="51" t="s">
        <v>150</v>
      </c>
      <c r="J129" s="51" t="s">
        <v>8</v>
      </c>
      <c r="K129" s="53">
        <v>45621</v>
      </c>
      <c r="L129" s="53">
        <v>45894</v>
      </c>
      <c r="M129" s="54">
        <f t="shared" si="5"/>
        <v>273</v>
      </c>
      <c r="N129" s="55">
        <f t="shared" si="6"/>
        <v>0</v>
      </c>
      <c r="O129" s="56" t="str">
        <f t="shared" si="7"/>
        <v>Conforme</v>
      </c>
      <c r="P129" s="51"/>
      <c r="R129" s="57" t="str">
        <f>IF(AND($E129=RelConducteur,$J129="Professionnel",ISNUMBER($C129),$C129&gt;=RelDebut,$C129&lt;=RelFin),COUNTIFS($E$9:$E129,RelConducteur,$J$9:$J129,"Professionnel",$C$9:$C129,"&gt;="&amp;RelDebut,$C$9:$C129,"&lt;="&amp;RelFin),"")</f>
        <v/>
      </c>
    </row>
    <row r="130" spans="2:18" ht="18" customHeight="1" x14ac:dyDescent="0.25">
      <c r="B130" s="48">
        <f>IF(C130="","",COUNT($C$9:C130))</f>
        <v>122</v>
      </c>
      <c r="C130" s="49">
        <v>46503</v>
      </c>
      <c r="D130" s="50">
        <v>0.35416666666666669</v>
      </c>
      <c r="E130" s="51" t="s">
        <v>133</v>
      </c>
      <c r="F130" s="52" t="str">
        <f t="shared" si="4"/>
        <v>Service technique</v>
      </c>
      <c r="G130" s="51" t="s">
        <v>134</v>
      </c>
      <c r="H130" s="51" t="s">
        <v>140</v>
      </c>
      <c r="I130" s="51" t="s">
        <v>141</v>
      </c>
      <c r="J130" s="51" t="s">
        <v>8</v>
      </c>
      <c r="K130" s="53">
        <v>45894</v>
      </c>
      <c r="L130" s="53">
        <v>45914</v>
      </c>
      <c r="M130" s="54">
        <f t="shared" si="5"/>
        <v>20</v>
      </c>
      <c r="N130" s="55">
        <f t="shared" si="6"/>
        <v>0</v>
      </c>
      <c r="O130" s="56" t="str">
        <f t="shared" si="7"/>
        <v>Conforme</v>
      </c>
      <c r="P130" s="51"/>
      <c r="R130" s="57" t="str">
        <f>IF(AND($E130=RelConducteur,$J130="Professionnel",ISNUMBER($C130),$C130&gt;=RelDebut,$C130&lt;=RelFin),COUNTIFS($E$9:$E130,RelConducteur,$J$9:$J130,"Professionnel",$C$9:$C130,"&gt;="&amp;RelDebut,$C$9:$C130,"&lt;="&amp;RelFin),"")</f>
        <v/>
      </c>
    </row>
    <row r="131" spans="2:18" ht="18" customHeight="1" x14ac:dyDescent="0.25">
      <c r="B131" s="48">
        <f>IF(C131="","",COUNT($C$9:C131))</f>
        <v>123</v>
      </c>
      <c r="C131" s="49">
        <v>46503</v>
      </c>
      <c r="D131" s="50">
        <v>0.60416666666666663</v>
      </c>
      <c r="E131" s="51" t="s">
        <v>139</v>
      </c>
      <c r="F131" s="52" t="str">
        <f t="shared" si="4"/>
        <v>Service technique</v>
      </c>
      <c r="G131" s="51" t="s">
        <v>134</v>
      </c>
      <c r="H131" s="51" t="s">
        <v>165</v>
      </c>
      <c r="I131" s="51" t="s">
        <v>166</v>
      </c>
      <c r="J131" s="51" t="s">
        <v>8</v>
      </c>
      <c r="K131" s="53">
        <v>45914</v>
      </c>
      <c r="L131" s="53">
        <v>45982</v>
      </c>
      <c r="M131" s="54">
        <f t="shared" si="5"/>
        <v>68</v>
      </c>
      <c r="N131" s="55">
        <f t="shared" si="6"/>
        <v>0</v>
      </c>
      <c r="O131" s="56" t="str">
        <f t="shared" si="7"/>
        <v>Conforme</v>
      </c>
      <c r="P131" s="51"/>
      <c r="R131" s="57" t="str">
        <f>IF(AND($E131=RelConducteur,$J131="Professionnel",ISNUMBER($C131),$C131&gt;=RelDebut,$C131&lt;=RelFin),COUNTIFS($E$9:$E131,RelConducteur,$J$9:$J131,"Professionnel",$C$9:$C131,"&gt;="&amp;RelDebut,$C$9:$C131,"&lt;="&amp;RelFin),"")</f>
        <v/>
      </c>
    </row>
    <row r="132" spans="2:18" ht="18" customHeight="1" x14ac:dyDescent="0.25">
      <c r="B132" s="48">
        <f>IF(C132="","",COUNT($C$9:C132))</f>
        <v>124</v>
      </c>
      <c r="C132" s="49">
        <v>46504</v>
      </c>
      <c r="D132" s="50">
        <v>0.4375</v>
      </c>
      <c r="E132" s="51" t="s">
        <v>148</v>
      </c>
      <c r="F132" s="52" t="str">
        <f t="shared" si="4"/>
        <v>Service commercial</v>
      </c>
      <c r="G132" s="51" t="s">
        <v>134</v>
      </c>
      <c r="H132" s="51" t="s">
        <v>149</v>
      </c>
      <c r="I132" s="51" t="s">
        <v>150</v>
      </c>
      <c r="J132" s="51" t="s">
        <v>8</v>
      </c>
      <c r="K132" s="53">
        <v>45982</v>
      </c>
      <c r="L132" s="53">
        <v>46259</v>
      </c>
      <c r="M132" s="54">
        <f t="shared" si="5"/>
        <v>277</v>
      </c>
      <c r="N132" s="55">
        <f t="shared" si="6"/>
        <v>0</v>
      </c>
      <c r="O132" s="56" t="str">
        <f t="shared" si="7"/>
        <v>Conforme</v>
      </c>
      <c r="P132" s="51"/>
      <c r="R132" s="57" t="str">
        <f>IF(AND($E132=RelConducteur,$J132="Professionnel",ISNUMBER($C132),$C132&gt;=RelDebut,$C132&lt;=RelFin),COUNTIFS($E$9:$E132,RelConducteur,$J$9:$J132,"Professionnel",$C$9:$C132,"&gt;="&amp;RelDebut,$C$9:$C132,"&lt;="&amp;RelFin),"")</f>
        <v/>
      </c>
    </row>
    <row r="133" spans="2:18" ht="18" customHeight="1" x14ac:dyDescent="0.25">
      <c r="B133" s="48">
        <f>IF(C133="","",COUNT($C$9:C133))</f>
        <v>125</v>
      </c>
      <c r="C133" s="49">
        <v>46505</v>
      </c>
      <c r="D133" s="50">
        <v>0.33333333333333331</v>
      </c>
      <c r="E133" s="51" t="s">
        <v>133</v>
      </c>
      <c r="F133" s="52" t="str">
        <f t="shared" si="4"/>
        <v>Service technique</v>
      </c>
      <c r="G133" s="51" t="s">
        <v>134</v>
      </c>
      <c r="H133" s="51" t="s">
        <v>142</v>
      </c>
      <c r="I133" s="51" t="s">
        <v>143</v>
      </c>
      <c r="J133" s="51" t="s">
        <v>8</v>
      </c>
      <c r="K133" s="53">
        <v>46259</v>
      </c>
      <c r="L133" s="53">
        <v>46276</v>
      </c>
      <c r="M133" s="54">
        <f t="shared" si="5"/>
        <v>17</v>
      </c>
      <c r="N133" s="55">
        <f t="shared" si="6"/>
        <v>0</v>
      </c>
      <c r="O133" s="56" t="str">
        <f t="shared" si="7"/>
        <v>Conforme</v>
      </c>
      <c r="P133" s="51"/>
      <c r="R133" s="57" t="str">
        <f>IF(AND($E133=RelConducteur,$J133="Professionnel",ISNUMBER($C133),$C133&gt;=RelDebut,$C133&lt;=RelFin),COUNTIFS($E$9:$E133,RelConducteur,$J$9:$J133,"Professionnel",$C$9:$C133,"&gt;="&amp;RelDebut,$C$9:$C133,"&lt;="&amp;RelFin),"")</f>
        <v/>
      </c>
    </row>
    <row r="134" spans="2:18" ht="18" customHeight="1" x14ac:dyDescent="0.25">
      <c r="B134" s="48">
        <f>IF(C134="","",COUNT($C$9:C134))</f>
        <v>126</v>
      </c>
      <c r="C134" s="49">
        <v>46505</v>
      </c>
      <c r="D134" s="50">
        <v>0.41666666666666669</v>
      </c>
      <c r="E134" s="51" t="s">
        <v>148</v>
      </c>
      <c r="F134" s="52" t="str">
        <f t="shared" si="4"/>
        <v>Service commercial</v>
      </c>
      <c r="G134" s="51" t="s">
        <v>134</v>
      </c>
      <c r="H134" s="51" t="s">
        <v>159</v>
      </c>
      <c r="I134" s="51" t="s">
        <v>160</v>
      </c>
      <c r="J134" s="51" t="s">
        <v>8</v>
      </c>
      <c r="K134" s="53">
        <v>46276</v>
      </c>
      <c r="L134" s="53">
        <v>46405</v>
      </c>
      <c r="M134" s="54">
        <f t="shared" si="5"/>
        <v>129</v>
      </c>
      <c r="N134" s="55">
        <f t="shared" si="6"/>
        <v>0</v>
      </c>
      <c r="O134" s="56" t="str">
        <f t="shared" si="7"/>
        <v>Conforme</v>
      </c>
      <c r="P134" s="51"/>
      <c r="R134" s="57" t="str">
        <f>IF(AND($E134=RelConducteur,$J134="Professionnel",ISNUMBER($C134),$C134&gt;=RelDebut,$C134&lt;=RelFin),COUNTIFS($E$9:$E134,RelConducteur,$J$9:$J134,"Professionnel",$C$9:$C134,"&gt;="&amp;RelDebut,$C$9:$C134,"&lt;="&amp;RelFin),"")</f>
        <v/>
      </c>
    </row>
    <row r="135" spans="2:18" ht="18" customHeight="1" x14ac:dyDescent="0.25">
      <c r="B135" s="48">
        <f>IF(C135="","",COUNT($C$9:C135))</f>
        <v>127</v>
      </c>
      <c r="C135" s="49">
        <v>46506</v>
      </c>
      <c r="D135" s="50">
        <v>0.3125</v>
      </c>
      <c r="E135" s="51" t="s">
        <v>139</v>
      </c>
      <c r="F135" s="52" t="str">
        <f t="shared" si="4"/>
        <v>Service technique</v>
      </c>
      <c r="G135" s="51" t="s">
        <v>134</v>
      </c>
      <c r="H135" s="51" t="s">
        <v>165</v>
      </c>
      <c r="I135" s="51" t="s">
        <v>166</v>
      </c>
      <c r="J135" s="51" t="s">
        <v>8</v>
      </c>
      <c r="K135" s="53">
        <v>46405</v>
      </c>
      <c r="L135" s="53">
        <v>46475</v>
      </c>
      <c r="M135" s="54">
        <f t="shared" si="5"/>
        <v>70</v>
      </c>
      <c r="N135" s="55">
        <f t="shared" si="6"/>
        <v>0</v>
      </c>
      <c r="O135" s="56" t="str">
        <f t="shared" si="7"/>
        <v>Conforme</v>
      </c>
      <c r="P135" s="51"/>
      <c r="R135" s="57" t="str">
        <f>IF(AND($E135=RelConducteur,$J135="Professionnel",ISNUMBER($C135),$C135&gt;=RelDebut,$C135&lt;=RelFin),COUNTIFS($E$9:$E135,RelConducteur,$J$9:$J135,"Professionnel",$C$9:$C135,"&gt;="&amp;RelDebut,$C$9:$C135,"&lt;="&amp;RelFin),"")</f>
        <v/>
      </c>
    </row>
    <row r="136" spans="2:18" ht="18" customHeight="1" x14ac:dyDescent="0.25">
      <c r="B136" s="48">
        <f>IF(C136="","",COUNT($C$9:C136))</f>
        <v>128</v>
      </c>
      <c r="C136" s="49">
        <v>46507</v>
      </c>
      <c r="D136" s="50">
        <v>0.33333333333333331</v>
      </c>
      <c r="E136" s="51" t="s">
        <v>133</v>
      </c>
      <c r="F136" s="52" t="str">
        <f t="shared" si="4"/>
        <v>Service technique</v>
      </c>
      <c r="G136" s="51" t="s">
        <v>134</v>
      </c>
      <c r="H136" s="51" t="s">
        <v>165</v>
      </c>
      <c r="I136" s="51" t="s">
        <v>166</v>
      </c>
      <c r="J136" s="51" t="s">
        <v>8</v>
      </c>
      <c r="K136" s="53">
        <v>46475</v>
      </c>
      <c r="L136" s="53">
        <v>46545</v>
      </c>
      <c r="M136" s="54">
        <f t="shared" si="5"/>
        <v>70</v>
      </c>
      <c r="N136" s="55">
        <f t="shared" si="6"/>
        <v>0</v>
      </c>
      <c r="O136" s="56" t="str">
        <f t="shared" si="7"/>
        <v>Conforme</v>
      </c>
      <c r="P136" s="51"/>
      <c r="R136" s="57" t="str">
        <f>IF(AND($E136=RelConducteur,$J136="Professionnel",ISNUMBER($C136),$C136&gt;=RelDebut,$C136&lt;=RelFin),COUNTIFS($E$9:$E136,RelConducteur,$J$9:$J136,"Professionnel",$C$9:$C136,"&gt;="&amp;RelDebut,$C$9:$C136,"&lt;="&amp;RelFin),"")</f>
        <v/>
      </c>
    </row>
    <row r="137" spans="2:18" ht="18" customHeight="1" x14ac:dyDescent="0.25">
      <c r="B137" s="48">
        <f>IF(C137="","",COUNT($C$9:C137))</f>
        <v>129</v>
      </c>
      <c r="C137" s="49">
        <v>46510</v>
      </c>
      <c r="D137" s="50">
        <v>0.58333333333333337</v>
      </c>
      <c r="E137" s="51" t="s">
        <v>133</v>
      </c>
      <c r="F137" s="52" t="str">
        <f t="shared" ref="F137:F200" si="8">IF(OR(C137="",E137=""),"",IFERROR(INDEX(CondService,MATCH(E137,CondNoms,0))&amp;"","Conducteur inconnu"))</f>
        <v>Service technique</v>
      </c>
      <c r="G137" s="51" t="s">
        <v>134</v>
      </c>
      <c r="H137" s="51" t="s">
        <v>140</v>
      </c>
      <c r="I137" s="51" t="s">
        <v>141</v>
      </c>
      <c r="J137" s="51" t="s">
        <v>8</v>
      </c>
      <c r="K137" s="53">
        <v>46545</v>
      </c>
      <c r="L137" s="53">
        <v>46569</v>
      </c>
      <c r="M137" s="54">
        <f t="shared" ref="M137:M200" si="9">IF(OR(K137="",L137=""),"",L137-K137)</f>
        <v>24</v>
      </c>
      <c r="N137" s="55">
        <f t="shared" si="6"/>
        <v>0</v>
      </c>
      <c r="O137" s="56" t="str">
        <f t="shared" si="7"/>
        <v>Conforme</v>
      </c>
      <c r="P137" s="51"/>
      <c r="R137" s="57" t="str">
        <f>IF(AND($E137=RelConducteur,$J137="Professionnel",ISNUMBER($C137),$C137&gt;=RelDebut,$C137&lt;=RelFin),COUNTIFS($E$9:$E137,RelConducteur,$J$9:$J137,"Professionnel",$C$9:$C137,"&gt;="&amp;RelDebut,$C$9:$C137,"&lt;="&amp;RelFin),"")</f>
        <v/>
      </c>
    </row>
    <row r="138" spans="2:18" ht="18" customHeight="1" x14ac:dyDescent="0.25">
      <c r="B138" s="48">
        <f>IF(C138="","",COUNT($C$9:C138))</f>
        <v>130</v>
      </c>
      <c r="C138" s="49">
        <v>46511</v>
      </c>
      <c r="D138" s="50">
        <v>0.58333333333333337</v>
      </c>
      <c r="E138" s="51" t="s">
        <v>139</v>
      </c>
      <c r="F138" s="52" t="str">
        <f t="shared" si="8"/>
        <v>Service technique</v>
      </c>
      <c r="G138" s="51" t="s">
        <v>134</v>
      </c>
      <c r="H138" s="51" t="s">
        <v>142</v>
      </c>
      <c r="I138" s="51" t="s">
        <v>143</v>
      </c>
      <c r="J138" s="51" t="s">
        <v>8</v>
      </c>
      <c r="K138" s="53">
        <v>46569</v>
      </c>
      <c r="L138" s="53">
        <v>46585</v>
      </c>
      <c r="M138" s="54">
        <f t="shared" si="9"/>
        <v>16</v>
      </c>
      <c r="N138" s="55">
        <f t="shared" ref="N138:N201" si="10">IF(OR(C138="",K138="",L137=""),"",K138-L137)</f>
        <v>0</v>
      </c>
      <c r="O138" s="56" t="str">
        <f t="shared" ref="O138:O201" si="11">IF(C138="","",IF(OR(E138="",G138="",H138="",J138="",K138="",L138="",AND(J138="Professionnel",I138="")),"Incomplet",IF(AND(ISNUMBER(C137),C138&lt;C137),"Ordre des dates",IF(L138&lt;K138,"Compteur incohérent",IF(AND(ISNUMBER(N138),N138&gt;ToleranceKm),"Km non enregistrés",IF(AND(ISNUMBER(N138),N138&lt;-ToleranceKm),"Chevauchement",IF(AND(J138="Personnel",UsagePrive="Non"),"Usage privé non autorisé","Conforme")))))))</f>
        <v>Conforme</v>
      </c>
      <c r="P138" s="51"/>
      <c r="R138" s="57" t="str">
        <f>IF(AND($E138=RelConducteur,$J138="Professionnel",ISNUMBER($C138),$C138&gt;=RelDebut,$C138&lt;=RelFin),COUNTIFS($E$9:$E138,RelConducteur,$J$9:$J138,"Professionnel",$C$9:$C138,"&gt;="&amp;RelDebut,$C$9:$C138,"&lt;="&amp;RelFin),"")</f>
        <v/>
      </c>
    </row>
    <row r="139" spans="2:18" ht="18" customHeight="1" x14ac:dyDescent="0.25">
      <c r="B139" s="48">
        <f>IF(C139="","",COUNT($C$9:C139))</f>
        <v>131</v>
      </c>
      <c r="C139" s="49">
        <v>46512</v>
      </c>
      <c r="D139" s="50">
        <v>0.35416666666666669</v>
      </c>
      <c r="E139" s="51" t="s">
        <v>139</v>
      </c>
      <c r="F139" s="52" t="str">
        <f t="shared" si="8"/>
        <v>Service technique</v>
      </c>
      <c r="G139" s="51" t="s">
        <v>134</v>
      </c>
      <c r="H139" s="51" t="s">
        <v>151</v>
      </c>
      <c r="I139" s="51" t="s">
        <v>152</v>
      </c>
      <c r="J139" s="51" t="s">
        <v>8</v>
      </c>
      <c r="K139" s="53">
        <v>46585</v>
      </c>
      <c r="L139" s="53">
        <v>46636</v>
      </c>
      <c r="M139" s="54">
        <f t="shared" si="9"/>
        <v>51</v>
      </c>
      <c r="N139" s="55">
        <f t="shared" si="10"/>
        <v>0</v>
      </c>
      <c r="O139" s="56" t="str">
        <f t="shared" si="11"/>
        <v>Conforme</v>
      </c>
      <c r="P139" s="51"/>
      <c r="R139" s="57" t="str">
        <f>IF(AND($E139=RelConducteur,$J139="Professionnel",ISNUMBER($C139),$C139&gt;=RelDebut,$C139&lt;=RelFin),COUNTIFS($E$9:$E139,RelConducteur,$J$9:$J139,"Professionnel",$C$9:$C139,"&gt;="&amp;RelDebut,$C$9:$C139,"&lt;="&amp;RelFin),"")</f>
        <v/>
      </c>
    </row>
    <row r="140" spans="2:18" ht="18" customHeight="1" x14ac:dyDescent="0.25">
      <c r="B140" s="48">
        <f>IF(C140="","",COUNT($C$9:C140))</f>
        <v>132</v>
      </c>
      <c r="C140" s="49">
        <v>46512</v>
      </c>
      <c r="D140" s="50">
        <v>0.60416666666666663</v>
      </c>
      <c r="E140" s="51" t="s">
        <v>133</v>
      </c>
      <c r="F140" s="52" t="str">
        <f t="shared" si="8"/>
        <v>Service technique</v>
      </c>
      <c r="G140" s="51" t="s">
        <v>134</v>
      </c>
      <c r="H140" s="51" t="s">
        <v>165</v>
      </c>
      <c r="I140" s="51" t="s">
        <v>166</v>
      </c>
      <c r="J140" s="51" t="s">
        <v>8</v>
      </c>
      <c r="K140" s="53">
        <v>46636</v>
      </c>
      <c r="L140" s="53">
        <v>46704</v>
      </c>
      <c r="M140" s="54">
        <f t="shared" si="9"/>
        <v>68</v>
      </c>
      <c r="N140" s="55">
        <f t="shared" si="10"/>
        <v>0</v>
      </c>
      <c r="O140" s="56" t="str">
        <f t="shared" si="11"/>
        <v>Conforme</v>
      </c>
      <c r="P140" s="51"/>
      <c r="R140" s="57" t="str">
        <f>IF(AND($E140=RelConducteur,$J140="Professionnel",ISNUMBER($C140),$C140&gt;=RelDebut,$C140&lt;=RelFin),COUNTIFS($E$9:$E140,RelConducteur,$J$9:$J140,"Professionnel",$C$9:$C140,"&gt;="&amp;RelDebut,$C$9:$C140,"&lt;="&amp;RelFin),"")</f>
        <v/>
      </c>
    </row>
    <row r="141" spans="2:18" ht="18" customHeight="1" x14ac:dyDescent="0.25">
      <c r="B141" s="48">
        <f>IF(C141="","",COUNT($C$9:C141))</f>
        <v>133</v>
      </c>
      <c r="C141" s="49">
        <v>46514</v>
      </c>
      <c r="D141" s="50">
        <v>0.33333333333333331</v>
      </c>
      <c r="E141" s="51" t="s">
        <v>139</v>
      </c>
      <c r="F141" s="52" t="str">
        <f t="shared" si="8"/>
        <v>Service technique</v>
      </c>
      <c r="G141" s="51" t="s">
        <v>134</v>
      </c>
      <c r="H141" s="51" t="s">
        <v>144</v>
      </c>
      <c r="I141" s="51" t="s">
        <v>145</v>
      </c>
      <c r="J141" s="51" t="s">
        <v>8</v>
      </c>
      <c r="K141" s="53">
        <v>46704</v>
      </c>
      <c r="L141" s="53">
        <v>46733</v>
      </c>
      <c r="M141" s="54">
        <f t="shared" si="9"/>
        <v>29</v>
      </c>
      <c r="N141" s="55">
        <f t="shared" si="10"/>
        <v>0</v>
      </c>
      <c r="O141" s="56" t="str">
        <f t="shared" si="11"/>
        <v>Conforme</v>
      </c>
      <c r="P141" s="51"/>
      <c r="R141" s="57" t="str">
        <f>IF(AND($E141=RelConducteur,$J141="Professionnel",ISNUMBER($C141),$C141&gt;=RelDebut,$C141&lt;=RelFin),COUNTIFS($E$9:$E141,RelConducteur,$J$9:$J141,"Professionnel",$C$9:$C141,"&gt;="&amp;RelDebut,$C$9:$C141,"&lt;="&amp;RelFin),"")</f>
        <v/>
      </c>
    </row>
    <row r="142" spans="2:18" ht="18" customHeight="1" x14ac:dyDescent="0.25">
      <c r="B142" s="48">
        <f>IF(C142="","",COUNT($C$9:C142))</f>
        <v>134</v>
      </c>
      <c r="C142" s="49">
        <v>46514</v>
      </c>
      <c r="D142" s="50">
        <v>0.41666666666666669</v>
      </c>
      <c r="E142" s="51" t="s">
        <v>148</v>
      </c>
      <c r="F142" s="52" t="str">
        <f t="shared" si="8"/>
        <v>Service commercial</v>
      </c>
      <c r="G142" s="51" t="s">
        <v>134</v>
      </c>
      <c r="H142" s="51" t="s">
        <v>159</v>
      </c>
      <c r="I142" s="51" t="s">
        <v>160</v>
      </c>
      <c r="J142" s="51" t="s">
        <v>8</v>
      </c>
      <c r="K142" s="53">
        <v>46733</v>
      </c>
      <c r="L142" s="53">
        <v>46865</v>
      </c>
      <c r="M142" s="54">
        <f t="shared" si="9"/>
        <v>132</v>
      </c>
      <c r="N142" s="55">
        <f t="shared" si="10"/>
        <v>0</v>
      </c>
      <c r="O142" s="56" t="str">
        <f t="shared" si="11"/>
        <v>Conforme</v>
      </c>
      <c r="P142" s="51"/>
      <c r="R142" s="57" t="str">
        <f>IF(AND($E142=RelConducteur,$J142="Professionnel",ISNUMBER($C142),$C142&gt;=RelDebut,$C142&lt;=RelFin),COUNTIFS($E$9:$E142,RelConducteur,$J$9:$J142,"Professionnel",$C$9:$C142,"&gt;="&amp;RelDebut,$C$9:$C142,"&lt;="&amp;RelFin),"")</f>
        <v/>
      </c>
    </row>
    <row r="143" spans="2:18" ht="18" customHeight="1" x14ac:dyDescent="0.25">
      <c r="B143" s="48">
        <f>IF(C143="","",COUNT($C$9:C143))</f>
        <v>135</v>
      </c>
      <c r="C143" s="49">
        <v>46517</v>
      </c>
      <c r="D143" s="50">
        <v>0.3125</v>
      </c>
      <c r="E143" s="51" t="s">
        <v>133</v>
      </c>
      <c r="F143" s="52" t="str">
        <f t="shared" si="8"/>
        <v>Service technique</v>
      </c>
      <c r="G143" s="51" t="s">
        <v>134</v>
      </c>
      <c r="H143" s="51" t="s">
        <v>151</v>
      </c>
      <c r="I143" s="51" t="s">
        <v>152</v>
      </c>
      <c r="J143" s="51" t="s">
        <v>8</v>
      </c>
      <c r="K143" s="53">
        <v>46865</v>
      </c>
      <c r="L143" s="53">
        <v>46920</v>
      </c>
      <c r="M143" s="54">
        <f t="shared" si="9"/>
        <v>55</v>
      </c>
      <c r="N143" s="55">
        <f t="shared" si="10"/>
        <v>0</v>
      </c>
      <c r="O143" s="56" t="str">
        <f t="shared" si="11"/>
        <v>Conforme</v>
      </c>
      <c r="P143" s="51"/>
      <c r="R143" s="57" t="str">
        <f>IF(AND($E143=RelConducteur,$J143="Professionnel",ISNUMBER($C143),$C143&gt;=RelDebut,$C143&lt;=RelFin),COUNTIFS($E$9:$E143,RelConducteur,$J$9:$J143,"Professionnel",$C$9:$C143,"&gt;="&amp;RelDebut,$C$9:$C143,"&lt;="&amp;RelFin),"")</f>
        <v/>
      </c>
    </row>
    <row r="144" spans="2:18" ht="18" customHeight="1" x14ac:dyDescent="0.25">
      <c r="B144" s="48">
        <f>IF(C144="","",COUNT($C$9:C144))</f>
        <v>136</v>
      </c>
      <c r="C144" s="49">
        <v>46517</v>
      </c>
      <c r="D144" s="50">
        <v>0.60416666666666663</v>
      </c>
      <c r="E144" s="51" t="s">
        <v>139</v>
      </c>
      <c r="F144" s="52" t="str">
        <f t="shared" si="8"/>
        <v>Service technique</v>
      </c>
      <c r="G144" s="51" t="s">
        <v>134</v>
      </c>
      <c r="H144" s="51" t="s">
        <v>140</v>
      </c>
      <c r="I144" s="51" t="s">
        <v>141</v>
      </c>
      <c r="J144" s="51" t="s">
        <v>8</v>
      </c>
      <c r="K144" s="53">
        <v>46920</v>
      </c>
      <c r="L144" s="53">
        <v>46940</v>
      </c>
      <c r="M144" s="54">
        <f t="shared" si="9"/>
        <v>20</v>
      </c>
      <c r="N144" s="55">
        <f t="shared" si="10"/>
        <v>0</v>
      </c>
      <c r="O144" s="56" t="str">
        <f t="shared" si="11"/>
        <v>Conforme</v>
      </c>
      <c r="P144" s="51"/>
      <c r="R144" s="57" t="str">
        <f>IF(AND($E144=RelConducteur,$J144="Professionnel",ISNUMBER($C144),$C144&gt;=RelDebut,$C144&lt;=RelFin),COUNTIFS($E$9:$E144,RelConducteur,$J$9:$J144,"Professionnel",$C$9:$C144,"&gt;="&amp;RelDebut,$C$9:$C144,"&lt;="&amp;RelFin),"")</f>
        <v/>
      </c>
    </row>
    <row r="145" spans="2:18" ht="18" customHeight="1" x14ac:dyDescent="0.25">
      <c r="B145" s="48">
        <f>IF(C145="","",COUNT($C$9:C145))</f>
        <v>137</v>
      </c>
      <c r="C145" s="49">
        <v>46517</v>
      </c>
      <c r="D145" s="50">
        <v>0.75</v>
      </c>
      <c r="E145" s="51" t="s">
        <v>139</v>
      </c>
      <c r="F145" s="52" t="str">
        <f t="shared" si="8"/>
        <v>Service technique</v>
      </c>
      <c r="G145" s="51" t="s">
        <v>134</v>
      </c>
      <c r="H145" s="51" t="s">
        <v>155</v>
      </c>
      <c r="I145" s="51" t="s">
        <v>156</v>
      </c>
      <c r="J145" s="51" t="s">
        <v>9</v>
      </c>
      <c r="K145" s="53">
        <v>46940</v>
      </c>
      <c r="L145" s="53">
        <v>46964</v>
      </c>
      <c r="M145" s="54">
        <f t="shared" si="9"/>
        <v>24</v>
      </c>
      <c r="N145" s="55">
        <f t="shared" si="10"/>
        <v>0</v>
      </c>
      <c r="O145" s="56" t="str">
        <f t="shared" si="11"/>
        <v>Conforme</v>
      </c>
      <c r="P145" s="51"/>
      <c r="R145" s="57" t="str">
        <f>IF(AND($E145=RelConducteur,$J145="Professionnel",ISNUMBER($C145),$C145&gt;=RelDebut,$C145&lt;=RelFin),COUNTIFS($E$9:$E145,RelConducteur,$J$9:$J145,"Professionnel",$C$9:$C145,"&gt;="&amp;RelDebut,$C$9:$C145,"&lt;="&amp;RelFin),"")</f>
        <v/>
      </c>
    </row>
    <row r="146" spans="2:18" ht="18" customHeight="1" x14ac:dyDescent="0.25">
      <c r="B146" s="48">
        <f>IF(C146="","",COUNT($C$9:C146))</f>
        <v>138</v>
      </c>
      <c r="C146" s="49">
        <v>46518</v>
      </c>
      <c r="D146" s="50">
        <v>0.33333333333333331</v>
      </c>
      <c r="E146" s="51" t="s">
        <v>139</v>
      </c>
      <c r="F146" s="52" t="str">
        <f t="shared" si="8"/>
        <v>Service technique</v>
      </c>
      <c r="G146" s="51" t="s">
        <v>134</v>
      </c>
      <c r="H146" s="51" t="s">
        <v>163</v>
      </c>
      <c r="I146" s="51" t="s">
        <v>164</v>
      </c>
      <c r="J146" s="51" t="s">
        <v>8</v>
      </c>
      <c r="K146" s="53">
        <v>46964</v>
      </c>
      <c r="L146" s="53">
        <v>46992</v>
      </c>
      <c r="M146" s="54">
        <f t="shared" si="9"/>
        <v>28</v>
      </c>
      <c r="N146" s="55">
        <f t="shared" si="10"/>
        <v>0</v>
      </c>
      <c r="O146" s="56" t="str">
        <f t="shared" si="11"/>
        <v>Conforme</v>
      </c>
      <c r="P146" s="51"/>
      <c r="R146" s="57" t="str">
        <f>IF(AND($E146=RelConducteur,$J146="Professionnel",ISNUMBER($C146),$C146&gt;=RelDebut,$C146&lt;=RelFin),COUNTIFS($E$9:$E146,RelConducteur,$J$9:$J146,"Professionnel",$C$9:$C146,"&gt;="&amp;RelDebut,$C$9:$C146,"&lt;="&amp;RelFin),"")</f>
        <v/>
      </c>
    </row>
    <row r="147" spans="2:18" ht="18" customHeight="1" x14ac:dyDescent="0.25">
      <c r="B147" s="48">
        <f>IF(C147="","",COUNT($C$9:C147))</f>
        <v>139</v>
      </c>
      <c r="C147" s="49">
        <v>46518</v>
      </c>
      <c r="D147" s="50">
        <v>0.41666666666666669</v>
      </c>
      <c r="E147" s="51" t="s">
        <v>148</v>
      </c>
      <c r="F147" s="52" t="str">
        <f t="shared" si="8"/>
        <v>Service commercial</v>
      </c>
      <c r="G147" s="51" t="s">
        <v>134</v>
      </c>
      <c r="H147" s="51" t="s">
        <v>171</v>
      </c>
      <c r="I147" s="51" t="s">
        <v>172</v>
      </c>
      <c r="J147" s="51" t="s">
        <v>8</v>
      </c>
      <c r="K147" s="53">
        <v>46992</v>
      </c>
      <c r="L147" s="53">
        <v>47008</v>
      </c>
      <c r="M147" s="54">
        <f t="shared" si="9"/>
        <v>16</v>
      </c>
      <c r="N147" s="55">
        <f t="shared" si="10"/>
        <v>0</v>
      </c>
      <c r="O147" s="56" t="str">
        <f t="shared" si="11"/>
        <v>Conforme</v>
      </c>
      <c r="P147" s="51"/>
      <c r="R147" s="57" t="str">
        <f>IF(AND($E147=RelConducteur,$J147="Professionnel",ISNUMBER($C147),$C147&gt;=RelDebut,$C147&lt;=RelFin),COUNTIFS($E$9:$E147,RelConducteur,$J$9:$J147,"Professionnel",$C$9:$C147,"&gt;="&amp;RelDebut,$C$9:$C147,"&lt;="&amp;RelFin),"")</f>
        <v/>
      </c>
    </row>
    <row r="148" spans="2:18" ht="18" customHeight="1" x14ac:dyDescent="0.25">
      <c r="B148" s="48">
        <f>IF(C148="","",COUNT($C$9:C148))</f>
        <v>140</v>
      </c>
      <c r="C148" s="49">
        <v>46518</v>
      </c>
      <c r="D148" s="50">
        <v>0.75</v>
      </c>
      <c r="E148" s="51" t="s">
        <v>139</v>
      </c>
      <c r="F148" s="52" t="str">
        <f t="shared" si="8"/>
        <v>Service technique</v>
      </c>
      <c r="G148" s="51" t="s">
        <v>134</v>
      </c>
      <c r="H148" s="51" t="s">
        <v>155</v>
      </c>
      <c r="I148" s="51" t="s">
        <v>156</v>
      </c>
      <c r="J148" s="51" t="s">
        <v>9</v>
      </c>
      <c r="K148" s="53">
        <v>47008</v>
      </c>
      <c r="L148" s="53">
        <v>47032</v>
      </c>
      <c r="M148" s="54">
        <f t="shared" si="9"/>
        <v>24</v>
      </c>
      <c r="N148" s="55">
        <f t="shared" si="10"/>
        <v>0</v>
      </c>
      <c r="O148" s="56" t="str">
        <f t="shared" si="11"/>
        <v>Conforme</v>
      </c>
      <c r="P148" s="51"/>
      <c r="R148" s="57" t="str">
        <f>IF(AND($E148=RelConducteur,$J148="Professionnel",ISNUMBER($C148),$C148&gt;=RelDebut,$C148&lt;=RelFin),COUNTIFS($E$9:$E148,RelConducteur,$J$9:$J148,"Professionnel",$C$9:$C148,"&gt;="&amp;RelDebut,$C$9:$C148,"&lt;="&amp;RelFin),"")</f>
        <v/>
      </c>
    </row>
    <row r="149" spans="2:18" ht="18" customHeight="1" x14ac:dyDescent="0.25">
      <c r="B149" s="48">
        <f>IF(C149="","",COUNT($C$9:C149))</f>
        <v>141</v>
      </c>
      <c r="C149" s="49">
        <v>46519</v>
      </c>
      <c r="D149" s="50">
        <v>0.60416666666666663</v>
      </c>
      <c r="E149" s="51" t="s">
        <v>139</v>
      </c>
      <c r="F149" s="52" t="str">
        <f t="shared" si="8"/>
        <v>Service technique</v>
      </c>
      <c r="G149" s="51" t="s">
        <v>134</v>
      </c>
      <c r="H149" s="51" t="s">
        <v>146</v>
      </c>
      <c r="I149" s="51" t="s">
        <v>147</v>
      </c>
      <c r="J149" s="51" t="s">
        <v>8</v>
      </c>
      <c r="K149" s="53">
        <v>47032</v>
      </c>
      <c r="L149" s="53">
        <v>47068</v>
      </c>
      <c r="M149" s="54">
        <f t="shared" si="9"/>
        <v>36</v>
      </c>
      <c r="N149" s="55">
        <f t="shared" si="10"/>
        <v>0</v>
      </c>
      <c r="O149" s="56" t="str">
        <f t="shared" si="11"/>
        <v>Conforme</v>
      </c>
      <c r="P149" s="51"/>
      <c r="R149" s="57" t="str">
        <f>IF(AND($E149=RelConducteur,$J149="Professionnel",ISNUMBER($C149),$C149&gt;=RelDebut,$C149&lt;=RelFin),COUNTIFS($E$9:$E149,RelConducteur,$J$9:$J149,"Professionnel",$C$9:$C149,"&gt;="&amp;RelDebut,$C$9:$C149,"&lt;="&amp;RelFin),"")</f>
        <v/>
      </c>
    </row>
    <row r="150" spans="2:18" ht="18" customHeight="1" x14ac:dyDescent="0.25">
      <c r="B150" s="48">
        <f>IF(C150="","",COUNT($C$9:C150))</f>
        <v>142</v>
      </c>
      <c r="C150" s="49">
        <v>46519</v>
      </c>
      <c r="D150" s="50">
        <v>0.75</v>
      </c>
      <c r="E150" s="51" t="s">
        <v>139</v>
      </c>
      <c r="F150" s="52" t="str">
        <f t="shared" si="8"/>
        <v>Service technique</v>
      </c>
      <c r="G150" s="51" t="s">
        <v>134</v>
      </c>
      <c r="H150" s="51" t="s">
        <v>155</v>
      </c>
      <c r="I150" s="51" t="s">
        <v>156</v>
      </c>
      <c r="J150" s="51" t="s">
        <v>9</v>
      </c>
      <c r="K150" s="53">
        <v>47068</v>
      </c>
      <c r="L150" s="53">
        <v>47092</v>
      </c>
      <c r="M150" s="54">
        <f t="shared" si="9"/>
        <v>24</v>
      </c>
      <c r="N150" s="55">
        <f t="shared" si="10"/>
        <v>0</v>
      </c>
      <c r="O150" s="56" t="str">
        <f t="shared" si="11"/>
        <v>Conforme</v>
      </c>
      <c r="P150" s="51"/>
      <c r="R150" s="57" t="str">
        <f>IF(AND($E150=RelConducteur,$J150="Professionnel",ISNUMBER($C150),$C150&gt;=RelDebut,$C150&lt;=RelFin),COUNTIFS($E$9:$E150,RelConducteur,$J$9:$J150,"Professionnel",$C$9:$C150,"&gt;="&amp;RelDebut,$C$9:$C150,"&lt;="&amp;RelFin),"")</f>
        <v/>
      </c>
    </row>
    <row r="151" spans="2:18" ht="18" customHeight="1" x14ac:dyDescent="0.25">
      <c r="B151" s="48">
        <f>IF(C151="","",COUNT($C$9:C151))</f>
        <v>143</v>
      </c>
      <c r="C151" s="49">
        <v>46520</v>
      </c>
      <c r="D151" s="50">
        <v>0.3125</v>
      </c>
      <c r="E151" s="51" t="s">
        <v>139</v>
      </c>
      <c r="F151" s="52" t="str">
        <f t="shared" si="8"/>
        <v>Service technique</v>
      </c>
      <c r="G151" s="51" t="s">
        <v>134</v>
      </c>
      <c r="H151" s="51" t="s">
        <v>142</v>
      </c>
      <c r="I151" s="51" t="s">
        <v>143</v>
      </c>
      <c r="J151" s="51" t="s">
        <v>8</v>
      </c>
      <c r="K151" s="53">
        <v>47092</v>
      </c>
      <c r="L151" s="53">
        <v>47109</v>
      </c>
      <c r="M151" s="54">
        <f t="shared" si="9"/>
        <v>17</v>
      </c>
      <c r="N151" s="55">
        <f t="shared" si="10"/>
        <v>0</v>
      </c>
      <c r="O151" s="56" t="str">
        <f t="shared" si="11"/>
        <v>Conforme</v>
      </c>
      <c r="P151" s="51"/>
      <c r="R151" s="57" t="str">
        <f>IF(AND($E151=RelConducteur,$J151="Professionnel",ISNUMBER($C151),$C151&gt;=RelDebut,$C151&lt;=RelFin),COUNTIFS($E$9:$E151,RelConducteur,$J$9:$J151,"Professionnel",$C$9:$C151,"&gt;="&amp;RelDebut,$C$9:$C151,"&lt;="&amp;RelFin),"")</f>
        <v/>
      </c>
    </row>
    <row r="152" spans="2:18" ht="18" customHeight="1" x14ac:dyDescent="0.25">
      <c r="B152" s="48">
        <f>IF(C152="","",COUNT($C$9:C152))</f>
        <v>144</v>
      </c>
      <c r="C152" s="49">
        <v>46520</v>
      </c>
      <c r="D152" s="50">
        <v>0.58333333333333337</v>
      </c>
      <c r="E152" s="51" t="s">
        <v>133</v>
      </c>
      <c r="F152" s="52" t="str">
        <f t="shared" si="8"/>
        <v>Service technique</v>
      </c>
      <c r="G152" s="51" t="s">
        <v>134</v>
      </c>
      <c r="H152" s="51" t="s">
        <v>146</v>
      </c>
      <c r="I152" s="51" t="s">
        <v>147</v>
      </c>
      <c r="J152" s="51" t="s">
        <v>8</v>
      </c>
      <c r="K152" s="53">
        <v>47109</v>
      </c>
      <c r="L152" s="53">
        <v>47144</v>
      </c>
      <c r="M152" s="54">
        <f t="shared" si="9"/>
        <v>35</v>
      </c>
      <c r="N152" s="55">
        <f t="shared" si="10"/>
        <v>0</v>
      </c>
      <c r="O152" s="56" t="str">
        <f t="shared" si="11"/>
        <v>Conforme</v>
      </c>
      <c r="P152" s="51"/>
      <c r="R152" s="57" t="str">
        <f>IF(AND($E152=RelConducteur,$J152="Professionnel",ISNUMBER($C152),$C152&gt;=RelDebut,$C152&lt;=RelFin),COUNTIFS($E$9:$E152,RelConducteur,$J$9:$J152,"Professionnel",$C$9:$C152,"&gt;="&amp;RelDebut,$C$9:$C152,"&lt;="&amp;RelFin),"")</f>
        <v/>
      </c>
    </row>
    <row r="153" spans="2:18" ht="18" customHeight="1" x14ac:dyDescent="0.25">
      <c r="B153" s="48">
        <f>IF(C153="","",COUNT($C$9:C153))</f>
        <v>145</v>
      </c>
      <c r="C153" s="49">
        <v>46520</v>
      </c>
      <c r="D153" s="50">
        <v>0.75</v>
      </c>
      <c r="E153" s="51" t="s">
        <v>139</v>
      </c>
      <c r="F153" s="52" t="str">
        <f t="shared" si="8"/>
        <v>Service technique</v>
      </c>
      <c r="G153" s="51" t="s">
        <v>134</v>
      </c>
      <c r="H153" s="51" t="s">
        <v>155</v>
      </c>
      <c r="I153" s="51" t="s">
        <v>156</v>
      </c>
      <c r="J153" s="51" t="s">
        <v>9</v>
      </c>
      <c r="K153" s="53">
        <v>47144</v>
      </c>
      <c r="L153" s="53">
        <v>47168</v>
      </c>
      <c r="M153" s="54">
        <f t="shared" si="9"/>
        <v>24</v>
      </c>
      <c r="N153" s="55">
        <f t="shared" si="10"/>
        <v>0</v>
      </c>
      <c r="O153" s="56" t="str">
        <f t="shared" si="11"/>
        <v>Conforme</v>
      </c>
      <c r="P153" s="51"/>
      <c r="R153" s="57" t="str">
        <f>IF(AND($E153=RelConducteur,$J153="Professionnel",ISNUMBER($C153),$C153&gt;=RelDebut,$C153&lt;=RelFin),COUNTIFS($E$9:$E153,RelConducteur,$J$9:$J153,"Professionnel",$C$9:$C153,"&gt;="&amp;RelDebut,$C$9:$C153,"&lt;="&amp;RelFin),"")</f>
        <v/>
      </c>
    </row>
    <row r="154" spans="2:18" ht="18" customHeight="1" x14ac:dyDescent="0.25">
      <c r="B154" s="48">
        <f>IF(C154="","",COUNT($C$9:C154))</f>
        <v>146</v>
      </c>
      <c r="C154" s="49">
        <v>46521</v>
      </c>
      <c r="D154" s="50">
        <v>0.33333333333333331</v>
      </c>
      <c r="E154" s="51" t="s">
        <v>133</v>
      </c>
      <c r="F154" s="52" t="str">
        <f t="shared" si="8"/>
        <v>Service technique</v>
      </c>
      <c r="G154" s="51" t="s">
        <v>134</v>
      </c>
      <c r="H154" s="51" t="s">
        <v>146</v>
      </c>
      <c r="I154" s="51" t="s">
        <v>147</v>
      </c>
      <c r="J154" s="51" t="s">
        <v>8</v>
      </c>
      <c r="K154" s="53">
        <v>47168</v>
      </c>
      <c r="L154" s="53">
        <v>47203</v>
      </c>
      <c r="M154" s="54">
        <f t="shared" si="9"/>
        <v>35</v>
      </c>
      <c r="N154" s="55">
        <f t="shared" si="10"/>
        <v>0</v>
      </c>
      <c r="O154" s="56" t="str">
        <f t="shared" si="11"/>
        <v>Conforme</v>
      </c>
      <c r="P154" s="51"/>
      <c r="R154" s="57" t="str">
        <f>IF(AND($E154=RelConducteur,$J154="Professionnel",ISNUMBER($C154),$C154&gt;=RelDebut,$C154&lt;=RelFin),COUNTIFS($E$9:$E154,RelConducteur,$J$9:$J154,"Professionnel",$C$9:$C154,"&gt;="&amp;RelDebut,$C$9:$C154,"&lt;="&amp;RelFin),"")</f>
        <v/>
      </c>
    </row>
    <row r="155" spans="2:18" ht="18" customHeight="1" x14ac:dyDescent="0.25">
      <c r="B155" s="48">
        <f>IF(C155="","",COUNT($C$9:C155))</f>
        <v>147</v>
      </c>
      <c r="C155" s="49">
        <v>46521</v>
      </c>
      <c r="D155" s="50">
        <v>0.58333333333333337</v>
      </c>
      <c r="E155" s="51" t="s">
        <v>139</v>
      </c>
      <c r="F155" s="52" t="str">
        <f t="shared" si="8"/>
        <v>Service technique</v>
      </c>
      <c r="G155" s="51" t="s">
        <v>134</v>
      </c>
      <c r="H155" s="51" t="s">
        <v>142</v>
      </c>
      <c r="I155" s="51" t="s">
        <v>143</v>
      </c>
      <c r="J155" s="51" t="s">
        <v>8</v>
      </c>
      <c r="K155" s="53">
        <v>47203</v>
      </c>
      <c r="L155" s="53">
        <v>47223</v>
      </c>
      <c r="M155" s="54">
        <f t="shared" si="9"/>
        <v>20</v>
      </c>
      <c r="N155" s="55">
        <f t="shared" si="10"/>
        <v>0</v>
      </c>
      <c r="O155" s="56" t="str">
        <f t="shared" si="11"/>
        <v>Conforme</v>
      </c>
      <c r="P155" s="51"/>
      <c r="R155" s="57" t="str">
        <f>IF(AND($E155=RelConducteur,$J155="Professionnel",ISNUMBER($C155),$C155&gt;=RelDebut,$C155&lt;=RelFin),COUNTIFS($E$9:$E155,RelConducteur,$J$9:$J155,"Professionnel",$C$9:$C155,"&gt;="&amp;RelDebut,$C$9:$C155,"&lt;="&amp;RelFin),"")</f>
        <v/>
      </c>
    </row>
    <row r="156" spans="2:18" ht="18" customHeight="1" x14ac:dyDescent="0.25">
      <c r="B156" s="48">
        <f>IF(C156="","",COUNT($C$9:C156))</f>
        <v>148</v>
      </c>
      <c r="C156" s="49">
        <v>46525</v>
      </c>
      <c r="D156" s="50">
        <v>0.41666666666666669</v>
      </c>
      <c r="E156" s="51" t="s">
        <v>148</v>
      </c>
      <c r="F156" s="52" t="str">
        <f t="shared" si="8"/>
        <v>Service commercial</v>
      </c>
      <c r="G156" s="51" t="s">
        <v>134</v>
      </c>
      <c r="H156" s="51" t="s">
        <v>159</v>
      </c>
      <c r="I156" s="51" t="s">
        <v>160</v>
      </c>
      <c r="J156" s="51" t="s">
        <v>8</v>
      </c>
      <c r="K156" s="53">
        <v>47223</v>
      </c>
      <c r="L156" s="53">
        <v>47356</v>
      </c>
      <c r="M156" s="54">
        <f t="shared" si="9"/>
        <v>133</v>
      </c>
      <c r="N156" s="55">
        <f t="shared" si="10"/>
        <v>0</v>
      </c>
      <c r="O156" s="56" t="str">
        <f t="shared" si="11"/>
        <v>Conforme</v>
      </c>
      <c r="P156" s="51"/>
      <c r="R156" s="57" t="str">
        <f>IF(AND($E156=RelConducteur,$J156="Professionnel",ISNUMBER($C156),$C156&gt;=RelDebut,$C156&lt;=RelFin),COUNTIFS($E$9:$E156,RelConducteur,$J$9:$J156,"Professionnel",$C$9:$C156,"&gt;="&amp;RelDebut,$C$9:$C156,"&lt;="&amp;RelFin),"")</f>
        <v/>
      </c>
    </row>
    <row r="157" spans="2:18" ht="18" customHeight="1" x14ac:dyDescent="0.25">
      <c r="B157" s="48">
        <f>IF(C157="","",COUNT($C$9:C157))</f>
        <v>149</v>
      </c>
      <c r="C157" s="49">
        <v>46526</v>
      </c>
      <c r="D157" s="50">
        <v>0.3125</v>
      </c>
      <c r="E157" s="51" t="s">
        <v>139</v>
      </c>
      <c r="F157" s="52" t="str">
        <f t="shared" si="8"/>
        <v>Service technique</v>
      </c>
      <c r="G157" s="51" t="s">
        <v>134</v>
      </c>
      <c r="H157" s="51" t="s">
        <v>137</v>
      </c>
      <c r="I157" s="51" t="s">
        <v>138</v>
      </c>
      <c r="J157" s="51" t="s">
        <v>8</v>
      </c>
      <c r="K157" s="53">
        <v>47356</v>
      </c>
      <c r="L157" s="53">
        <v>47419</v>
      </c>
      <c r="M157" s="54">
        <f t="shared" si="9"/>
        <v>63</v>
      </c>
      <c r="N157" s="55">
        <f t="shared" si="10"/>
        <v>0</v>
      </c>
      <c r="O157" s="56" t="str">
        <f t="shared" si="11"/>
        <v>Conforme</v>
      </c>
      <c r="P157" s="51"/>
      <c r="R157" s="57" t="str">
        <f>IF(AND($E157=RelConducteur,$J157="Professionnel",ISNUMBER($C157),$C157&gt;=RelDebut,$C157&lt;=RelFin),COUNTIFS($E$9:$E157,RelConducteur,$J$9:$J157,"Professionnel",$C$9:$C157,"&gt;="&amp;RelDebut,$C$9:$C157,"&lt;="&amp;RelFin),"")</f>
        <v/>
      </c>
    </row>
    <row r="158" spans="2:18" ht="18" customHeight="1" x14ac:dyDescent="0.25">
      <c r="B158" s="48">
        <f>IF(C158="","",COUNT($C$9:C158))</f>
        <v>150</v>
      </c>
      <c r="C158" s="49">
        <v>46527</v>
      </c>
      <c r="D158" s="50">
        <v>0.3125</v>
      </c>
      <c r="E158" s="51" t="s">
        <v>133</v>
      </c>
      <c r="F158" s="52" t="str">
        <f t="shared" si="8"/>
        <v>Service technique</v>
      </c>
      <c r="G158" s="51" t="s">
        <v>134</v>
      </c>
      <c r="H158" s="51" t="s">
        <v>135</v>
      </c>
      <c r="I158" s="51" t="s">
        <v>136</v>
      </c>
      <c r="J158" s="51" t="s">
        <v>8</v>
      </c>
      <c r="K158" s="53">
        <v>47419</v>
      </c>
      <c r="L158" s="53">
        <v>47512</v>
      </c>
      <c r="M158" s="54">
        <f t="shared" si="9"/>
        <v>93</v>
      </c>
      <c r="N158" s="55">
        <f t="shared" si="10"/>
        <v>0</v>
      </c>
      <c r="O158" s="56" t="str">
        <f t="shared" si="11"/>
        <v>Conforme</v>
      </c>
      <c r="P158" s="51"/>
      <c r="R158" s="57" t="str">
        <f>IF(AND($E158=RelConducteur,$J158="Professionnel",ISNUMBER($C158),$C158&gt;=RelDebut,$C158&lt;=RelFin),COUNTIFS($E$9:$E158,RelConducteur,$J$9:$J158,"Professionnel",$C$9:$C158,"&gt;="&amp;RelDebut,$C$9:$C158,"&lt;="&amp;RelFin),"")</f>
        <v/>
      </c>
    </row>
    <row r="159" spans="2:18" ht="18" customHeight="1" x14ac:dyDescent="0.25">
      <c r="B159" s="48">
        <f>IF(C159="","",COUNT($C$9:C159))</f>
        <v>151</v>
      </c>
      <c r="C159" s="49">
        <v>46527</v>
      </c>
      <c r="D159" s="50">
        <v>0.4375</v>
      </c>
      <c r="E159" s="51" t="s">
        <v>148</v>
      </c>
      <c r="F159" s="52" t="str">
        <f t="shared" si="8"/>
        <v>Service commercial</v>
      </c>
      <c r="G159" s="51" t="s">
        <v>134</v>
      </c>
      <c r="H159" s="51" t="s">
        <v>171</v>
      </c>
      <c r="I159" s="51" t="s">
        <v>172</v>
      </c>
      <c r="J159" s="51" t="s">
        <v>8</v>
      </c>
      <c r="K159" s="53">
        <v>47512</v>
      </c>
      <c r="L159" s="53">
        <v>47528</v>
      </c>
      <c r="M159" s="54">
        <f t="shared" si="9"/>
        <v>16</v>
      </c>
      <c r="N159" s="55">
        <f t="shared" si="10"/>
        <v>0</v>
      </c>
      <c r="O159" s="56" t="str">
        <f t="shared" si="11"/>
        <v>Conforme</v>
      </c>
      <c r="P159" s="51"/>
      <c r="R159" s="57" t="str">
        <f>IF(AND($E159=RelConducteur,$J159="Professionnel",ISNUMBER($C159),$C159&gt;=RelDebut,$C159&lt;=RelFin),COUNTIFS($E$9:$E159,RelConducteur,$J$9:$J159,"Professionnel",$C$9:$C159,"&gt;="&amp;RelDebut,$C$9:$C159,"&lt;="&amp;RelFin),"")</f>
        <v/>
      </c>
    </row>
    <row r="160" spans="2:18" ht="18" customHeight="1" x14ac:dyDescent="0.25">
      <c r="B160" s="48">
        <f>IF(C160="","",COUNT($C$9:C160))</f>
        <v>152</v>
      </c>
      <c r="C160" s="49">
        <v>46527</v>
      </c>
      <c r="D160" s="50">
        <v>0.58333333333333337</v>
      </c>
      <c r="E160" s="51" t="s">
        <v>139</v>
      </c>
      <c r="F160" s="52" t="str">
        <f t="shared" si="8"/>
        <v>Service technique</v>
      </c>
      <c r="G160" s="51" t="s">
        <v>134</v>
      </c>
      <c r="H160" s="51" t="s">
        <v>142</v>
      </c>
      <c r="I160" s="51" t="s">
        <v>143</v>
      </c>
      <c r="J160" s="51" t="s">
        <v>8</v>
      </c>
      <c r="K160" s="53">
        <v>47528</v>
      </c>
      <c r="L160" s="53">
        <v>47546</v>
      </c>
      <c r="M160" s="54">
        <f t="shared" si="9"/>
        <v>18</v>
      </c>
      <c r="N160" s="55">
        <f t="shared" si="10"/>
        <v>0</v>
      </c>
      <c r="O160" s="56" t="str">
        <f t="shared" si="11"/>
        <v>Conforme</v>
      </c>
      <c r="P160" s="51"/>
      <c r="R160" s="57" t="str">
        <f>IF(AND($E160=RelConducteur,$J160="Professionnel",ISNUMBER($C160),$C160&gt;=RelDebut,$C160&lt;=RelFin),COUNTIFS($E$9:$E160,RelConducteur,$J$9:$J160,"Professionnel",$C$9:$C160,"&gt;="&amp;RelDebut,$C$9:$C160,"&lt;="&amp;RelFin),"")</f>
        <v/>
      </c>
    </row>
    <row r="161" spans="2:18" ht="18" customHeight="1" x14ac:dyDescent="0.25">
      <c r="B161" s="48">
        <f>IF(C161="","",COUNT($C$9:C161))</f>
        <v>153</v>
      </c>
      <c r="C161" s="49">
        <v>46528</v>
      </c>
      <c r="D161" s="50">
        <v>0.35416666666666669</v>
      </c>
      <c r="E161" s="51" t="s">
        <v>139</v>
      </c>
      <c r="F161" s="52" t="str">
        <f t="shared" si="8"/>
        <v>Service technique</v>
      </c>
      <c r="G161" s="51" t="s">
        <v>134</v>
      </c>
      <c r="H161" s="51" t="s">
        <v>140</v>
      </c>
      <c r="I161" s="51" t="s">
        <v>141</v>
      </c>
      <c r="J161" s="51" t="s">
        <v>8</v>
      </c>
      <c r="K161" s="53">
        <v>47546</v>
      </c>
      <c r="L161" s="53">
        <v>47570</v>
      </c>
      <c r="M161" s="54">
        <f t="shared" si="9"/>
        <v>24</v>
      </c>
      <c r="N161" s="55">
        <f t="shared" si="10"/>
        <v>0</v>
      </c>
      <c r="O161" s="56" t="str">
        <f t="shared" si="11"/>
        <v>Conforme</v>
      </c>
      <c r="P161" s="51"/>
      <c r="R161" s="57" t="str">
        <f>IF(AND($E161=RelConducteur,$J161="Professionnel",ISNUMBER($C161),$C161&gt;=RelDebut,$C161&lt;=RelFin),COUNTIFS($E$9:$E161,RelConducteur,$J$9:$J161,"Professionnel",$C$9:$C161,"&gt;="&amp;RelDebut,$C$9:$C161,"&lt;="&amp;RelFin),"")</f>
        <v/>
      </c>
    </row>
    <row r="162" spans="2:18" ht="18" customHeight="1" x14ac:dyDescent="0.25">
      <c r="B162" s="48">
        <f>IF(C162="","",COUNT($C$9:C162))</f>
        <v>154</v>
      </c>
      <c r="C162" s="49">
        <v>46528</v>
      </c>
      <c r="D162" s="50">
        <v>0.66666666666666663</v>
      </c>
      <c r="E162" s="51" t="s">
        <v>169</v>
      </c>
      <c r="F162" s="52" t="str">
        <f t="shared" si="8"/>
        <v>Direction</v>
      </c>
      <c r="G162" s="51" t="s">
        <v>134</v>
      </c>
      <c r="H162" s="51" t="s">
        <v>140</v>
      </c>
      <c r="I162" s="51" t="s">
        <v>170</v>
      </c>
      <c r="J162" s="51" t="s">
        <v>8</v>
      </c>
      <c r="K162" s="53">
        <v>47570</v>
      </c>
      <c r="L162" s="53">
        <v>47594</v>
      </c>
      <c r="M162" s="54">
        <f t="shared" si="9"/>
        <v>24</v>
      </c>
      <c r="N162" s="55">
        <f t="shared" si="10"/>
        <v>0</v>
      </c>
      <c r="O162" s="56" t="str">
        <f t="shared" si="11"/>
        <v>Conforme</v>
      </c>
      <c r="P162" s="51"/>
      <c r="R162" s="57" t="str">
        <f>IF(AND($E162=RelConducteur,$J162="Professionnel",ISNUMBER($C162),$C162&gt;=RelDebut,$C162&lt;=RelFin),COUNTIFS($E$9:$E162,RelConducteur,$J$9:$J162,"Professionnel",$C$9:$C162,"&gt;="&amp;RelDebut,$C$9:$C162,"&lt;="&amp;RelFin),"")</f>
        <v/>
      </c>
    </row>
    <row r="163" spans="2:18" ht="18" customHeight="1" x14ac:dyDescent="0.25">
      <c r="B163" s="48">
        <f>IF(C163="","",COUNT($C$9:C163))</f>
        <v>155</v>
      </c>
      <c r="C163" s="49">
        <v>46532</v>
      </c>
      <c r="D163" s="50">
        <v>0.35416666666666669</v>
      </c>
      <c r="E163" s="51" t="s">
        <v>139</v>
      </c>
      <c r="F163" s="52" t="str">
        <f t="shared" si="8"/>
        <v>Service technique</v>
      </c>
      <c r="G163" s="51" t="s">
        <v>134</v>
      </c>
      <c r="H163" s="51" t="s">
        <v>140</v>
      </c>
      <c r="I163" s="51" t="s">
        <v>141</v>
      </c>
      <c r="J163" s="51" t="s">
        <v>8</v>
      </c>
      <c r="K163" s="53">
        <v>47594</v>
      </c>
      <c r="L163" s="53">
        <v>47619</v>
      </c>
      <c r="M163" s="54">
        <f t="shared" si="9"/>
        <v>25</v>
      </c>
      <c r="N163" s="55">
        <f t="shared" si="10"/>
        <v>0</v>
      </c>
      <c r="O163" s="56" t="str">
        <f t="shared" si="11"/>
        <v>Conforme</v>
      </c>
      <c r="P163" s="51"/>
      <c r="R163" s="57" t="str">
        <f>IF(AND($E163=RelConducteur,$J163="Professionnel",ISNUMBER($C163),$C163&gt;=RelDebut,$C163&lt;=RelFin),COUNTIFS($E$9:$E163,RelConducteur,$J$9:$J163,"Professionnel",$C$9:$C163,"&gt;="&amp;RelDebut,$C$9:$C163,"&lt;="&amp;RelFin),"")</f>
        <v/>
      </c>
    </row>
    <row r="164" spans="2:18" ht="18" customHeight="1" x14ac:dyDescent="0.25">
      <c r="B164" s="48">
        <f>IF(C164="","",COUNT($C$9:C164))</f>
        <v>156</v>
      </c>
      <c r="C164" s="49">
        <v>46532</v>
      </c>
      <c r="D164" s="50">
        <v>0.41666666666666669</v>
      </c>
      <c r="E164" s="51" t="s">
        <v>148</v>
      </c>
      <c r="F164" s="52" t="str">
        <f t="shared" si="8"/>
        <v>Service commercial</v>
      </c>
      <c r="G164" s="51" t="s">
        <v>134</v>
      </c>
      <c r="H164" s="51" t="s">
        <v>149</v>
      </c>
      <c r="I164" s="51" t="s">
        <v>150</v>
      </c>
      <c r="J164" s="51" t="s">
        <v>8</v>
      </c>
      <c r="K164" s="53">
        <v>47619</v>
      </c>
      <c r="L164" s="53">
        <v>47900</v>
      </c>
      <c r="M164" s="54">
        <f t="shared" si="9"/>
        <v>281</v>
      </c>
      <c r="N164" s="55">
        <f t="shared" si="10"/>
        <v>0</v>
      </c>
      <c r="O164" s="56" t="str">
        <f t="shared" si="11"/>
        <v>Conforme</v>
      </c>
      <c r="P164" s="51"/>
      <c r="R164" s="57" t="str">
        <f>IF(AND($E164=RelConducteur,$J164="Professionnel",ISNUMBER($C164),$C164&gt;=RelDebut,$C164&lt;=RelFin),COUNTIFS($E$9:$E164,RelConducteur,$J$9:$J164,"Professionnel",$C$9:$C164,"&gt;="&amp;RelDebut,$C$9:$C164,"&lt;="&amp;RelFin),"")</f>
        <v/>
      </c>
    </row>
    <row r="165" spans="2:18" ht="18" customHeight="1" x14ac:dyDescent="0.25">
      <c r="B165" s="48">
        <f>IF(C165="","",COUNT($C$9:C165))</f>
        <v>157</v>
      </c>
      <c r="C165" s="49">
        <v>46533</v>
      </c>
      <c r="D165" s="50">
        <v>0.3125</v>
      </c>
      <c r="E165" s="51" t="s">
        <v>133</v>
      </c>
      <c r="F165" s="52" t="str">
        <f t="shared" si="8"/>
        <v>Service technique</v>
      </c>
      <c r="G165" s="51" t="s">
        <v>134</v>
      </c>
      <c r="H165" s="51" t="s">
        <v>146</v>
      </c>
      <c r="I165" s="51" t="s">
        <v>147</v>
      </c>
      <c r="J165" s="51" t="s">
        <v>8</v>
      </c>
      <c r="K165" s="53">
        <v>47900</v>
      </c>
      <c r="L165" s="53">
        <v>47932</v>
      </c>
      <c r="M165" s="54">
        <f t="shared" si="9"/>
        <v>32</v>
      </c>
      <c r="N165" s="55">
        <f t="shared" si="10"/>
        <v>0</v>
      </c>
      <c r="O165" s="56" t="str">
        <f t="shared" si="11"/>
        <v>Conforme</v>
      </c>
      <c r="P165" s="51"/>
      <c r="R165" s="57" t="str">
        <f>IF(AND($E165=RelConducteur,$J165="Professionnel",ISNUMBER($C165),$C165&gt;=RelDebut,$C165&lt;=RelFin),COUNTIFS($E$9:$E165,RelConducteur,$J$9:$J165,"Professionnel",$C$9:$C165,"&gt;="&amp;RelDebut,$C$9:$C165,"&lt;="&amp;RelFin),"")</f>
        <v/>
      </c>
    </row>
    <row r="166" spans="2:18" ht="18" customHeight="1" x14ac:dyDescent="0.25">
      <c r="B166" s="48">
        <f>IF(C166="","",COUNT($C$9:C166))</f>
        <v>158</v>
      </c>
      <c r="C166" s="49">
        <v>46533</v>
      </c>
      <c r="D166" s="50">
        <v>0.58333333333333337</v>
      </c>
      <c r="E166" s="51" t="s">
        <v>139</v>
      </c>
      <c r="F166" s="52" t="str">
        <f t="shared" si="8"/>
        <v>Service technique</v>
      </c>
      <c r="G166" s="51" t="s">
        <v>134</v>
      </c>
      <c r="H166" s="51" t="s">
        <v>146</v>
      </c>
      <c r="I166" s="51" t="s">
        <v>147</v>
      </c>
      <c r="J166" s="51" t="s">
        <v>8</v>
      </c>
      <c r="K166" s="53">
        <v>47932</v>
      </c>
      <c r="L166" s="53">
        <v>47967</v>
      </c>
      <c r="M166" s="54">
        <f t="shared" si="9"/>
        <v>35</v>
      </c>
      <c r="N166" s="55">
        <f t="shared" si="10"/>
        <v>0</v>
      </c>
      <c r="O166" s="56" t="str">
        <f t="shared" si="11"/>
        <v>Conforme</v>
      </c>
      <c r="P166" s="51"/>
      <c r="R166" s="57" t="str">
        <f>IF(AND($E166=RelConducteur,$J166="Professionnel",ISNUMBER($C166),$C166&gt;=RelDebut,$C166&lt;=RelFin),COUNTIFS($E$9:$E166,RelConducteur,$J$9:$J166,"Professionnel",$C$9:$C166,"&gt;="&amp;RelDebut,$C$9:$C166,"&lt;="&amp;RelFin),"")</f>
        <v/>
      </c>
    </row>
    <row r="167" spans="2:18" ht="18" customHeight="1" x14ac:dyDescent="0.25">
      <c r="B167" s="48">
        <f>IF(C167="","",COUNT($C$9:C167))</f>
        <v>159</v>
      </c>
      <c r="C167" s="49">
        <v>46534</v>
      </c>
      <c r="D167" s="50">
        <v>0.33333333333333331</v>
      </c>
      <c r="E167" s="51" t="s">
        <v>139</v>
      </c>
      <c r="F167" s="52" t="str">
        <f t="shared" si="8"/>
        <v>Service technique</v>
      </c>
      <c r="G167" s="51" t="s">
        <v>134</v>
      </c>
      <c r="H167" s="51" t="s">
        <v>151</v>
      </c>
      <c r="I167" s="51" t="s">
        <v>152</v>
      </c>
      <c r="J167" s="51" t="s">
        <v>8</v>
      </c>
      <c r="K167" s="53">
        <v>47967</v>
      </c>
      <c r="L167" s="53">
        <v>48017</v>
      </c>
      <c r="M167" s="54">
        <f t="shared" si="9"/>
        <v>50</v>
      </c>
      <c r="N167" s="55">
        <f t="shared" si="10"/>
        <v>0</v>
      </c>
      <c r="O167" s="56" t="str">
        <f t="shared" si="11"/>
        <v>Conforme</v>
      </c>
      <c r="P167" s="51"/>
      <c r="R167" s="57" t="str">
        <f>IF(AND($E167=RelConducteur,$J167="Professionnel",ISNUMBER($C167),$C167&gt;=RelDebut,$C167&lt;=RelFin),COUNTIFS($E$9:$E167,RelConducteur,$J$9:$J167,"Professionnel",$C$9:$C167,"&gt;="&amp;RelDebut,$C$9:$C167,"&lt;="&amp;RelFin),"")</f>
        <v/>
      </c>
    </row>
    <row r="168" spans="2:18" ht="18" customHeight="1" x14ac:dyDescent="0.25">
      <c r="B168" s="48">
        <f>IF(C168="","",COUNT($C$9:C168))</f>
        <v>160</v>
      </c>
      <c r="C168" s="49">
        <v>46534</v>
      </c>
      <c r="D168" s="50">
        <v>0.41666666666666669</v>
      </c>
      <c r="E168" s="51" t="s">
        <v>148</v>
      </c>
      <c r="F168" s="52" t="str">
        <f t="shared" si="8"/>
        <v>Service commercial</v>
      </c>
      <c r="G168" s="51" t="s">
        <v>134</v>
      </c>
      <c r="H168" s="51" t="s">
        <v>149</v>
      </c>
      <c r="I168" s="51" t="s">
        <v>150</v>
      </c>
      <c r="J168" s="51" t="s">
        <v>8</v>
      </c>
      <c r="K168" s="53">
        <v>48017</v>
      </c>
      <c r="L168" s="53">
        <v>48294</v>
      </c>
      <c r="M168" s="54">
        <f t="shared" si="9"/>
        <v>277</v>
      </c>
      <c r="N168" s="55">
        <f t="shared" si="10"/>
        <v>0</v>
      </c>
      <c r="O168" s="56" t="str">
        <f t="shared" si="11"/>
        <v>Conforme</v>
      </c>
      <c r="P168" s="51"/>
      <c r="R168" s="57" t="str">
        <f>IF(AND($E168=RelConducteur,$J168="Professionnel",ISNUMBER($C168),$C168&gt;=RelDebut,$C168&lt;=RelFin),COUNTIFS($E$9:$E168,RelConducteur,$J$9:$J168,"Professionnel",$C$9:$C168,"&gt;="&amp;RelDebut,$C$9:$C168,"&lt;="&amp;RelFin),"")</f>
        <v/>
      </c>
    </row>
    <row r="169" spans="2:18" ht="18" customHeight="1" x14ac:dyDescent="0.25">
      <c r="B169" s="48">
        <f>IF(C169="","",COUNT($C$9:C169))</f>
        <v>161</v>
      </c>
      <c r="C169" s="49">
        <v>46535</v>
      </c>
      <c r="D169" s="50">
        <v>0.4375</v>
      </c>
      <c r="E169" s="51" t="s">
        <v>148</v>
      </c>
      <c r="F169" s="52" t="str">
        <f t="shared" si="8"/>
        <v>Service commercial</v>
      </c>
      <c r="G169" s="51" t="s">
        <v>134</v>
      </c>
      <c r="H169" s="51" t="s">
        <v>167</v>
      </c>
      <c r="I169" s="51" t="s">
        <v>168</v>
      </c>
      <c r="J169" s="51" t="s">
        <v>8</v>
      </c>
      <c r="K169" s="53">
        <v>48294</v>
      </c>
      <c r="L169" s="53">
        <v>48312</v>
      </c>
      <c r="M169" s="54">
        <f t="shared" si="9"/>
        <v>18</v>
      </c>
      <c r="N169" s="55">
        <f t="shared" si="10"/>
        <v>0</v>
      </c>
      <c r="O169" s="56" t="str">
        <f t="shared" si="11"/>
        <v>Conforme</v>
      </c>
      <c r="P169" s="51"/>
      <c r="R169" s="57" t="str">
        <f>IF(AND($E169=RelConducteur,$J169="Professionnel",ISNUMBER($C169),$C169&gt;=RelDebut,$C169&lt;=RelFin),COUNTIFS($E$9:$E169,RelConducteur,$J$9:$J169,"Professionnel",$C$9:$C169,"&gt;="&amp;RelDebut,$C$9:$C169,"&lt;="&amp;RelFin),"")</f>
        <v/>
      </c>
    </row>
    <row r="170" spans="2:18" ht="18" customHeight="1" x14ac:dyDescent="0.25">
      <c r="B170" s="48">
        <f>IF(C170="","",COUNT($C$9:C170))</f>
        <v>162</v>
      </c>
      <c r="C170" s="49">
        <v>46538</v>
      </c>
      <c r="D170" s="50">
        <v>0.33333333333333331</v>
      </c>
      <c r="E170" s="51" t="s">
        <v>139</v>
      </c>
      <c r="F170" s="52" t="str">
        <f t="shared" si="8"/>
        <v>Service technique</v>
      </c>
      <c r="G170" s="51" t="s">
        <v>134</v>
      </c>
      <c r="H170" s="51" t="s">
        <v>144</v>
      </c>
      <c r="I170" s="51" t="s">
        <v>145</v>
      </c>
      <c r="J170" s="51" t="s">
        <v>8</v>
      </c>
      <c r="K170" s="53">
        <v>48312</v>
      </c>
      <c r="L170" s="53">
        <v>48338</v>
      </c>
      <c r="M170" s="54">
        <f t="shared" si="9"/>
        <v>26</v>
      </c>
      <c r="N170" s="55">
        <f t="shared" si="10"/>
        <v>0</v>
      </c>
      <c r="O170" s="56" t="str">
        <f t="shared" si="11"/>
        <v>Conforme</v>
      </c>
      <c r="P170" s="51"/>
      <c r="R170" s="57" t="str">
        <f>IF(AND($E170=RelConducteur,$J170="Professionnel",ISNUMBER($C170),$C170&gt;=RelDebut,$C170&lt;=RelFin),COUNTIFS($E$9:$E170,RelConducteur,$J$9:$J170,"Professionnel",$C$9:$C170,"&gt;="&amp;RelDebut,$C$9:$C170,"&lt;="&amp;RelFin),"")</f>
        <v/>
      </c>
    </row>
    <row r="171" spans="2:18" ht="18" customHeight="1" x14ac:dyDescent="0.25">
      <c r="B171" s="48">
        <f>IF(C171="","",COUNT($C$9:C171))</f>
        <v>163</v>
      </c>
      <c r="C171" s="49">
        <v>46539</v>
      </c>
      <c r="D171" s="50">
        <v>0.3125</v>
      </c>
      <c r="E171" s="51" t="s">
        <v>133</v>
      </c>
      <c r="F171" s="52" t="str">
        <f t="shared" si="8"/>
        <v>Service technique</v>
      </c>
      <c r="G171" s="51" t="s">
        <v>134</v>
      </c>
      <c r="H171" s="51" t="s">
        <v>140</v>
      </c>
      <c r="I171" s="51" t="s">
        <v>141</v>
      </c>
      <c r="J171" s="51" t="s">
        <v>8</v>
      </c>
      <c r="K171" s="53">
        <v>48338</v>
      </c>
      <c r="L171" s="53">
        <v>48358</v>
      </c>
      <c r="M171" s="54">
        <f t="shared" si="9"/>
        <v>20</v>
      </c>
      <c r="N171" s="55">
        <f t="shared" si="10"/>
        <v>0</v>
      </c>
      <c r="O171" s="56" t="str">
        <f t="shared" si="11"/>
        <v>Conforme</v>
      </c>
      <c r="P171" s="51"/>
      <c r="R171" s="57" t="str">
        <f>IF(AND($E171=RelConducteur,$J171="Professionnel",ISNUMBER($C171),$C171&gt;=RelDebut,$C171&lt;=RelFin),COUNTIFS($E$9:$E171,RelConducteur,$J$9:$J171,"Professionnel",$C$9:$C171,"&gt;="&amp;RelDebut,$C$9:$C171,"&lt;="&amp;RelFin),"")</f>
        <v/>
      </c>
    </row>
    <row r="172" spans="2:18" ht="18" customHeight="1" x14ac:dyDescent="0.25">
      <c r="B172" s="48">
        <f>IF(C172="","",COUNT($C$9:C172))</f>
        <v>164</v>
      </c>
      <c r="C172" s="49">
        <v>46540</v>
      </c>
      <c r="D172" s="50">
        <v>0.33333333333333331</v>
      </c>
      <c r="E172" s="51" t="s">
        <v>139</v>
      </c>
      <c r="F172" s="52" t="str">
        <f t="shared" si="8"/>
        <v>Service technique</v>
      </c>
      <c r="G172" s="51" t="s">
        <v>134</v>
      </c>
      <c r="H172" s="51" t="s">
        <v>137</v>
      </c>
      <c r="I172" s="51" t="s">
        <v>138</v>
      </c>
      <c r="J172" s="51" t="s">
        <v>8</v>
      </c>
      <c r="K172" s="53">
        <v>48358</v>
      </c>
      <c r="L172" s="53">
        <v>48426</v>
      </c>
      <c r="M172" s="54">
        <f t="shared" si="9"/>
        <v>68</v>
      </c>
      <c r="N172" s="55">
        <f t="shared" si="10"/>
        <v>0</v>
      </c>
      <c r="O172" s="56" t="str">
        <f t="shared" si="11"/>
        <v>Conforme</v>
      </c>
      <c r="P172" s="51"/>
      <c r="R172" s="57" t="str">
        <f>IF(AND($E172=RelConducteur,$J172="Professionnel",ISNUMBER($C172),$C172&gt;=RelDebut,$C172&lt;=RelFin),COUNTIFS($E$9:$E172,RelConducteur,$J$9:$J172,"Professionnel",$C$9:$C172,"&gt;="&amp;RelDebut,$C$9:$C172,"&lt;="&amp;RelFin),"")</f>
        <v/>
      </c>
    </row>
    <row r="173" spans="2:18" ht="18" customHeight="1" x14ac:dyDescent="0.25">
      <c r="B173" s="48">
        <f>IF(C173="","",COUNT($C$9:C173))</f>
        <v>165</v>
      </c>
      <c r="C173" s="49">
        <v>46540</v>
      </c>
      <c r="D173" s="50">
        <v>0.4375</v>
      </c>
      <c r="E173" s="51" t="s">
        <v>148</v>
      </c>
      <c r="F173" s="52" t="str">
        <f t="shared" si="8"/>
        <v>Service commercial</v>
      </c>
      <c r="G173" s="51" t="s">
        <v>134</v>
      </c>
      <c r="H173" s="51" t="s">
        <v>167</v>
      </c>
      <c r="I173" s="51" t="s">
        <v>168</v>
      </c>
      <c r="J173" s="51" t="s">
        <v>8</v>
      </c>
      <c r="K173" s="53">
        <v>48426</v>
      </c>
      <c r="L173" s="53">
        <v>48442</v>
      </c>
      <c r="M173" s="54">
        <f t="shared" si="9"/>
        <v>16</v>
      </c>
      <c r="N173" s="55">
        <f t="shared" si="10"/>
        <v>0</v>
      </c>
      <c r="O173" s="56" t="str">
        <f t="shared" si="11"/>
        <v>Conforme</v>
      </c>
      <c r="P173" s="51"/>
      <c r="R173" s="57" t="str">
        <f>IF(AND($E173=RelConducteur,$J173="Professionnel",ISNUMBER($C173),$C173&gt;=RelDebut,$C173&lt;=RelFin),COUNTIFS($E$9:$E173,RelConducteur,$J$9:$J173,"Professionnel",$C$9:$C173,"&gt;="&amp;RelDebut,$C$9:$C173,"&lt;="&amp;RelFin),"")</f>
        <v/>
      </c>
    </row>
    <row r="174" spans="2:18" ht="18" customHeight="1" x14ac:dyDescent="0.25">
      <c r="B174" s="48">
        <f>IF(C174="","",COUNT($C$9:C174))</f>
        <v>166</v>
      </c>
      <c r="C174" s="49">
        <v>46541</v>
      </c>
      <c r="D174" s="50">
        <v>0.3125</v>
      </c>
      <c r="E174" s="51" t="s">
        <v>133</v>
      </c>
      <c r="F174" s="52" t="str">
        <f t="shared" si="8"/>
        <v>Service technique</v>
      </c>
      <c r="G174" s="51" t="s">
        <v>134</v>
      </c>
      <c r="H174" s="51" t="s">
        <v>135</v>
      </c>
      <c r="I174" s="51" t="s">
        <v>136</v>
      </c>
      <c r="J174" s="51" t="s">
        <v>8</v>
      </c>
      <c r="K174" s="53">
        <v>48442</v>
      </c>
      <c r="L174" s="53">
        <v>48536</v>
      </c>
      <c r="M174" s="54">
        <f t="shared" si="9"/>
        <v>94</v>
      </c>
      <c r="N174" s="55">
        <f t="shared" si="10"/>
        <v>0</v>
      </c>
      <c r="O174" s="56" t="str">
        <f t="shared" si="11"/>
        <v>Conforme</v>
      </c>
      <c r="P174" s="51"/>
      <c r="R174" s="57" t="str">
        <f>IF(AND($E174=RelConducteur,$J174="Professionnel",ISNUMBER($C174),$C174&gt;=RelDebut,$C174&lt;=RelFin),COUNTIFS($E$9:$E174,RelConducteur,$J$9:$J174,"Professionnel",$C$9:$C174,"&gt;="&amp;RelDebut,$C$9:$C174,"&lt;="&amp;RelFin),"")</f>
        <v/>
      </c>
    </row>
    <row r="175" spans="2:18" ht="18" customHeight="1" x14ac:dyDescent="0.25">
      <c r="B175" s="48">
        <f>IF(C175="","",COUNT($C$9:C175))</f>
        <v>167</v>
      </c>
      <c r="C175" s="49">
        <v>46542</v>
      </c>
      <c r="D175" s="50">
        <v>0.35416666666666669</v>
      </c>
      <c r="E175" s="51" t="s">
        <v>139</v>
      </c>
      <c r="F175" s="52" t="str">
        <f t="shared" si="8"/>
        <v>Service technique</v>
      </c>
      <c r="G175" s="51" t="s">
        <v>134</v>
      </c>
      <c r="H175" s="51" t="s">
        <v>135</v>
      </c>
      <c r="I175" s="51" t="s">
        <v>136</v>
      </c>
      <c r="J175" s="51" t="s">
        <v>8</v>
      </c>
      <c r="K175" s="53">
        <v>48536</v>
      </c>
      <c r="L175" s="53">
        <v>48632</v>
      </c>
      <c r="M175" s="54">
        <f t="shared" si="9"/>
        <v>96</v>
      </c>
      <c r="N175" s="55">
        <f t="shared" si="10"/>
        <v>0</v>
      </c>
      <c r="O175" s="56" t="str">
        <f t="shared" si="11"/>
        <v>Conforme</v>
      </c>
      <c r="P175" s="51"/>
      <c r="R175" s="57" t="str">
        <f>IF(AND($E175=RelConducteur,$J175="Professionnel",ISNUMBER($C175),$C175&gt;=RelDebut,$C175&lt;=RelFin),COUNTIFS($E$9:$E175,RelConducteur,$J$9:$J175,"Professionnel",$C$9:$C175,"&gt;="&amp;RelDebut,$C$9:$C175,"&lt;="&amp;RelFin),"")</f>
        <v/>
      </c>
    </row>
    <row r="176" spans="2:18" ht="18" customHeight="1" x14ac:dyDescent="0.25">
      <c r="B176" s="48">
        <f>IF(C176="","",COUNT($C$9:C176))</f>
        <v>168</v>
      </c>
      <c r="C176" s="49">
        <v>46542</v>
      </c>
      <c r="D176" s="50">
        <v>0.58333333333333337</v>
      </c>
      <c r="E176" s="51" t="s">
        <v>133</v>
      </c>
      <c r="F176" s="52" t="str">
        <f t="shared" si="8"/>
        <v>Service technique</v>
      </c>
      <c r="G176" s="51" t="s">
        <v>134</v>
      </c>
      <c r="H176" s="51" t="s">
        <v>146</v>
      </c>
      <c r="I176" s="51" t="s">
        <v>147</v>
      </c>
      <c r="J176" s="51" t="s">
        <v>8</v>
      </c>
      <c r="K176" s="53">
        <v>48632</v>
      </c>
      <c r="L176" s="53">
        <v>48667</v>
      </c>
      <c r="M176" s="54">
        <f t="shared" si="9"/>
        <v>35</v>
      </c>
      <c r="N176" s="55">
        <f t="shared" si="10"/>
        <v>0</v>
      </c>
      <c r="O176" s="56" t="str">
        <f t="shared" si="11"/>
        <v>Conforme</v>
      </c>
      <c r="P176" s="51"/>
      <c r="R176" s="57" t="str">
        <f>IF(AND($E176=RelConducteur,$J176="Professionnel",ISNUMBER($C176),$C176&gt;=RelDebut,$C176&lt;=RelFin),COUNTIFS($E$9:$E176,RelConducteur,$J$9:$J176,"Professionnel",$C$9:$C176,"&gt;="&amp;RelDebut,$C$9:$C176,"&lt;="&amp;RelFin),"")</f>
        <v/>
      </c>
    </row>
    <row r="177" spans="2:18" ht="18" customHeight="1" x14ac:dyDescent="0.25">
      <c r="B177" s="48">
        <f>IF(C177="","",COUNT($C$9:C177))</f>
        <v>169</v>
      </c>
      <c r="C177" s="49">
        <v>46545</v>
      </c>
      <c r="D177" s="50">
        <v>0.3125</v>
      </c>
      <c r="E177" s="51" t="s">
        <v>133</v>
      </c>
      <c r="F177" s="52" t="str">
        <f t="shared" si="8"/>
        <v>Service technique</v>
      </c>
      <c r="G177" s="51" t="s">
        <v>134</v>
      </c>
      <c r="H177" s="51" t="s">
        <v>140</v>
      </c>
      <c r="I177" s="51" t="s">
        <v>141</v>
      </c>
      <c r="J177" s="51" t="s">
        <v>8</v>
      </c>
      <c r="K177" s="53">
        <v>48667</v>
      </c>
      <c r="L177" s="53">
        <v>48693</v>
      </c>
      <c r="M177" s="54">
        <f t="shared" si="9"/>
        <v>26</v>
      </c>
      <c r="N177" s="55">
        <f t="shared" si="10"/>
        <v>0</v>
      </c>
      <c r="O177" s="56" t="str">
        <f t="shared" si="11"/>
        <v>Conforme</v>
      </c>
      <c r="P177" s="51"/>
      <c r="R177" s="57" t="str">
        <f>IF(AND($E177=RelConducteur,$J177="Professionnel",ISNUMBER($C177),$C177&gt;=RelDebut,$C177&lt;=RelFin),COUNTIFS($E$9:$E177,RelConducteur,$J$9:$J177,"Professionnel",$C$9:$C177,"&gt;="&amp;RelDebut,$C$9:$C177,"&lt;="&amp;RelFin),"")</f>
        <v/>
      </c>
    </row>
    <row r="178" spans="2:18" ht="18" customHeight="1" x14ac:dyDescent="0.25">
      <c r="B178" s="48">
        <f>IF(C178="","",COUNT($C$9:C178))</f>
        <v>170</v>
      </c>
      <c r="C178" s="49">
        <v>46545</v>
      </c>
      <c r="D178" s="50">
        <v>0.41666666666666669</v>
      </c>
      <c r="E178" s="51" t="s">
        <v>148</v>
      </c>
      <c r="F178" s="52" t="str">
        <f t="shared" si="8"/>
        <v>Service commercial</v>
      </c>
      <c r="G178" s="51" t="s">
        <v>134</v>
      </c>
      <c r="H178" s="51" t="s">
        <v>157</v>
      </c>
      <c r="I178" s="51" t="s">
        <v>158</v>
      </c>
      <c r="J178" s="51" t="s">
        <v>8</v>
      </c>
      <c r="K178" s="53">
        <v>48693</v>
      </c>
      <c r="L178" s="53">
        <v>48907</v>
      </c>
      <c r="M178" s="54">
        <f t="shared" si="9"/>
        <v>214</v>
      </c>
      <c r="N178" s="55">
        <f t="shared" si="10"/>
        <v>0</v>
      </c>
      <c r="O178" s="56" t="str">
        <f t="shared" si="11"/>
        <v>Conforme</v>
      </c>
      <c r="P178" s="51"/>
      <c r="R178" s="57" t="str">
        <f>IF(AND($E178=RelConducteur,$J178="Professionnel",ISNUMBER($C178),$C178&gt;=RelDebut,$C178&lt;=RelFin),COUNTIFS($E$9:$E178,RelConducteur,$J$9:$J178,"Professionnel",$C$9:$C178,"&gt;="&amp;RelDebut,$C$9:$C178,"&lt;="&amp;RelFin),"")</f>
        <v/>
      </c>
    </row>
    <row r="179" spans="2:18" ht="18" customHeight="1" x14ac:dyDescent="0.25">
      <c r="B179" s="48">
        <f>IF(C179="","",COUNT($C$9:C179))</f>
        <v>171</v>
      </c>
      <c r="C179" s="49">
        <v>46545</v>
      </c>
      <c r="D179" s="50">
        <v>0.75</v>
      </c>
      <c r="E179" s="51" t="s">
        <v>139</v>
      </c>
      <c r="F179" s="52" t="str">
        <f t="shared" si="8"/>
        <v>Service technique</v>
      </c>
      <c r="G179" s="51" t="s">
        <v>134</v>
      </c>
      <c r="H179" s="51" t="s">
        <v>155</v>
      </c>
      <c r="I179" s="51" t="s">
        <v>156</v>
      </c>
      <c r="J179" s="51" t="s">
        <v>9</v>
      </c>
      <c r="K179" s="53">
        <v>48907</v>
      </c>
      <c r="L179" s="53">
        <v>48931</v>
      </c>
      <c r="M179" s="54">
        <f t="shared" si="9"/>
        <v>24</v>
      </c>
      <c r="N179" s="55">
        <f t="shared" si="10"/>
        <v>0</v>
      </c>
      <c r="O179" s="56" t="str">
        <f t="shared" si="11"/>
        <v>Conforme</v>
      </c>
      <c r="P179" s="51"/>
      <c r="R179" s="57" t="str">
        <f>IF(AND($E179=RelConducteur,$J179="Professionnel",ISNUMBER($C179),$C179&gt;=RelDebut,$C179&lt;=RelFin),COUNTIFS($E$9:$E179,RelConducteur,$J$9:$J179,"Professionnel",$C$9:$C179,"&gt;="&amp;RelDebut,$C$9:$C179,"&lt;="&amp;RelFin),"")</f>
        <v/>
      </c>
    </row>
    <row r="180" spans="2:18" ht="18" customHeight="1" x14ac:dyDescent="0.25">
      <c r="B180" s="48">
        <f>IF(C180="","",COUNT($C$9:C180))</f>
        <v>172</v>
      </c>
      <c r="C180" s="49">
        <v>46546</v>
      </c>
      <c r="D180" s="50">
        <v>0.75</v>
      </c>
      <c r="E180" s="51" t="s">
        <v>139</v>
      </c>
      <c r="F180" s="52" t="str">
        <f t="shared" si="8"/>
        <v>Service technique</v>
      </c>
      <c r="G180" s="51" t="s">
        <v>134</v>
      </c>
      <c r="H180" s="51" t="s">
        <v>155</v>
      </c>
      <c r="I180" s="51" t="s">
        <v>156</v>
      </c>
      <c r="J180" s="51" t="s">
        <v>9</v>
      </c>
      <c r="K180" s="53">
        <v>48931</v>
      </c>
      <c r="L180" s="53">
        <v>48955</v>
      </c>
      <c r="M180" s="54">
        <f t="shared" si="9"/>
        <v>24</v>
      </c>
      <c r="N180" s="55">
        <f t="shared" si="10"/>
        <v>0</v>
      </c>
      <c r="O180" s="56" t="str">
        <f t="shared" si="11"/>
        <v>Conforme</v>
      </c>
      <c r="P180" s="51"/>
      <c r="R180" s="57" t="str">
        <f>IF(AND($E180=RelConducteur,$J180="Professionnel",ISNUMBER($C180),$C180&gt;=RelDebut,$C180&lt;=RelFin),COUNTIFS($E$9:$E180,RelConducteur,$J$9:$J180,"Professionnel",$C$9:$C180,"&gt;="&amp;RelDebut,$C$9:$C180,"&lt;="&amp;RelFin),"")</f>
        <v/>
      </c>
    </row>
    <row r="181" spans="2:18" ht="18" customHeight="1" x14ac:dyDescent="0.25">
      <c r="B181" s="48">
        <f>IF(C181="","",COUNT($C$9:C181))</f>
        <v>173</v>
      </c>
      <c r="C181" s="49">
        <v>46547</v>
      </c>
      <c r="D181" s="50">
        <v>0.33333333333333331</v>
      </c>
      <c r="E181" s="51" t="s">
        <v>133</v>
      </c>
      <c r="F181" s="52" t="str">
        <f t="shared" si="8"/>
        <v>Service technique</v>
      </c>
      <c r="G181" s="51" t="s">
        <v>134</v>
      </c>
      <c r="H181" s="51" t="s">
        <v>135</v>
      </c>
      <c r="I181" s="51" t="s">
        <v>136</v>
      </c>
      <c r="J181" s="51" t="s">
        <v>8</v>
      </c>
      <c r="K181" s="53">
        <v>48955</v>
      </c>
      <c r="L181" s="53">
        <v>49046</v>
      </c>
      <c r="M181" s="54">
        <f t="shared" si="9"/>
        <v>91</v>
      </c>
      <c r="N181" s="55">
        <f t="shared" si="10"/>
        <v>0</v>
      </c>
      <c r="O181" s="56" t="str">
        <f t="shared" si="11"/>
        <v>Conforme</v>
      </c>
      <c r="P181" s="51"/>
      <c r="R181" s="57" t="str">
        <f>IF(AND($E181=RelConducteur,$J181="Professionnel",ISNUMBER($C181),$C181&gt;=RelDebut,$C181&lt;=RelFin),COUNTIFS($E$9:$E181,RelConducteur,$J$9:$J181,"Professionnel",$C$9:$C181,"&gt;="&amp;RelDebut,$C$9:$C181,"&lt;="&amp;RelFin),"")</f>
        <v/>
      </c>
    </row>
    <row r="182" spans="2:18" ht="18" customHeight="1" x14ac:dyDescent="0.25">
      <c r="B182" s="48">
        <f>IF(C182="","",COUNT($C$9:C182))</f>
        <v>174</v>
      </c>
      <c r="C182" s="49">
        <v>46547</v>
      </c>
      <c r="D182" s="50">
        <v>0.75</v>
      </c>
      <c r="E182" s="51" t="s">
        <v>139</v>
      </c>
      <c r="F182" s="52" t="str">
        <f t="shared" si="8"/>
        <v>Service technique</v>
      </c>
      <c r="G182" s="51" t="s">
        <v>134</v>
      </c>
      <c r="H182" s="51" t="s">
        <v>155</v>
      </c>
      <c r="I182" s="51" t="s">
        <v>156</v>
      </c>
      <c r="J182" s="51" t="s">
        <v>9</v>
      </c>
      <c r="K182" s="53">
        <v>49046</v>
      </c>
      <c r="L182" s="53">
        <v>49070</v>
      </c>
      <c r="M182" s="54">
        <f t="shared" si="9"/>
        <v>24</v>
      </c>
      <c r="N182" s="55">
        <f t="shared" si="10"/>
        <v>0</v>
      </c>
      <c r="O182" s="56" t="str">
        <f t="shared" si="11"/>
        <v>Conforme</v>
      </c>
      <c r="P182" s="51"/>
      <c r="R182" s="57" t="str">
        <f>IF(AND($E182=RelConducteur,$J182="Professionnel",ISNUMBER($C182),$C182&gt;=RelDebut,$C182&lt;=RelFin),COUNTIFS($E$9:$E182,RelConducteur,$J$9:$J182,"Professionnel",$C$9:$C182,"&gt;="&amp;RelDebut,$C$9:$C182,"&lt;="&amp;RelFin),"")</f>
        <v/>
      </c>
    </row>
    <row r="183" spans="2:18" ht="18" customHeight="1" x14ac:dyDescent="0.25">
      <c r="B183" s="48">
        <f>IF(C183="","",COUNT($C$9:C183))</f>
        <v>175</v>
      </c>
      <c r="C183" s="49">
        <v>46548</v>
      </c>
      <c r="D183" s="50">
        <v>0.35416666666666669</v>
      </c>
      <c r="E183" s="51" t="s">
        <v>139</v>
      </c>
      <c r="F183" s="52" t="str">
        <f t="shared" si="8"/>
        <v>Service technique</v>
      </c>
      <c r="G183" s="51" t="s">
        <v>134</v>
      </c>
      <c r="H183" s="51" t="s">
        <v>146</v>
      </c>
      <c r="I183" s="51" t="s">
        <v>147</v>
      </c>
      <c r="J183" s="51" t="s">
        <v>8</v>
      </c>
      <c r="K183" s="53">
        <v>49070</v>
      </c>
      <c r="L183" s="53">
        <v>49107</v>
      </c>
      <c r="M183" s="54">
        <f t="shared" si="9"/>
        <v>37</v>
      </c>
      <c r="N183" s="55">
        <f t="shared" si="10"/>
        <v>0</v>
      </c>
      <c r="O183" s="56" t="str">
        <f t="shared" si="11"/>
        <v>Conforme</v>
      </c>
      <c r="P183" s="51"/>
      <c r="R183" s="57" t="str">
        <f>IF(AND($E183=RelConducteur,$J183="Professionnel",ISNUMBER($C183),$C183&gt;=RelDebut,$C183&lt;=RelFin),COUNTIFS($E$9:$E183,RelConducteur,$J$9:$J183,"Professionnel",$C$9:$C183,"&gt;="&amp;RelDebut,$C$9:$C183,"&lt;="&amp;RelFin),"")</f>
        <v/>
      </c>
    </row>
    <row r="184" spans="2:18" ht="18" customHeight="1" x14ac:dyDescent="0.25">
      <c r="B184" s="48">
        <f>IF(C184="","",COUNT($C$9:C184))</f>
        <v>176</v>
      </c>
      <c r="C184" s="49">
        <v>46548</v>
      </c>
      <c r="D184" s="50">
        <v>0.75</v>
      </c>
      <c r="E184" s="51" t="s">
        <v>139</v>
      </c>
      <c r="F184" s="52" t="str">
        <f t="shared" si="8"/>
        <v>Service technique</v>
      </c>
      <c r="G184" s="51" t="s">
        <v>134</v>
      </c>
      <c r="H184" s="51" t="s">
        <v>155</v>
      </c>
      <c r="I184" s="51" t="s">
        <v>156</v>
      </c>
      <c r="J184" s="51" t="s">
        <v>9</v>
      </c>
      <c r="K184" s="53">
        <v>49107</v>
      </c>
      <c r="L184" s="53">
        <v>49131</v>
      </c>
      <c r="M184" s="54">
        <f t="shared" si="9"/>
        <v>24</v>
      </c>
      <c r="N184" s="55">
        <f t="shared" si="10"/>
        <v>0</v>
      </c>
      <c r="O184" s="56" t="str">
        <f t="shared" si="11"/>
        <v>Conforme</v>
      </c>
      <c r="P184" s="51"/>
      <c r="R184" s="57" t="str">
        <f>IF(AND($E184=RelConducteur,$J184="Professionnel",ISNUMBER($C184),$C184&gt;=RelDebut,$C184&lt;=RelFin),COUNTIFS($E$9:$E184,RelConducteur,$J$9:$J184,"Professionnel",$C$9:$C184,"&gt;="&amp;RelDebut,$C$9:$C184,"&lt;="&amp;RelFin),"")</f>
        <v/>
      </c>
    </row>
    <row r="185" spans="2:18" ht="18" customHeight="1" x14ac:dyDescent="0.25">
      <c r="B185" s="48">
        <f>IF(C185="","",COUNT($C$9:C185))</f>
        <v>177</v>
      </c>
      <c r="C185" s="49">
        <v>46549</v>
      </c>
      <c r="D185" s="50">
        <v>0.33333333333333331</v>
      </c>
      <c r="E185" s="51" t="s">
        <v>133</v>
      </c>
      <c r="F185" s="52" t="str">
        <f t="shared" si="8"/>
        <v>Service technique</v>
      </c>
      <c r="G185" s="51" t="s">
        <v>134</v>
      </c>
      <c r="H185" s="51" t="s">
        <v>142</v>
      </c>
      <c r="I185" s="51" t="s">
        <v>143</v>
      </c>
      <c r="J185" s="51" t="s">
        <v>8</v>
      </c>
      <c r="K185" s="53">
        <v>49131</v>
      </c>
      <c r="L185" s="53">
        <v>49147</v>
      </c>
      <c r="M185" s="54">
        <f t="shared" si="9"/>
        <v>16</v>
      </c>
      <c r="N185" s="55">
        <f t="shared" si="10"/>
        <v>0</v>
      </c>
      <c r="O185" s="56" t="str">
        <f t="shared" si="11"/>
        <v>Conforme</v>
      </c>
      <c r="P185" s="51"/>
      <c r="R185" s="57" t="str">
        <f>IF(AND($E185=RelConducteur,$J185="Professionnel",ISNUMBER($C185),$C185&gt;=RelDebut,$C185&lt;=RelFin),COUNTIFS($E$9:$E185,RelConducteur,$J$9:$J185,"Professionnel",$C$9:$C185,"&gt;="&amp;RelDebut,$C$9:$C185,"&lt;="&amp;RelFin),"")</f>
        <v/>
      </c>
    </row>
    <row r="186" spans="2:18" ht="18" customHeight="1" x14ac:dyDescent="0.25">
      <c r="B186" s="48">
        <f>IF(C186="","",COUNT($C$9:C186))</f>
        <v>178</v>
      </c>
      <c r="C186" s="49">
        <v>46549</v>
      </c>
      <c r="D186" s="50">
        <v>0.41666666666666669</v>
      </c>
      <c r="E186" s="51" t="s">
        <v>148</v>
      </c>
      <c r="F186" s="52" t="str">
        <f t="shared" si="8"/>
        <v>Service commercial</v>
      </c>
      <c r="G186" s="51" t="s">
        <v>134</v>
      </c>
      <c r="H186" s="51" t="s">
        <v>149</v>
      </c>
      <c r="I186" s="51" t="s">
        <v>150</v>
      </c>
      <c r="J186" s="51" t="s">
        <v>8</v>
      </c>
      <c r="K186" s="53">
        <v>49147</v>
      </c>
      <c r="L186" s="53">
        <v>49423</v>
      </c>
      <c r="M186" s="54">
        <f t="shared" si="9"/>
        <v>276</v>
      </c>
      <c r="N186" s="55">
        <f t="shared" si="10"/>
        <v>0</v>
      </c>
      <c r="O186" s="56" t="str">
        <f t="shared" si="11"/>
        <v>Conforme</v>
      </c>
      <c r="P186" s="51"/>
      <c r="R186" s="57" t="str">
        <f>IF(AND($E186=RelConducteur,$J186="Professionnel",ISNUMBER($C186),$C186&gt;=RelDebut,$C186&lt;=RelFin),COUNTIFS($E$9:$E186,RelConducteur,$J$9:$J186,"Professionnel",$C$9:$C186,"&gt;="&amp;RelDebut,$C$9:$C186,"&lt;="&amp;RelFin),"")</f>
        <v/>
      </c>
    </row>
    <row r="187" spans="2:18" ht="18" customHeight="1" x14ac:dyDescent="0.25">
      <c r="B187" s="48">
        <f>IF(C187="","",COUNT($C$9:C187))</f>
        <v>179</v>
      </c>
      <c r="C187" s="49">
        <v>46552</v>
      </c>
      <c r="D187" s="50">
        <v>0.3125</v>
      </c>
      <c r="E187" s="51" t="s">
        <v>139</v>
      </c>
      <c r="F187" s="52" t="str">
        <f t="shared" si="8"/>
        <v>Service technique</v>
      </c>
      <c r="G187" s="51" t="s">
        <v>134</v>
      </c>
      <c r="H187" s="51" t="s">
        <v>140</v>
      </c>
      <c r="I187" s="51" t="s">
        <v>141</v>
      </c>
      <c r="J187" s="51" t="s">
        <v>8</v>
      </c>
      <c r="K187" s="53">
        <v>49423</v>
      </c>
      <c r="L187" s="53">
        <v>49444</v>
      </c>
      <c r="M187" s="54">
        <f t="shared" si="9"/>
        <v>21</v>
      </c>
      <c r="N187" s="55">
        <f t="shared" si="10"/>
        <v>0</v>
      </c>
      <c r="O187" s="56" t="str">
        <f t="shared" si="11"/>
        <v>Conforme</v>
      </c>
      <c r="P187" s="51"/>
      <c r="R187" s="57" t="str">
        <f>IF(AND($E187=RelConducteur,$J187="Professionnel",ISNUMBER($C187),$C187&gt;=RelDebut,$C187&lt;=RelFin),COUNTIFS($E$9:$E187,RelConducteur,$J$9:$J187,"Professionnel",$C$9:$C187,"&gt;="&amp;RelDebut,$C$9:$C187,"&lt;="&amp;RelFin),"")</f>
        <v/>
      </c>
    </row>
    <row r="188" spans="2:18" ht="18" customHeight="1" x14ac:dyDescent="0.25">
      <c r="B188" s="48">
        <f>IF(C188="","",COUNT($C$9:C188))</f>
        <v>180</v>
      </c>
      <c r="C188" s="49">
        <v>46552</v>
      </c>
      <c r="D188" s="50">
        <v>0.58333333333333337</v>
      </c>
      <c r="E188" s="51" t="s">
        <v>133</v>
      </c>
      <c r="F188" s="52" t="str">
        <f t="shared" si="8"/>
        <v>Service technique</v>
      </c>
      <c r="G188" s="51" t="s">
        <v>134</v>
      </c>
      <c r="H188" s="51" t="s">
        <v>161</v>
      </c>
      <c r="I188" s="51" t="s">
        <v>162</v>
      </c>
      <c r="J188" s="51" t="s">
        <v>8</v>
      </c>
      <c r="K188" s="53">
        <v>49444</v>
      </c>
      <c r="L188" s="53">
        <v>49472</v>
      </c>
      <c r="M188" s="54">
        <f t="shared" si="9"/>
        <v>28</v>
      </c>
      <c r="N188" s="55">
        <f t="shared" si="10"/>
        <v>0</v>
      </c>
      <c r="O188" s="56" t="str">
        <f t="shared" si="11"/>
        <v>Conforme</v>
      </c>
      <c r="P188" s="51"/>
      <c r="R188" s="57" t="str">
        <f>IF(AND($E188=RelConducteur,$J188="Professionnel",ISNUMBER($C188),$C188&gt;=RelDebut,$C188&lt;=RelFin),COUNTIFS($E$9:$E188,RelConducteur,$J$9:$J188,"Professionnel",$C$9:$C188,"&gt;="&amp;RelDebut,$C$9:$C188,"&lt;="&amp;RelFin),"")</f>
        <v/>
      </c>
    </row>
    <row r="189" spans="2:18" ht="18" customHeight="1" x14ac:dyDescent="0.25">
      <c r="B189" s="48">
        <f>IF(C189="","",COUNT($C$9:C189))</f>
        <v>181</v>
      </c>
      <c r="C189" s="49">
        <v>46553</v>
      </c>
      <c r="D189" s="50">
        <v>0.3125</v>
      </c>
      <c r="E189" s="51" t="s">
        <v>133</v>
      </c>
      <c r="F189" s="52" t="str">
        <f t="shared" si="8"/>
        <v>Service technique</v>
      </c>
      <c r="G189" s="51" t="s">
        <v>134</v>
      </c>
      <c r="H189" s="51" t="s">
        <v>161</v>
      </c>
      <c r="I189" s="51" t="s">
        <v>162</v>
      </c>
      <c r="J189" s="51" t="s">
        <v>8</v>
      </c>
      <c r="K189" s="53">
        <v>49472</v>
      </c>
      <c r="L189" s="53">
        <v>49502</v>
      </c>
      <c r="M189" s="54">
        <f t="shared" si="9"/>
        <v>30</v>
      </c>
      <c r="N189" s="55">
        <f t="shared" si="10"/>
        <v>0</v>
      </c>
      <c r="O189" s="56" t="str">
        <f t="shared" si="11"/>
        <v>Conforme</v>
      </c>
      <c r="P189" s="51"/>
      <c r="R189" s="57" t="str">
        <f>IF(AND($E189=RelConducteur,$J189="Professionnel",ISNUMBER($C189),$C189&gt;=RelDebut,$C189&lt;=RelFin),COUNTIFS($E$9:$E189,RelConducteur,$J$9:$J189,"Professionnel",$C$9:$C189,"&gt;="&amp;RelDebut,$C$9:$C189,"&lt;="&amp;RelFin),"")</f>
        <v/>
      </c>
    </row>
    <row r="190" spans="2:18" ht="18" customHeight="1" x14ac:dyDescent="0.25">
      <c r="B190" s="48">
        <f>IF(C190="","",COUNT($C$9:C190))</f>
        <v>182</v>
      </c>
      <c r="C190" s="49">
        <v>46554</v>
      </c>
      <c r="D190" s="50">
        <v>0.33333333333333331</v>
      </c>
      <c r="E190" s="51" t="s">
        <v>139</v>
      </c>
      <c r="F190" s="52" t="str">
        <f t="shared" si="8"/>
        <v>Service technique</v>
      </c>
      <c r="G190" s="51" t="s">
        <v>134</v>
      </c>
      <c r="H190" s="51" t="s">
        <v>165</v>
      </c>
      <c r="I190" s="51" t="s">
        <v>166</v>
      </c>
      <c r="J190" s="51" t="s">
        <v>8</v>
      </c>
      <c r="K190" s="53">
        <v>49502</v>
      </c>
      <c r="L190" s="53">
        <v>49570</v>
      </c>
      <c r="M190" s="54">
        <f t="shared" si="9"/>
        <v>68</v>
      </c>
      <c r="N190" s="55">
        <f t="shared" si="10"/>
        <v>0</v>
      </c>
      <c r="O190" s="56" t="str">
        <f t="shared" si="11"/>
        <v>Conforme</v>
      </c>
      <c r="P190" s="51"/>
      <c r="R190" s="57" t="str">
        <f>IF(AND($E190=RelConducteur,$J190="Professionnel",ISNUMBER($C190),$C190&gt;=RelDebut,$C190&lt;=RelFin),COUNTIFS($E$9:$E190,RelConducteur,$J$9:$J190,"Professionnel",$C$9:$C190,"&gt;="&amp;RelDebut,$C$9:$C190,"&lt;="&amp;RelFin),"")</f>
        <v/>
      </c>
    </row>
    <row r="191" spans="2:18" ht="18" customHeight="1" x14ac:dyDescent="0.25">
      <c r="B191" s="48">
        <f>IF(C191="","",COUNT($C$9:C191))</f>
        <v>183</v>
      </c>
      <c r="C191" s="49">
        <v>46555</v>
      </c>
      <c r="D191" s="50">
        <v>0.60416666666666663</v>
      </c>
      <c r="E191" s="51" t="s">
        <v>139</v>
      </c>
      <c r="F191" s="52" t="str">
        <f t="shared" si="8"/>
        <v>Service technique</v>
      </c>
      <c r="G191" s="51" t="s">
        <v>134</v>
      </c>
      <c r="H191" s="51" t="s">
        <v>165</v>
      </c>
      <c r="I191" s="51" t="s">
        <v>166</v>
      </c>
      <c r="J191" s="51" t="s">
        <v>8</v>
      </c>
      <c r="K191" s="53">
        <v>49570</v>
      </c>
      <c r="L191" s="53">
        <v>49643</v>
      </c>
      <c r="M191" s="54">
        <f t="shared" si="9"/>
        <v>73</v>
      </c>
      <c r="N191" s="55">
        <f t="shared" si="10"/>
        <v>0</v>
      </c>
      <c r="O191" s="56" t="str">
        <f t="shared" si="11"/>
        <v>Conforme</v>
      </c>
      <c r="P191" s="51"/>
      <c r="R191" s="57" t="str">
        <f>IF(AND($E191=RelConducteur,$J191="Professionnel",ISNUMBER($C191),$C191&gt;=RelDebut,$C191&lt;=RelFin),COUNTIFS($E$9:$E191,RelConducteur,$J$9:$J191,"Professionnel",$C$9:$C191,"&gt;="&amp;RelDebut,$C$9:$C191,"&lt;="&amp;RelFin),"")</f>
        <v/>
      </c>
    </row>
    <row r="192" spans="2:18" ht="18" customHeight="1" x14ac:dyDescent="0.25">
      <c r="B192" s="48">
        <f>IF(C192="","",COUNT($C$9:C192))</f>
        <v>184</v>
      </c>
      <c r="C192" s="49">
        <v>46556</v>
      </c>
      <c r="D192" s="50">
        <v>0.3125</v>
      </c>
      <c r="E192" s="51" t="s">
        <v>139</v>
      </c>
      <c r="F192" s="52" t="str">
        <f t="shared" si="8"/>
        <v>Service technique</v>
      </c>
      <c r="G192" s="51" t="s">
        <v>134</v>
      </c>
      <c r="H192" s="51" t="s">
        <v>151</v>
      </c>
      <c r="I192" s="51" t="s">
        <v>152</v>
      </c>
      <c r="J192" s="51" t="s">
        <v>8</v>
      </c>
      <c r="K192" s="53">
        <v>49643</v>
      </c>
      <c r="L192" s="53">
        <v>49694</v>
      </c>
      <c r="M192" s="54">
        <f t="shared" si="9"/>
        <v>51</v>
      </c>
      <c r="N192" s="55">
        <f t="shared" si="10"/>
        <v>0</v>
      </c>
      <c r="O192" s="56" t="str">
        <f t="shared" si="11"/>
        <v>Conforme</v>
      </c>
      <c r="P192" s="51"/>
      <c r="R192" s="57" t="str">
        <f>IF(AND($E192=RelConducteur,$J192="Professionnel",ISNUMBER($C192),$C192&gt;=RelDebut,$C192&lt;=RelFin),COUNTIFS($E$9:$E192,RelConducteur,$J$9:$J192,"Professionnel",$C$9:$C192,"&gt;="&amp;RelDebut,$C$9:$C192,"&lt;="&amp;RelFin),"")</f>
        <v/>
      </c>
    </row>
    <row r="193" spans="2:18" ht="18" customHeight="1" x14ac:dyDescent="0.25">
      <c r="B193" s="48">
        <f>IF(C193="","",COUNT($C$9:C193))</f>
        <v>185</v>
      </c>
      <c r="C193" s="49">
        <v>46556</v>
      </c>
      <c r="D193" s="50">
        <v>0.58333333333333337</v>
      </c>
      <c r="E193" s="51" t="s">
        <v>133</v>
      </c>
      <c r="F193" s="52" t="str">
        <f t="shared" si="8"/>
        <v>Service technique</v>
      </c>
      <c r="G193" s="51" t="s">
        <v>134</v>
      </c>
      <c r="H193" s="51" t="s">
        <v>151</v>
      </c>
      <c r="I193" s="51" t="s">
        <v>152</v>
      </c>
      <c r="J193" s="51" t="s">
        <v>8</v>
      </c>
      <c r="K193" s="53">
        <v>49694</v>
      </c>
      <c r="L193" s="53">
        <v>49747</v>
      </c>
      <c r="M193" s="54">
        <f t="shared" si="9"/>
        <v>53</v>
      </c>
      <c r="N193" s="55">
        <f t="shared" si="10"/>
        <v>0</v>
      </c>
      <c r="O193" s="56" t="str">
        <f t="shared" si="11"/>
        <v>Conforme</v>
      </c>
      <c r="P193" s="51"/>
      <c r="R193" s="57" t="str">
        <f>IF(AND($E193=RelConducteur,$J193="Professionnel",ISNUMBER($C193),$C193&gt;=RelDebut,$C193&lt;=RelFin),COUNTIFS($E$9:$E193,RelConducteur,$J$9:$J193,"Professionnel",$C$9:$C193,"&gt;="&amp;RelDebut,$C$9:$C193,"&lt;="&amp;RelFin),"")</f>
        <v/>
      </c>
    </row>
    <row r="194" spans="2:18" ht="18" customHeight="1" x14ac:dyDescent="0.25">
      <c r="B194" s="48">
        <f>IF(C194="","",COUNT($C$9:C194))</f>
        <v>186</v>
      </c>
      <c r="C194" s="49">
        <v>46556</v>
      </c>
      <c r="D194" s="50">
        <v>0.77083333333333337</v>
      </c>
      <c r="E194" s="51" t="s">
        <v>133</v>
      </c>
      <c r="F194" s="52" t="str">
        <f t="shared" si="8"/>
        <v>Service technique</v>
      </c>
      <c r="G194" s="51" t="s">
        <v>134</v>
      </c>
      <c r="H194" s="51" t="s">
        <v>140</v>
      </c>
      <c r="I194" s="51" t="s">
        <v>175</v>
      </c>
      <c r="J194" s="51" t="s">
        <v>10</v>
      </c>
      <c r="K194" s="53">
        <v>49747</v>
      </c>
      <c r="L194" s="53">
        <v>49783</v>
      </c>
      <c r="M194" s="54">
        <f t="shared" si="9"/>
        <v>36</v>
      </c>
      <c r="N194" s="55">
        <f t="shared" si="10"/>
        <v>0</v>
      </c>
      <c r="O194" s="56" t="str">
        <f t="shared" si="11"/>
        <v>Usage privé non autorisé</v>
      </c>
      <c r="P194" s="51" t="s">
        <v>176</v>
      </c>
      <c r="R194" s="57" t="str">
        <f>IF(AND($E194=RelConducteur,$J194="Professionnel",ISNUMBER($C194),$C194&gt;=RelDebut,$C194&lt;=RelFin),COUNTIFS($E$9:$E194,RelConducteur,$J$9:$J194,"Professionnel",$C$9:$C194,"&gt;="&amp;RelDebut,$C$9:$C194,"&lt;="&amp;RelFin),"")</f>
        <v/>
      </c>
    </row>
    <row r="195" spans="2:18" ht="18" customHeight="1" x14ac:dyDescent="0.25">
      <c r="B195" s="48">
        <f>IF(C195="","",COUNT($C$9:C195))</f>
        <v>187</v>
      </c>
      <c r="C195" s="49">
        <v>46559</v>
      </c>
      <c r="D195" s="50">
        <v>0.35416666666666669</v>
      </c>
      <c r="E195" s="51" t="s">
        <v>133</v>
      </c>
      <c r="F195" s="52" t="str">
        <f t="shared" si="8"/>
        <v>Service technique</v>
      </c>
      <c r="G195" s="51" t="s">
        <v>134</v>
      </c>
      <c r="H195" s="51" t="s">
        <v>146</v>
      </c>
      <c r="I195" s="51" t="s">
        <v>147</v>
      </c>
      <c r="J195" s="51" t="s">
        <v>8</v>
      </c>
      <c r="K195" s="53">
        <v>49783</v>
      </c>
      <c r="L195" s="53">
        <v>49818</v>
      </c>
      <c r="M195" s="54">
        <f t="shared" si="9"/>
        <v>35</v>
      </c>
      <c r="N195" s="55">
        <f t="shared" si="10"/>
        <v>0</v>
      </c>
      <c r="O195" s="56" t="str">
        <f t="shared" si="11"/>
        <v>Conforme</v>
      </c>
      <c r="P195" s="51"/>
      <c r="R195" s="57" t="str">
        <f>IF(AND($E195=RelConducteur,$J195="Professionnel",ISNUMBER($C195),$C195&gt;=RelDebut,$C195&lt;=RelFin),COUNTIFS($E$9:$E195,RelConducteur,$J$9:$J195,"Professionnel",$C$9:$C195,"&gt;="&amp;RelDebut,$C$9:$C195,"&lt;="&amp;RelFin),"")</f>
        <v/>
      </c>
    </row>
    <row r="196" spans="2:18" ht="18" customHeight="1" x14ac:dyDescent="0.25">
      <c r="B196" s="48">
        <f>IF(C196="","",COUNT($C$9:C196))</f>
        <v>188</v>
      </c>
      <c r="C196" s="49">
        <v>46559</v>
      </c>
      <c r="D196" s="50">
        <v>0.41666666666666669</v>
      </c>
      <c r="E196" s="51" t="s">
        <v>148</v>
      </c>
      <c r="F196" s="52" t="str">
        <f t="shared" si="8"/>
        <v>Service commercial</v>
      </c>
      <c r="G196" s="51" t="s">
        <v>134</v>
      </c>
      <c r="H196" s="51" t="s">
        <v>153</v>
      </c>
      <c r="I196" s="51" t="s">
        <v>154</v>
      </c>
      <c r="J196" s="51" t="s">
        <v>8</v>
      </c>
      <c r="K196" s="53">
        <v>49818</v>
      </c>
      <c r="L196" s="53">
        <v>49962</v>
      </c>
      <c r="M196" s="54">
        <f t="shared" si="9"/>
        <v>144</v>
      </c>
      <c r="N196" s="55">
        <f t="shared" si="10"/>
        <v>0</v>
      </c>
      <c r="O196" s="56" t="str">
        <f t="shared" si="11"/>
        <v>Conforme</v>
      </c>
      <c r="P196" s="51"/>
      <c r="R196" s="57" t="str">
        <f>IF(AND($E196=RelConducteur,$J196="Professionnel",ISNUMBER($C196),$C196&gt;=RelDebut,$C196&lt;=RelFin),COUNTIFS($E$9:$E196,RelConducteur,$J$9:$J196,"Professionnel",$C$9:$C196,"&gt;="&amp;RelDebut,$C$9:$C196,"&lt;="&amp;RelFin),"")</f>
        <v/>
      </c>
    </row>
    <row r="197" spans="2:18" ht="18" customHeight="1" x14ac:dyDescent="0.25">
      <c r="B197" s="48">
        <f>IF(C197="","",COUNT($C$9:C197))</f>
        <v>189</v>
      </c>
      <c r="C197" s="49">
        <v>46560</v>
      </c>
      <c r="D197" s="50">
        <v>0.3125</v>
      </c>
      <c r="E197" s="51" t="s">
        <v>139</v>
      </c>
      <c r="F197" s="52" t="str">
        <f t="shared" si="8"/>
        <v>Service technique</v>
      </c>
      <c r="G197" s="51" t="s">
        <v>134</v>
      </c>
      <c r="H197" s="51" t="s">
        <v>144</v>
      </c>
      <c r="I197" s="51" t="s">
        <v>145</v>
      </c>
      <c r="J197" s="51" t="s">
        <v>8</v>
      </c>
      <c r="K197" s="53">
        <v>49962</v>
      </c>
      <c r="L197" s="53">
        <v>49988</v>
      </c>
      <c r="M197" s="54">
        <f t="shared" si="9"/>
        <v>26</v>
      </c>
      <c r="N197" s="55">
        <f t="shared" si="10"/>
        <v>0</v>
      </c>
      <c r="O197" s="56" t="str">
        <f t="shared" si="11"/>
        <v>Conforme</v>
      </c>
      <c r="P197" s="51"/>
      <c r="R197" s="57" t="str">
        <f>IF(AND($E197=RelConducteur,$J197="Professionnel",ISNUMBER($C197),$C197&gt;=RelDebut,$C197&lt;=RelFin),COUNTIFS($E$9:$E197,RelConducteur,$J$9:$J197,"Professionnel",$C$9:$C197,"&gt;="&amp;RelDebut,$C$9:$C197,"&lt;="&amp;RelFin),"")</f>
        <v/>
      </c>
    </row>
    <row r="198" spans="2:18" ht="18" customHeight="1" x14ac:dyDescent="0.25">
      <c r="B198" s="48">
        <f>IF(C198="","",COUNT($C$9:C198))</f>
        <v>190</v>
      </c>
      <c r="C198" s="49">
        <v>46560</v>
      </c>
      <c r="D198" s="50">
        <v>0.41666666666666669</v>
      </c>
      <c r="E198" s="51" t="s">
        <v>148</v>
      </c>
      <c r="F198" s="52" t="str">
        <f t="shared" si="8"/>
        <v>Service commercial</v>
      </c>
      <c r="G198" s="51" t="s">
        <v>134</v>
      </c>
      <c r="H198" s="51" t="s">
        <v>153</v>
      </c>
      <c r="I198" s="51" t="s">
        <v>154</v>
      </c>
      <c r="J198" s="51" t="s">
        <v>8</v>
      </c>
      <c r="K198" s="53">
        <v>49988</v>
      </c>
      <c r="L198" s="53">
        <v>50133</v>
      </c>
      <c r="M198" s="54">
        <f t="shared" si="9"/>
        <v>145</v>
      </c>
      <c r="N198" s="55">
        <f t="shared" si="10"/>
        <v>0</v>
      </c>
      <c r="O198" s="56" t="str">
        <f t="shared" si="11"/>
        <v>Conforme</v>
      </c>
      <c r="P198" s="51"/>
      <c r="R198" s="57" t="str">
        <f>IF(AND($E198=RelConducteur,$J198="Professionnel",ISNUMBER($C198),$C198&gt;=RelDebut,$C198&lt;=RelFin),COUNTIFS($E$9:$E198,RelConducteur,$J$9:$J198,"Professionnel",$C$9:$C198,"&gt;="&amp;RelDebut,$C$9:$C198,"&lt;="&amp;RelFin),"")</f>
        <v/>
      </c>
    </row>
    <row r="199" spans="2:18" ht="18" customHeight="1" x14ac:dyDescent="0.25">
      <c r="B199" s="48">
        <f>IF(C199="","",COUNT($C$9:C199))</f>
        <v>191</v>
      </c>
      <c r="C199" s="49">
        <v>46561</v>
      </c>
      <c r="D199" s="50">
        <v>0.33333333333333331</v>
      </c>
      <c r="E199" s="51" t="s">
        <v>133</v>
      </c>
      <c r="F199" s="52" t="str">
        <f t="shared" si="8"/>
        <v>Service technique</v>
      </c>
      <c r="G199" s="51" t="s">
        <v>134</v>
      </c>
      <c r="H199" s="51" t="s">
        <v>165</v>
      </c>
      <c r="I199" s="51" t="s">
        <v>166</v>
      </c>
      <c r="J199" s="51" t="s">
        <v>8</v>
      </c>
      <c r="K199" s="53">
        <v>50133</v>
      </c>
      <c r="L199" s="53">
        <v>50201</v>
      </c>
      <c r="M199" s="54">
        <f t="shared" si="9"/>
        <v>68</v>
      </c>
      <c r="N199" s="55">
        <f t="shared" si="10"/>
        <v>0</v>
      </c>
      <c r="O199" s="56" t="str">
        <f t="shared" si="11"/>
        <v>Conforme</v>
      </c>
      <c r="P199" s="51"/>
      <c r="R199" s="57" t="str">
        <f>IF(AND($E199=RelConducteur,$J199="Professionnel",ISNUMBER($C199),$C199&gt;=RelDebut,$C199&lt;=RelFin),COUNTIFS($E$9:$E199,RelConducteur,$J$9:$J199,"Professionnel",$C$9:$C199,"&gt;="&amp;RelDebut,$C$9:$C199,"&lt;="&amp;RelFin),"")</f>
        <v/>
      </c>
    </row>
    <row r="200" spans="2:18" ht="18" customHeight="1" x14ac:dyDescent="0.25">
      <c r="B200" s="48">
        <f>IF(C200="","",COUNT($C$9:C200))</f>
        <v>192</v>
      </c>
      <c r="C200" s="49">
        <v>46562</v>
      </c>
      <c r="D200" s="50">
        <v>0.3125</v>
      </c>
      <c r="E200" s="51" t="s">
        <v>139</v>
      </c>
      <c r="F200" s="52" t="str">
        <f t="shared" si="8"/>
        <v>Service technique</v>
      </c>
      <c r="G200" s="51" t="s">
        <v>134</v>
      </c>
      <c r="H200" s="51" t="s">
        <v>165</v>
      </c>
      <c r="I200" s="51" t="s">
        <v>166</v>
      </c>
      <c r="J200" s="51" t="s">
        <v>8</v>
      </c>
      <c r="K200" s="53">
        <v>50201</v>
      </c>
      <c r="L200" s="53">
        <v>50271</v>
      </c>
      <c r="M200" s="54">
        <f t="shared" si="9"/>
        <v>70</v>
      </c>
      <c r="N200" s="55">
        <f t="shared" si="10"/>
        <v>0</v>
      </c>
      <c r="O200" s="56" t="str">
        <f t="shared" si="11"/>
        <v>Conforme</v>
      </c>
      <c r="P200" s="51"/>
      <c r="R200" s="57" t="str">
        <f>IF(AND($E200=RelConducteur,$J200="Professionnel",ISNUMBER($C200),$C200&gt;=RelDebut,$C200&lt;=RelFin),COUNTIFS($E$9:$E200,RelConducteur,$J$9:$J200,"Professionnel",$C$9:$C200,"&gt;="&amp;RelDebut,$C$9:$C200,"&lt;="&amp;RelFin),"")</f>
        <v/>
      </c>
    </row>
    <row r="201" spans="2:18" ht="18" customHeight="1" x14ac:dyDescent="0.25">
      <c r="B201" s="48">
        <f>IF(C201="","",COUNT($C$9:C201))</f>
        <v>193</v>
      </c>
      <c r="C201" s="49">
        <v>46562</v>
      </c>
      <c r="D201" s="50">
        <v>0.58333333333333337</v>
      </c>
      <c r="E201" s="51" t="s">
        <v>133</v>
      </c>
      <c r="F201" s="52" t="str">
        <f t="shared" ref="F201:F264" si="12">IF(OR(C201="",E201=""),"",IFERROR(INDEX(CondService,MATCH(E201,CondNoms,0))&amp;"","Conducteur inconnu"))</f>
        <v>Service technique</v>
      </c>
      <c r="G201" s="51" t="s">
        <v>134</v>
      </c>
      <c r="H201" s="51" t="s">
        <v>142</v>
      </c>
      <c r="I201" s="51" t="s">
        <v>143</v>
      </c>
      <c r="J201" s="51" t="s">
        <v>8</v>
      </c>
      <c r="K201" s="53">
        <v>50271</v>
      </c>
      <c r="L201" s="53">
        <v>50292</v>
      </c>
      <c r="M201" s="54">
        <f t="shared" ref="M201:M264" si="13">IF(OR(K201="",L201=""),"",L201-K201)</f>
        <v>21</v>
      </c>
      <c r="N201" s="55">
        <f t="shared" si="10"/>
        <v>0</v>
      </c>
      <c r="O201" s="56" t="str">
        <f t="shared" si="11"/>
        <v>Conforme</v>
      </c>
      <c r="P201" s="51"/>
      <c r="R201" s="57" t="str">
        <f>IF(AND($E201=RelConducteur,$J201="Professionnel",ISNUMBER($C201),$C201&gt;=RelDebut,$C201&lt;=RelFin),COUNTIFS($E$9:$E201,RelConducteur,$J$9:$J201,"Professionnel",$C$9:$C201,"&gt;="&amp;RelDebut,$C$9:$C201,"&lt;="&amp;RelFin),"")</f>
        <v/>
      </c>
    </row>
    <row r="202" spans="2:18" ht="18" customHeight="1" x14ac:dyDescent="0.25">
      <c r="B202" s="48">
        <f>IF(C202="","",COUNT($C$9:C202))</f>
        <v>194</v>
      </c>
      <c r="C202" s="49">
        <v>46563</v>
      </c>
      <c r="D202" s="50">
        <v>0.3125</v>
      </c>
      <c r="E202" s="51" t="s">
        <v>133</v>
      </c>
      <c r="F202" s="52" t="str">
        <f t="shared" si="12"/>
        <v>Service technique</v>
      </c>
      <c r="G202" s="51" t="s">
        <v>134</v>
      </c>
      <c r="H202" s="51" t="s">
        <v>140</v>
      </c>
      <c r="I202" s="51" t="s">
        <v>141</v>
      </c>
      <c r="J202" s="51" t="s">
        <v>8</v>
      </c>
      <c r="K202" s="53">
        <v>50292</v>
      </c>
      <c r="L202" s="53">
        <v>50315</v>
      </c>
      <c r="M202" s="54">
        <f t="shared" si="13"/>
        <v>23</v>
      </c>
      <c r="N202" s="55">
        <f t="shared" ref="N202:N265" si="14">IF(OR(C202="",K202="",L201=""),"",K202-L201)</f>
        <v>0</v>
      </c>
      <c r="O202" s="56" t="str">
        <f t="shared" ref="O202:O265" si="15">IF(C202="","",IF(OR(E202="",G202="",H202="",J202="",K202="",L202="",AND(J202="Professionnel",I202="")),"Incomplet",IF(AND(ISNUMBER(C201),C202&lt;C201),"Ordre des dates",IF(L202&lt;K202,"Compteur incohérent",IF(AND(ISNUMBER(N202),N202&gt;ToleranceKm),"Km non enregistrés",IF(AND(ISNUMBER(N202),N202&lt;-ToleranceKm),"Chevauchement",IF(AND(J202="Personnel",UsagePrive="Non"),"Usage privé non autorisé","Conforme")))))))</f>
        <v>Conforme</v>
      </c>
      <c r="P202" s="51"/>
      <c r="R202" s="57" t="str">
        <f>IF(AND($E202=RelConducteur,$J202="Professionnel",ISNUMBER($C202),$C202&gt;=RelDebut,$C202&lt;=RelFin),COUNTIFS($E$9:$E202,RelConducteur,$J$9:$J202,"Professionnel",$C$9:$C202,"&gt;="&amp;RelDebut,$C$9:$C202,"&lt;="&amp;RelFin),"")</f>
        <v/>
      </c>
    </row>
    <row r="203" spans="2:18" ht="18" customHeight="1" x14ac:dyDescent="0.25">
      <c r="B203" s="48">
        <f>IF(C203="","",COUNT($C$9:C203))</f>
        <v>195</v>
      </c>
      <c r="C203" s="49">
        <v>46563</v>
      </c>
      <c r="D203" s="50">
        <v>0.4375</v>
      </c>
      <c r="E203" s="51" t="s">
        <v>148</v>
      </c>
      <c r="F203" s="52" t="str">
        <f t="shared" si="12"/>
        <v>Service commercial</v>
      </c>
      <c r="G203" s="51" t="s">
        <v>134</v>
      </c>
      <c r="H203" s="51" t="s">
        <v>171</v>
      </c>
      <c r="I203" s="51" t="s">
        <v>172</v>
      </c>
      <c r="J203" s="51" t="s">
        <v>8</v>
      </c>
      <c r="K203" s="53">
        <v>50315</v>
      </c>
      <c r="L203" s="53">
        <v>50334</v>
      </c>
      <c r="M203" s="54">
        <f t="shared" si="13"/>
        <v>19</v>
      </c>
      <c r="N203" s="55">
        <f t="shared" si="14"/>
        <v>0</v>
      </c>
      <c r="O203" s="56" t="str">
        <f t="shared" si="15"/>
        <v>Conforme</v>
      </c>
      <c r="P203" s="51"/>
      <c r="R203" s="57" t="str">
        <f>IF(AND($E203=RelConducteur,$J203="Professionnel",ISNUMBER($C203),$C203&gt;=RelDebut,$C203&lt;=RelFin),COUNTIFS($E$9:$E203,RelConducteur,$J$9:$J203,"Professionnel",$C$9:$C203,"&gt;="&amp;RelDebut,$C$9:$C203,"&lt;="&amp;RelFin),"")</f>
        <v/>
      </c>
    </row>
    <row r="204" spans="2:18" ht="18" customHeight="1" x14ac:dyDescent="0.25">
      <c r="B204" s="48">
        <f>IF(C204="","",COUNT($C$9:C204))</f>
        <v>196</v>
      </c>
      <c r="C204" s="49">
        <v>46566</v>
      </c>
      <c r="D204" s="50">
        <v>0.3125</v>
      </c>
      <c r="E204" s="51" t="s">
        <v>139</v>
      </c>
      <c r="F204" s="52" t="str">
        <f t="shared" si="12"/>
        <v>Service technique</v>
      </c>
      <c r="G204" s="51" t="s">
        <v>134</v>
      </c>
      <c r="H204" s="51" t="s">
        <v>135</v>
      </c>
      <c r="I204" s="51" t="s">
        <v>136</v>
      </c>
      <c r="J204" s="51" t="s">
        <v>8</v>
      </c>
      <c r="K204" s="53">
        <v>50334</v>
      </c>
      <c r="L204" s="53">
        <v>50429</v>
      </c>
      <c r="M204" s="54">
        <f t="shared" si="13"/>
        <v>95</v>
      </c>
      <c r="N204" s="55">
        <f t="shared" si="14"/>
        <v>0</v>
      </c>
      <c r="O204" s="56" t="str">
        <f t="shared" si="15"/>
        <v>Conforme</v>
      </c>
      <c r="P204" s="51"/>
      <c r="R204" s="57" t="str">
        <f>IF(AND($E204=RelConducteur,$J204="Professionnel",ISNUMBER($C204),$C204&gt;=RelDebut,$C204&lt;=RelFin),COUNTIFS($E$9:$E204,RelConducteur,$J$9:$J204,"Professionnel",$C$9:$C204,"&gt;="&amp;RelDebut,$C$9:$C204,"&lt;="&amp;RelFin),"")</f>
        <v/>
      </c>
    </row>
    <row r="205" spans="2:18" ht="18" customHeight="1" x14ac:dyDescent="0.25">
      <c r="B205" s="48">
        <f>IF(C205="","",COUNT($C$9:C205))</f>
        <v>197</v>
      </c>
      <c r="C205" s="49">
        <v>46566</v>
      </c>
      <c r="D205" s="50">
        <v>0.41666666666666669</v>
      </c>
      <c r="E205" s="51" t="s">
        <v>148</v>
      </c>
      <c r="F205" s="52" t="str">
        <f t="shared" si="12"/>
        <v>Service commercial</v>
      </c>
      <c r="G205" s="51" t="s">
        <v>134</v>
      </c>
      <c r="H205" s="51" t="s">
        <v>167</v>
      </c>
      <c r="I205" s="51" t="s">
        <v>168</v>
      </c>
      <c r="J205" s="51" t="s">
        <v>8</v>
      </c>
      <c r="K205" s="53">
        <v>50429</v>
      </c>
      <c r="L205" s="53">
        <v>50444</v>
      </c>
      <c r="M205" s="54">
        <f t="shared" si="13"/>
        <v>15</v>
      </c>
      <c r="N205" s="55">
        <f t="shared" si="14"/>
        <v>0</v>
      </c>
      <c r="O205" s="56" t="str">
        <f t="shared" si="15"/>
        <v>Conforme</v>
      </c>
      <c r="P205" s="51"/>
      <c r="R205" s="57" t="str">
        <f>IF(AND($E205=RelConducteur,$J205="Professionnel",ISNUMBER($C205),$C205&gt;=RelDebut,$C205&lt;=RelFin),COUNTIFS($E$9:$E205,RelConducteur,$J$9:$J205,"Professionnel",$C$9:$C205,"&gt;="&amp;RelDebut,$C$9:$C205,"&lt;="&amp;RelFin),"")</f>
        <v/>
      </c>
    </row>
    <row r="206" spans="2:18" ht="18" customHeight="1" x14ac:dyDescent="0.25">
      <c r="B206" s="48">
        <f>IF(C206="","",COUNT($C$9:C206))</f>
        <v>198</v>
      </c>
      <c r="C206" s="49">
        <v>46567</v>
      </c>
      <c r="D206" s="50">
        <v>0.33333333333333331</v>
      </c>
      <c r="E206" s="51" t="s">
        <v>133</v>
      </c>
      <c r="F206" s="52" t="str">
        <f t="shared" si="12"/>
        <v>Service technique</v>
      </c>
      <c r="G206" s="51" t="s">
        <v>134</v>
      </c>
      <c r="H206" s="51" t="s">
        <v>137</v>
      </c>
      <c r="I206" s="51" t="s">
        <v>138</v>
      </c>
      <c r="J206" s="51" t="s">
        <v>8</v>
      </c>
      <c r="K206" s="53">
        <v>50444</v>
      </c>
      <c r="L206" s="53">
        <v>50512</v>
      </c>
      <c r="M206" s="54">
        <f t="shared" si="13"/>
        <v>68</v>
      </c>
      <c r="N206" s="55">
        <f t="shared" si="14"/>
        <v>0</v>
      </c>
      <c r="O206" s="56" t="str">
        <f t="shared" si="15"/>
        <v>Conforme</v>
      </c>
      <c r="P206" s="51"/>
      <c r="R206" s="57" t="str">
        <f>IF(AND($E206=RelConducteur,$J206="Professionnel",ISNUMBER($C206),$C206&gt;=RelDebut,$C206&lt;=RelFin),COUNTIFS($E$9:$E206,RelConducteur,$J$9:$J206,"Professionnel",$C$9:$C206,"&gt;="&amp;RelDebut,$C$9:$C206,"&lt;="&amp;RelFin),"")</f>
        <v/>
      </c>
    </row>
    <row r="207" spans="2:18" ht="18" customHeight="1" x14ac:dyDescent="0.25">
      <c r="B207" s="48">
        <f>IF(C207="","",COUNT($C$9:C207))</f>
        <v>199</v>
      </c>
      <c r="C207" s="49">
        <v>46568</v>
      </c>
      <c r="D207" s="50">
        <v>0.3125</v>
      </c>
      <c r="E207" s="51" t="s">
        <v>139</v>
      </c>
      <c r="F207" s="52" t="str">
        <f t="shared" si="12"/>
        <v>Service technique</v>
      </c>
      <c r="G207" s="51" t="s">
        <v>134</v>
      </c>
      <c r="H207" s="51" t="s">
        <v>151</v>
      </c>
      <c r="I207" s="51" t="s">
        <v>152</v>
      </c>
      <c r="J207" s="51" t="s">
        <v>8</v>
      </c>
      <c r="K207" s="53">
        <v>50512</v>
      </c>
      <c r="L207" s="53">
        <v>50564</v>
      </c>
      <c r="M207" s="54">
        <f t="shared" si="13"/>
        <v>52</v>
      </c>
      <c r="N207" s="55">
        <f t="shared" si="14"/>
        <v>0</v>
      </c>
      <c r="O207" s="56" t="str">
        <f t="shared" si="15"/>
        <v>Conforme</v>
      </c>
      <c r="P207" s="51"/>
      <c r="R207" s="57" t="str">
        <f>IF(AND($E207=RelConducteur,$J207="Professionnel",ISNUMBER($C207),$C207&gt;=RelDebut,$C207&lt;=RelFin),COUNTIFS($E$9:$E207,RelConducteur,$J$9:$J207,"Professionnel",$C$9:$C207,"&gt;="&amp;RelDebut,$C$9:$C207,"&lt;="&amp;RelFin),"")</f>
        <v/>
      </c>
    </row>
    <row r="208" spans="2:18" ht="18" customHeight="1" x14ac:dyDescent="0.25">
      <c r="B208" s="48">
        <f>IF(C208="","",COUNT($C$9:C208))</f>
        <v>200</v>
      </c>
      <c r="C208" s="49">
        <v>46568</v>
      </c>
      <c r="D208" s="50">
        <v>0.58333333333333337</v>
      </c>
      <c r="E208" s="51" t="s">
        <v>133</v>
      </c>
      <c r="F208" s="52" t="str">
        <f t="shared" si="12"/>
        <v>Service technique</v>
      </c>
      <c r="G208" s="51" t="s">
        <v>134</v>
      </c>
      <c r="H208" s="51" t="s">
        <v>165</v>
      </c>
      <c r="I208" s="51" t="s">
        <v>166</v>
      </c>
      <c r="J208" s="51" t="s">
        <v>8</v>
      </c>
      <c r="K208" s="53">
        <v>50564</v>
      </c>
      <c r="L208" s="53">
        <v>50633</v>
      </c>
      <c r="M208" s="54">
        <f t="shared" si="13"/>
        <v>69</v>
      </c>
      <c r="N208" s="55">
        <f t="shared" si="14"/>
        <v>0</v>
      </c>
      <c r="O208" s="56" t="str">
        <f t="shared" si="15"/>
        <v>Conforme</v>
      </c>
      <c r="P208" s="51"/>
      <c r="R208" s="57" t="str">
        <f>IF(AND($E208=RelConducteur,$J208="Professionnel",ISNUMBER($C208),$C208&gt;=RelDebut,$C208&lt;=RelFin),COUNTIFS($E$9:$E208,RelConducteur,$J$9:$J208,"Professionnel",$C$9:$C208,"&gt;="&amp;RelDebut,$C$9:$C208,"&lt;="&amp;RelFin),"")</f>
        <v/>
      </c>
    </row>
    <row r="209" spans="2:18" ht="18" customHeight="1" x14ac:dyDescent="0.25">
      <c r="B209" s="48">
        <f>IF(C209="","",COUNT($C$9:C209))</f>
        <v>201</v>
      </c>
      <c r="C209" s="49">
        <v>46569</v>
      </c>
      <c r="D209" s="50">
        <v>0.33333333333333331</v>
      </c>
      <c r="E209" s="51" t="s">
        <v>133</v>
      </c>
      <c r="F209" s="52" t="str">
        <f t="shared" si="12"/>
        <v>Service technique</v>
      </c>
      <c r="G209" s="51" t="s">
        <v>134</v>
      </c>
      <c r="H209" s="51" t="s">
        <v>137</v>
      </c>
      <c r="I209" s="51" t="s">
        <v>138</v>
      </c>
      <c r="J209" s="51" t="s">
        <v>8</v>
      </c>
      <c r="K209" s="53">
        <v>50633</v>
      </c>
      <c r="L209" s="53">
        <v>50698</v>
      </c>
      <c r="M209" s="54">
        <f t="shared" si="13"/>
        <v>65</v>
      </c>
      <c r="N209" s="55">
        <f t="shared" si="14"/>
        <v>0</v>
      </c>
      <c r="O209" s="56" t="str">
        <f t="shared" si="15"/>
        <v>Conforme</v>
      </c>
      <c r="P209" s="51"/>
      <c r="R209" s="57" t="str">
        <f>IF(AND($E209=RelConducteur,$J209="Professionnel",ISNUMBER($C209),$C209&gt;=RelDebut,$C209&lt;=RelFin),COUNTIFS($E$9:$E209,RelConducteur,$J$9:$J209,"Professionnel",$C$9:$C209,"&gt;="&amp;RelDebut,$C$9:$C209,"&lt;="&amp;RelFin),"")</f>
        <v/>
      </c>
    </row>
    <row r="210" spans="2:18" ht="18" customHeight="1" x14ac:dyDescent="0.25">
      <c r="B210" s="48">
        <f>IF(C210="","",COUNT($C$9:C210))</f>
        <v>202</v>
      </c>
      <c r="C210" s="49">
        <v>46570</v>
      </c>
      <c r="D210" s="50">
        <v>0.58333333333333337</v>
      </c>
      <c r="E210" s="51" t="s">
        <v>133</v>
      </c>
      <c r="F210" s="52" t="str">
        <f t="shared" si="12"/>
        <v>Service technique</v>
      </c>
      <c r="G210" s="51" t="s">
        <v>134</v>
      </c>
      <c r="H210" s="51" t="s">
        <v>135</v>
      </c>
      <c r="I210" s="51" t="s">
        <v>136</v>
      </c>
      <c r="J210" s="51" t="s">
        <v>8</v>
      </c>
      <c r="K210" s="53">
        <v>50698</v>
      </c>
      <c r="L210" s="53">
        <v>50788</v>
      </c>
      <c r="M210" s="54">
        <f t="shared" si="13"/>
        <v>90</v>
      </c>
      <c r="N210" s="55">
        <f t="shared" si="14"/>
        <v>0</v>
      </c>
      <c r="O210" s="56" t="str">
        <f t="shared" si="15"/>
        <v>Conforme</v>
      </c>
      <c r="P210" s="51"/>
      <c r="R210" s="57" t="str">
        <f>IF(AND($E210=RelConducteur,$J210="Professionnel",ISNUMBER($C210),$C210&gt;=RelDebut,$C210&lt;=RelFin),COUNTIFS($E$9:$E210,RelConducteur,$J$9:$J210,"Professionnel",$C$9:$C210,"&gt;="&amp;RelDebut,$C$9:$C210,"&lt;="&amp;RelFin),"")</f>
        <v/>
      </c>
    </row>
    <row r="211" spans="2:18" ht="18" customHeight="1" x14ac:dyDescent="0.25">
      <c r="B211" s="48">
        <f>IF(C211="","",COUNT($C$9:C211))</f>
        <v>203</v>
      </c>
      <c r="C211" s="49">
        <v>46573</v>
      </c>
      <c r="D211" s="50">
        <v>0.35416666666666669</v>
      </c>
      <c r="E211" s="51" t="s">
        <v>133</v>
      </c>
      <c r="F211" s="52" t="str">
        <f t="shared" si="12"/>
        <v>Service technique</v>
      </c>
      <c r="G211" s="51" t="s">
        <v>134</v>
      </c>
      <c r="H211" s="51" t="s">
        <v>161</v>
      </c>
      <c r="I211" s="51" t="s">
        <v>162</v>
      </c>
      <c r="J211" s="51" t="s">
        <v>8</v>
      </c>
      <c r="K211" s="53">
        <v>50788</v>
      </c>
      <c r="L211" s="53">
        <v>50812</v>
      </c>
      <c r="M211" s="54">
        <f t="shared" si="13"/>
        <v>24</v>
      </c>
      <c r="N211" s="55">
        <f t="shared" si="14"/>
        <v>0</v>
      </c>
      <c r="O211" s="56" t="str">
        <f t="shared" si="15"/>
        <v>Conforme</v>
      </c>
      <c r="P211" s="51"/>
      <c r="R211" s="57" t="str">
        <f>IF(AND($E211=RelConducteur,$J211="Professionnel",ISNUMBER($C211),$C211&gt;=RelDebut,$C211&lt;=RelFin),COUNTIFS($E$9:$E211,RelConducteur,$J$9:$J211,"Professionnel",$C$9:$C211,"&gt;="&amp;RelDebut,$C$9:$C211,"&lt;="&amp;RelFin),"")</f>
        <v/>
      </c>
    </row>
    <row r="212" spans="2:18" ht="18" customHeight="1" x14ac:dyDescent="0.25">
      <c r="B212" s="48">
        <f>IF(C212="","",COUNT($C$9:C212))</f>
        <v>204</v>
      </c>
      <c r="C212" s="49">
        <v>46573</v>
      </c>
      <c r="D212" s="50">
        <v>0.75</v>
      </c>
      <c r="E212" s="51" t="s">
        <v>139</v>
      </c>
      <c r="F212" s="52" t="str">
        <f t="shared" si="12"/>
        <v>Service technique</v>
      </c>
      <c r="G212" s="51" t="s">
        <v>134</v>
      </c>
      <c r="H212" s="51" t="s">
        <v>155</v>
      </c>
      <c r="I212" s="51" t="s">
        <v>156</v>
      </c>
      <c r="J212" s="51" t="s">
        <v>9</v>
      </c>
      <c r="K212" s="53">
        <v>50812</v>
      </c>
      <c r="L212" s="53">
        <v>50836</v>
      </c>
      <c r="M212" s="54">
        <f t="shared" si="13"/>
        <v>24</v>
      </c>
      <c r="N212" s="55">
        <f t="shared" si="14"/>
        <v>0</v>
      </c>
      <c r="O212" s="56" t="str">
        <f t="shared" si="15"/>
        <v>Conforme</v>
      </c>
      <c r="P212" s="51"/>
      <c r="R212" s="57" t="str">
        <f>IF(AND($E212=RelConducteur,$J212="Professionnel",ISNUMBER($C212),$C212&gt;=RelDebut,$C212&lt;=RelFin),COUNTIFS($E$9:$E212,RelConducteur,$J$9:$J212,"Professionnel",$C$9:$C212,"&gt;="&amp;RelDebut,$C$9:$C212,"&lt;="&amp;RelFin),"")</f>
        <v/>
      </c>
    </row>
    <row r="213" spans="2:18" ht="18" customHeight="1" x14ac:dyDescent="0.25">
      <c r="B213" s="48">
        <f>IF(C213="","",COUNT($C$9:C213))</f>
        <v>205</v>
      </c>
      <c r="C213" s="49">
        <v>46574</v>
      </c>
      <c r="D213" s="50">
        <v>0.75</v>
      </c>
      <c r="E213" s="51" t="s">
        <v>139</v>
      </c>
      <c r="F213" s="52" t="str">
        <f t="shared" si="12"/>
        <v>Service technique</v>
      </c>
      <c r="G213" s="51" t="s">
        <v>134</v>
      </c>
      <c r="H213" s="51" t="s">
        <v>155</v>
      </c>
      <c r="I213" s="51" t="s">
        <v>156</v>
      </c>
      <c r="J213" s="51" t="s">
        <v>9</v>
      </c>
      <c r="K213" s="53">
        <v>50836</v>
      </c>
      <c r="L213" s="53">
        <v>50860</v>
      </c>
      <c r="M213" s="54">
        <f t="shared" si="13"/>
        <v>24</v>
      </c>
      <c r="N213" s="55">
        <f t="shared" si="14"/>
        <v>0</v>
      </c>
      <c r="O213" s="56" t="str">
        <f t="shared" si="15"/>
        <v>Conforme</v>
      </c>
      <c r="P213" s="51"/>
      <c r="R213" s="57" t="str">
        <f>IF(AND($E213=RelConducteur,$J213="Professionnel",ISNUMBER($C213),$C213&gt;=RelDebut,$C213&lt;=RelFin),COUNTIFS($E$9:$E213,RelConducteur,$J$9:$J213,"Professionnel",$C$9:$C213,"&gt;="&amp;RelDebut,$C$9:$C213,"&lt;="&amp;RelFin),"")</f>
        <v/>
      </c>
    </row>
    <row r="214" spans="2:18" ht="18" customHeight="1" x14ac:dyDescent="0.25">
      <c r="B214" s="48">
        <f>IF(C214="","",COUNT($C$9:C214))</f>
        <v>206</v>
      </c>
      <c r="C214" s="49">
        <v>46575</v>
      </c>
      <c r="D214" s="50">
        <v>0.3125</v>
      </c>
      <c r="E214" s="51" t="s">
        <v>133</v>
      </c>
      <c r="F214" s="52" t="str">
        <f t="shared" si="12"/>
        <v>Service technique</v>
      </c>
      <c r="G214" s="51" t="s">
        <v>134</v>
      </c>
      <c r="H214" s="51" t="s">
        <v>151</v>
      </c>
      <c r="I214" s="51" t="s">
        <v>152</v>
      </c>
      <c r="J214" s="51" t="s">
        <v>8</v>
      </c>
      <c r="K214" s="53">
        <v>50860</v>
      </c>
      <c r="L214" s="53">
        <v>50916</v>
      </c>
      <c r="M214" s="54">
        <f t="shared" si="13"/>
        <v>56</v>
      </c>
      <c r="N214" s="55">
        <f t="shared" si="14"/>
        <v>0</v>
      </c>
      <c r="O214" s="56" t="str">
        <f t="shared" si="15"/>
        <v>Conforme</v>
      </c>
      <c r="P214" s="51"/>
      <c r="R214" s="57" t="str">
        <f>IF(AND($E214=RelConducteur,$J214="Professionnel",ISNUMBER($C214),$C214&gt;=RelDebut,$C214&lt;=RelFin),COUNTIFS($E$9:$E214,RelConducteur,$J$9:$J214,"Professionnel",$C$9:$C214,"&gt;="&amp;RelDebut,$C$9:$C214,"&lt;="&amp;RelFin),"")</f>
        <v/>
      </c>
    </row>
    <row r="215" spans="2:18" ht="18" customHeight="1" x14ac:dyDescent="0.25">
      <c r="B215" s="48">
        <f>IF(C215="","",COUNT($C$9:C215))</f>
        <v>207</v>
      </c>
      <c r="C215" s="49">
        <v>46575</v>
      </c>
      <c r="D215" s="50">
        <v>0.4375</v>
      </c>
      <c r="E215" s="51" t="s">
        <v>148</v>
      </c>
      <c r="F215" s="52" t="str">
        <f t="shared" si="12"/>
        <v>Service commercial</v>
      </c>
      <c r="G215" s="51" t="s">
        <v>134</v>
      </c>
      <c r="H215" s="51" t="s">
        <v>171</v>
      </c>
      <c r="I215" s="51" t="s">
        <v>172</v>
      </c>
      <c r="J215" s="51" t="s">
        <v>8</v>
      </c>
      <c r="K215" s="53">
        <v>50916</v>
      </c>
      <c r="L215" s="53">
        <v>50932</v>
      </c>
      <c r="M215" s="54">
        <f t="shared" si="13"/>
        <v>16</v>
      </c>
      <c r="N215" s="55">
        <f t="shared" si="14"/>
        <v>0</v>
      </c>
      <c r="O215" s="56" t="str">
        <f t="shared" si="15"/>
        <v>Conforme</v>
      </c>
      <c r="P215" s="51"/>
      <c r="R215" s="57" t="str">
        <f>IF(AND($E215=RelConducteur,$J215="Professionnel",ISNUMBER($C215),$C215&gt;=RelDebut,$C215&lt;=RelFin),COUNTIFS($E$9:$E215,RelConducteur,$J$9:$J215,"Professionnel",$C$9:$C215,"&gt;="&amp;RelDebut,$C$9:$C215,"&lt;="&amp;RelFin),"")</f>
        <v/>
      </c>
    </row>
    <row r="216" spans="2:18" ht="18" customHeight="1" x14ac:dyDescent="0.25">
      <c r="B216" s="48">
        <f>IF(C216="","",COUNT($C$9:C216))</f>
        <v>208</v>
      </c>
      <c r="C216" s="49">
        <v>46575</v>
      </c>
      <c r="D216" s="50">
        <v>0.75</v>
      </c>
      <c r="E216" s="51" t="s">
        <v>139</v>
      </c>
      <c r="F216" s="52" t="str">
        <f t="shared" si="12"/>
        <v>Service technique</v>
      </c>
      <c r="G216" s="51" t="s">
        <v>134</v>
      </c>
      <c r="H216" s="51" t="s">
        <v>155</v>
      </c>
      <c r="I216" s="51" t="s">
        <v>156</v>
      </c>
      <c r="J216" s="51" t="s">
        <v>9</v>
      </c>
      <c r="K216" s="53">
        <v>50932</v>
      </c>
      <c r="L216" s="53">
        <v>50956</v>
      </c>
      <c r="M216" s="54">
        <f t="shared" si="13"/>
        <v>24</v>
      </c>
      <c r="N216" s="55">
        <f t="shared" si="14"/>
        <v>0</v>
      </c>
      <c r="O216" s="56" t="str">
        <f t="shared" si="15"/>
        <v>Conforme</v>
      </c>
      <c r="P216" s="51"/>
      <c r="R216" s="57" t="str">
        <f>IF(AND($E216=RelConducteur,$J216="Professionnel",ISNUMBER($C216),$C216&gt;=RelDebut,$C216&lt;=RelFin),COUNTIFS($E$9:$E216,RelConducteur,$J$9:$J216,"Professionnel",$C$9:$C216,"&gt;="&amp;RelDebut,$C$9:$C216,"&lt;="&amp;RelFin),"")</f>
        <v/>
      </c>
    </row>
    <row r="217" spans="2:18" ht="18" customHeight="1" x14ac:dyDescent="0.25">
      <c r="B217" s="48">
        <f>IF(C217="","",COUNT($C$9:C217))</f>
        <v>209</v>
      </c>
      <c r="C217" s="49">
        <v>46576</v>
      </c>
      <c r="D217" s="50">
        <v>0.35416666666666669</v>
      </c>
      <c r="E217" s="51" t="s">
        <v>139</v>
      </c>
      <c r="F217" s="52" t="str">
        <f t="shared" si="12"/>
        <v>Service technique</v>
      </c>
      <c r="G217" s="51" t="s">
        <v>134</v>
      </c>
      <c r="H217" s="51" t="s">
        <v>137</v>
      </c>
      <c r="I217" s="51" t="s">
        <v>138</v>
      </c>
      <c r="J217" s="51" t="s">
        <v>8</v>
      </c>
      <c r="K217" s="53">
        <v>50956</v>
      </c>
      <c r="L217" s="53">
        <v>51018</v>
      </c>
      <c r="M217" s="54">
        <f t="shared" si="13"/>
        <v>62</v>
      </c>
      <c r="N217" s="55">
        <f t="shared" si="14"/>
        <v>0</v>
      </c>
      <c r="O217" s="56" t="str">
        <f t="shared" si="15"/>
        <v>Conforme</v>
      </c>
      <c r="P217" s="51"/>
      <c r="R217" s="57" t="str">
        <f>IF(AND($E217=RelConducteur,$J217="Professionnel",ISNUMBER($C217),$C217&gt;=RelDebut,$C217&lt;=RelFin),COUNTIFS($E$9:$E217,RelConducteur,$J$9:$J217,"Professionnel",$C$9:$C217,"&gt;="&amp;RelDebut,$C$9:$C217,"&lt;="&amp;RelFin),"")</f>
        <v/>
      </c>
    </row>
    <row r="218" spans="2:18" ht="18" customHeight="1" x14ac:dyDescent="0.25">
      <c r="B218" s="48">
        <f>IF(C218="","",COUNT($C$9:C218))</f>
        <v>210</v>
      </c>
      <c r="C218" s="49">
        <v>46576</v>
      </c>
      <c r="D218" s="50">
        <v>0.41666666666666669</v>
      </c>
      <c r="E218" s="51" t="s">
        <v>148</v>
      </c>
      <c r="F218" s="52" t="str">
        <f t="shared" si="12"/>
        <v>Service commercial</v>
      </c>
      <c r="G218" s="51" t="s">
        <v>134</v>
      </c>
      <c r="H218" s="51" t="s">
        <v>157</v>
      </c>
      <c r="I218" s="51" t="s">
        <v>158</v>
      </c>
      <c r="J218" s="51" t="s">
        <v>8</v>
      </c>
      <c r="K218" s="53">
        <v>51018</v>
      </c>
      <c r="L218" s="53">
        <v>51233</v>
      </c>
      <c r="M218" s="54">
        <f t="shared" si="13"/>
        <v>215</v>
      </c>
      <c r="N218" s="55">
        <f t="shared" si="14"/>
        <v>0</v>
      </c>
      <c r="O218" s="56" t="str">
        <f t="shared" si="15"/>
        <v>Conforme</v>
      </c>
      <c r="P218" s="51"/>
      <c r="R218" s="57" t="str">
        <f>IF(AND($E218=RelConducteur,$J218="Professionnel",ISNUMBER($C218),$C218&gt;=RelDebut,$C218&lt;=RelFin),COUNTIFS($E$9:$E218,RelConducteur,$J$9:$J218,"Professionnel",$C$9:$C218,"&gt;="&amp;RelDebut,$C$9:$C218,"&lt;="&amp;RelFin),"")</f>
        <v/>
      </c>
    </row>
    <row r="219" spans="2:18" ht="18" customHeight="1" x14ac:dyDescent="0.25">
      <c r="B219" s="48">
        <f>IF(C219="","",COUNT($C$9:C219))</f>
        <v>211</v>
      </c>
      <c r="C219" s="49">
        <v>46576</v>
      </c>
      <c r="D219" s="50">
        <v>0.75</v>
      </c>
      <c r="E219" s="51" t="s">
        <v>139</v>
      </c>
      <c r="F219" s="52" t="str">
        <f t="shared" si="12"/>
        <v>Service technique</v>
      </c>
      <c r="G219" s="51" t="s">
        <v>134</v>
      </c>
      <c r="H219" s="51" t="s">
        <v>155</v>
      </c>
      <c r="I219" s="51" t="s">
        <v>156</v>
      </c>
      <c r="J219" s="51" t="s">
        <v>9</v>
      </c>
      <c r="K219" s="53">
        <v>51233</v>
      </c>
      <c r="L219" s="53">
        <v>51257</v>
      </c>
      <c r="M219" s="54">
        <f t="shared" si="13"/>
        <v>24</v>
      </c>
      <c r="N219" s="55">
        <f t="shared" si="14"/>
        <v>0</v>
      </c>
      <c r="O219" s="56" t="str">
        <f t="shared" si="15"/>
        <v>Conforme</v>
      </c>
      <c r="P219" s="51"/>
      <c r="R219" s="57" t="str">
        <f>IF(AND($E219=RelConducteur,$J219="Professionnel",ISNUMBER($C219),$C219&gt;=RelDebut,$C219&lt;=RelFin),COUNTIFS($E$9:$E219,RelConducteur,$J$9:$J219,"Professionnel",$C$9:$C219,"&gt;="&amp;RelDebut,$C$9:$C219,"&lt;="&amp;RelFin),"")</f>
        <v/>
      </c>
    </row>
    <row r="220" spans="2:18" ht="18" customHeight="1" x14ac:dyDescent="0.25">
      <c r="B220" s="48">
        <f>IF(C220="","",COUNT($C$9:C220))</f>
        <v>212</v>
      </c>
      <c r="C220" s="49">
        <v>46577</v>
      </c>
      <c r="D220" s="50">
        <v>0.33333333333333331</v>
      </c>
      <c r="E220" s="51" t="s">
        <v>133</v>
      </c>
      <c r="F220" s="52" t="str">
        <f t="shared" si="12"/>
        <v>Service technique</v>
      </c>
      <c r="G220" s="51" t="s">
        <v>134</v>
      </c>
      <c r="H220" s="51" t="s">
        <v>140</v>
      </c>
      <c r="I220" s="51" t="s">
        <v>141</v>
      </c>
      <c r="J220" s="51" t="s">
        <v>8</v>
      </c>
      <c r="K220" s="53">
        <v>51257</v>
      </c>
      <c r="L220" s="53">
        <v>51282</v>
      </c>
      <c r="M220" s="54">
        <f t="shared" si="13"/>
        <v>25</v>
      </c>
      <c r="N220" s="55">
        <f t="shared" si="14"/>
        <v>0</v>
      </c>
      <c r="O220" s="56" t="str">
        <f t="shared" si="15"/>
        <v>Conforme</v>
      </c>
      <c r="P220" s="51"/>
      <c r="R220" s="57" t="str">
        <f>IF(AND($E220=RelConducteur,$J220="Professionnel",ISNUMBER($C220),$C220&gt;=RelDebut,$C220&lt;=RelFin),COUNTIFS($E$9:$E220,RelConducteur,$J$9:$J220,"Professionnel",$C$9:$C220,"&gt;="&amp;RelDebut,$C$9:$C220,"&lt;="&amp;RelFin),"")</f>
        <v/>
      </c>
    </row>
    <row r="221" spans="2:18" ht="18" customHeight="1" x14ac:dyDescent="0.25">
      <c r="B221" s="48">
        <f>IF(C221="","",COUNT($C$9:C221))</f>
        <v>213</v>
      </c>
      <c r="C221" s="49">
        <v>46581</v>
      </c>
      <c r="D221" s="50">
        <v>0.33333333333333331</v>
      </c>
      <c r="E221" s="51" t="s">
        <v>133</v>
      </c>
      <c r="F221" s="52" t="str">
        <f t="shared" si="12"/>
        <v>Service technique</v>
      </c>
      <c r="G221" s="51" t="s">
        <v>134</v>
      </c>
      <c r="H221" s="51" t="s">
        <v>140</v>
      </c>
      <c r="I221" s="51" t="s">
        <v>141</v>
      </c>
      <c r="J221" s="51" t="s">
        <v>8</v>
      </c>
      <c r="K221" s="53">
        <v>51282</v>
      </c>
      <c r="L221" s="53">
        <v>51306</v>
      </c>
      <c r="M221" s="54">
        <f t="shared" si="13"/>
        <v>24</v>
      </c>
      <c r="N221" s="55">
        <f t="shared" si="14"/>
        <v>0</v>
      </c>
      <c r="O221" s="56" t="str">
        <f t="shared" si="15"/>
        <v>Conforme</v>
      </c>
      <c r="P221" s="51"/>
      <c r="R221" s="57" t="str">
        <f>IF(AND($E221=RelConducteur,$J221="Professionnel",ISNUMBER($C221),$C221&gt;=RelDebut,$C221&lt;=RelFin),COUNTIFS($E$9:$E221,RelConducteur,$J$9:$J221,"Professionnel",$C$9:$C221,"&gt;="&amp;RelDebut,$C$9:$C221,"&lt;="&amp;RelFin),"")</f>
        <v/>
      </c>
    </row>
    <row r="222" spans="2:18" ht="18" customHeight="1" x14ac:dyDescent="0.25">
      <c r="B222" s="48">
        <f>IF(C222="","",COUNT($C$9:C222))</f>
        <v>214</v>
      </c>
      <c r="C222" s="49">
        <v>46581</v>
      </c>
      <c r="D222" s="50">
        <v>0.41666666666666669</v>
      </c>
      <c r="E222" s="51" t="s">
        <v>148</v>
      </c>
      <c r="F222" s="52" t="str">
        <f t="shared" si="12"/>
        <v>Service commercial</v>
      </c>
      <c r="G222" s="51" t="s">
        <v>134</v>
      </c>
      <c r="H222" s="51" t="s">
        <v>171</v>
      </c>
      <c r="I222" s="51" t="s">
        <v>172</v>
      </c>
      <c r="J222" s="51" t="s">
        <v>8</v>
      </c>
      <c r="K222" s="53">
        <v>51306</v>
      </c>
      <c r="L222" s="53">
        <v>51325</v>
      </c>
      <c r="M222" s="54">
        <f t="shared" si="13"/>
        <v>19</v>
      </c>
      <c r="N222" s="55">
        <f t="shared" si="14"/>
        <v>0</v>
      </c>
      <c r="O222" s="56" t="str">
        <f t="shared" si="15"/>
        <v>Conforme</v>
      </c>
      <c r="P222" s="51"/>
      <c r="R222" s="57" t="str">
        <f>IF(AND($E222=RelConducteur,$J222="Professionnel",ISNUMBER($C222),$C222&gt;=RelDebut,$C222&lt;=RelFin),COUNTIFS($E$9:$E222,RelConducteur,$J$9:$J222,"Professionnel",$C$9:$C222,"&gt;="&amp;RelDebut,$C$9:$C222,"&lt;="&amp;RelFin),"")</f>
        <v/>
      </c>
    </row>
    <row r="223" spans="2:18" ht="18" customHeight="1" x14ac:dyDescent="0.25">
      <c r="B223" s="48">
        <f>IF(C223="","",COUNT($C$9:C223))</f>
        <v>215</v>
      </c>
      <c r="C223" s="49">
        <v>46583</v>
      </c>
      <c r="D223" s="50">
        <v>0.33333333333333331</v>
      </c>
      <c r="E223" s="51" t="s">
        <v>133</v>
      </c>
      <c r="F223" s="52" t="str">
        <f t="shared" si="12"/>
        <v>Service technique</v>
      </c>
      <c r="G223" s="51" t="s">
        <v>134</v>
      </c>
      <c r="H223" s="51" t="s">
        <v>161</v>
      </c>
      <c r="I223" s="51" t="s">
        <v>162</v>
      </c>
      <c r="J223" s="51" t="s">
        <v>8</v>
      </c>
      <c r="K223" s="53">
        <v>51325</v>
      </c>
      <c r="L223" s="53">
        <v>51354</v>
      </c>
      <c r="M223" s="54">
        <f t="shared" si="13"/>
        <v>29</v>
      </c>
      <c r="N223" s="55">
        <f t="shared" si="14"/>
        <v>0</v>
      </c>
      <c r="O223" s="56" t="str">
        <f t="shared" si="15"/>
        <v>Conforme</v>
      </c>
      <c r="P223" s="51"/>
      <c r="R223" s="57" t="str">
        <f>IF(AND($E223=RelConducteur,$J223="Professionnel",ISNUMBER($C223),$C223&gt;=RelDebut,$C223&lt;=RelFin),COUNTIFS($E$9:$E223,RelConducteur,$J$9:$J223,"Professionnel",$C$9:$C223,"&gt;="&amp;RelDebut,$C$9:$C223,"&lt;="&amp;RelFin),"")</f>
        <v/>
      </c>
    </row>
    <row r="224" spans="2:18" ht="18" customHeight="1" x14ac:dyDescent="0.25">
      <c r="B224" s="48">
        <f>IF(C224="","",COUNT($C$9:C224))</f>
        <v>216</v>
      </c>
      <c r="C224" s="49">
        <v>46584</v>
      </c>
      <c r="D224" s="50">
        <v>0.4375</v>
      </c>
      <c r="E224" s="51" t="s">
        <v>148</v>
      </c>
      <c r="F224" s="52" t="str">
        <f t="shared" si="12"/>
        <v>Service commercial</v>
      </c>
      <c r="G224" s="51" t="s">
        <v>134</v>
      </c>
      <c r="H224" s="51" t="s">
        <v>167</v>
      </c>
      <c r="I224" s="51" t="s">
        <v>168</v>
      </c>
      <c r="J224" s="51" t="s">
        <v>8</v>
      </c>
      <c r="K224" s="53">
        <v>51354</v>
      </c>
      <c r="L224" s="53">
        <v>51373</v>
      </c>
      <c r="M224" s="54">
        <f t="shared" si="13"/>
        <v>19</v>
      </c>
      <c r="N224" s="55">
        <f t="shared" si="14"/>
        <v>0</v>
      </c>
      <c r="O224" s="56" t="str">
        <f t="shared" si="15"/>
        <v>Conforme</v>
      </c>
      <c r="P224" s="51"/>
      <c r="R224" s="57" t="str">
        <f>IF(AND($E224=RelConducteur,$J224="Professionnel",ISNUMBER($C224),$C224&gt;=RelDebut,$C224&lt;=RelFin),COUNTIFS($E$9:$E224,RelConducteur,$J$9:$J224,"Professionnel",$C$9:$C224,"&gt;="&amp;RelDebut,$C$9:$C224,"&lt;="&amp;RelFin),"")</f>
        <v/>
      </c>
    </row>
    <row r="225" spans="2:18" ht="18" customHeight="1" x14ac:dyDescent="0.25">
      <c r="B225" s="48">
        <f>IF(C225="","",COUNT($C$9:C225))</f>
        <v>217</v>
      </c>
      <c r="C225" s="49">
        <v>46584</v>
      </c>
      <c r="D225" s="50">
        <v>0.60416666666666663</v>
      </c>
      <c r="E225" s="51" t="s">
        <v>133</v>
      </c>
      <c r="F225" s="52" t="str">
        <f t="shared" si="12"/>
        <v>Service technique</v>
      </c>
      <c r="G225" s="51" t="s">
        <v>134</v>
      </c>
      <c r="H225" s="51" t="s">
        <v>144</v>
      </c>
      <c r="I225" s="51" t="s">
        <v>145</v>
      </c>
      <c r="J225" s="51" t="s">
        <v>8</v>
      </c>
      <c r="K225" s="53">
        <v>51373</v>
      </c>
      <c r="L225" s="53">
        <v>51402</v>
      </c>
      <c r="M225" s="54">
        <f t="shared" si="13"/>
        <v>29</v>
      </c>
      <c r="N225" s="55">
        <f t="shared" si="14"/>
        <v>0</v>
      </c>
      <c r="O225" s="56" t="str">
        <f t="shared" si="15"/>
        <v>Conforme</v>
      </c>
      <c r="P225" s="51"/>
      <c r="R225" s="57" t="str">
        <f>IF(AND($E225=RelConducteur,$J225="Professionnel",ISNUMBER($C225),$C225&gt;=RelDebut,$C225&lt;=RelFin),COUNTIFS($E$9:$E225,RelConducteur,$J$9:$J225,"Professionnel",$C$9:$C225,"&gt;="&amp;RelDebut,$C$9:$C225,"&lt;="&amp;RelFin),"")</f>
        <v/>
      </c>
    </row>
    <row r="226" spans="2:18" ht="18" customHeight="1" x14ac:dyDescent="0.25">
      <c r="B226" s="48">
        <f>IF(C226="","",COUNT($C$9:C226))</f>
        <v>218</v>
      </c>
      <c r="C226" s="49">
        <v>46587</v>
      </c>
      <c r="D226" s="50">
        <v>0.3125</v>
      </c>
      <c r="E226" s="51" t="s">
        <v>133</v>
      </c>
      <c r="F226" s="52" t="str">
        <f t="shared" si="12"/>
        <v>Service technique</v>
      </c>
      <c r="G226" s="51" t="s">
        <v>134</v>
      </c>
      <c r="H226" s="51" t="s">
        <v>151</v>
      </c>
      <c r="I226" s="51" t="s">
        <v>152</v>
      </c>
      <c r="J226" s="51" t="s">
        <v>8</v>
      </c>
      <c r="K226" s="53">
        <v>51402</v>
      </c>
      <c r="L226" s="53">
        <v>51457</v>
      </c>
      <c r="M226" s="54">
        <f t="shared" si="13"/>
        <v>55</v>
      </c>
      <c r="N226" s="55">
        <f t="shared" si="14"/>
        <v>0</v>
      </c>
      <c r="O226" s="56" t="str">
        <f t="shared" si="15"/>
        <v>Conforme</v>
      </c>
      <c r="P226" s="51"/>
      <c r="R226" s="57" t="str">
        <f>IF(AND($E226=RelConducteur,$J226="Professionnel",ISNUMBER($C226),$C226&gt;=RelDebut,$C226&lt;=RelFin),COUNTIFS($E$9:$E226,RelConducteur,$J$9:$J226,"Professionnel",$C$9:$C226,"&gt;="&amp;RelDebut,$C$9:$C226,"&lt;="&amp;RelFin),"")</f>
        <v/>
      </c>
    </row>
    <row r="227" spans="2:18" ht="18" customHeight="1" x14ac:dyDescent="0.25">
      <c r="B227" s="48">
        <f>IF(C227="","",COUNT($C$9:C227))</f>
        <v>219</v>
      </c>
      <c r="C227" s="49">
        <v>46588</v>
      </c>
      <c r="D227" s="50">
        <v>0.35416666666666669</v>
      </c>
      <c r="E227" s="51" t="s">
        <v>139</v>
      </c>
      <c r="F227" s="52" t="str">
        <f t="shared" si="12"/>
        <v>Service technique</v>
      </c>
      <c r="G227" s="51" t="s">
        <v>134</v>
      </c>
      <c r="H227" s="51" t="s">
        <v>163</v>
      </c>
      <c r="I227" s="51" t="s">
        <v>164</v>
      </c>
      <c r="J227" s="51" t="s">
        <v>8</v>
      </c>
      <c r="K227" s="53">
        <v>51457</v>
      </c>
      <c r="L227" s="53">
        <v>51485</v>
      </c>
      <c r="M227" s="54">
        <f t="shared" si="13"/>
        <v>28</v>
      </c>
      <c r="N227" s="55">
        <f t="shared" si="14"/>
        <v>0</v>
      </c>
      <c r="O227" s="56" t="str">
        <f t="shared" si="15"/>
        <v>Conforme</v>
      </c>
      <c r="P227" s="51"/>
      <c r="R227" s="57" t="str">
        <f>IF(AND($E227=RelConducteur,$J227="Professionnel",ISNUMBER($C227),$C227&gt;=RelDebut,$C227&lt;=RelFin),COUNTIFS($E$9:$E227,RelConducteur,$J$9:$J227,"Professionnel",$C$9:$C227,"&gt;="&amp;RelDebut,$C$9:$C227,"&lt;="&amp;RelFin),"")</f>
        <v/>
      </c>
    </row>
    <row r="228" spans="2:18" ht="18" customHeight="1" x14ac:dyDescent="0.25">
      <c r="B228" s="48">
        <f>IF(C228="","",COUNT($C$9:C228))</f>
        <v>220</v>
      </c>
      <c r="C228" s="49">
        <v>46588</v>
      </c>
      <c r="D228" s="50">
        <v>0.41666666666666669</v>
      </c>
      <c r="E228" s="51" t="s">
        <v>148</v>
      </c>
      <c r="F228" s="52" t="str">
        <f t="shared" si="12"/>
        <v>Service commercial</v>
      </c>
      <c r="G228" s="51" t="s">
        <v>134</v>
      </c>
      <c r="H228" s="51" t="s">
        <v>157</v>
      </c>
      <c r="I228" s="51" t="s">
        <v>158</v>
      </c>
      <c r="J228" s="51" t="s">
        <v>8</v>
      </c>
      <c r="K228" s="53">
        <v>51485</v>
      </c>
      <c r="L228" s="53">
        <v>51698</v>
      </c>
      <c r="M228" s="54">
        <f t="shared" si="13"/>
        <v>213</v>
      </c>
      <c r="N228" s="55">
        <f t="shared" si="14"/>
        <v>0</v>
      </c>
      <c r="O228" s="56" t="str">
        <f t="shared" si="15"/>
        <v>Conforme</v>
      </c>
      <c r="P228" s="51"/>
      <c r="R228" s="57" t="str">
        <f>IF(AND($E228=RelConducteur,$J228="Professionnel",ISNUMBER($C228),$C228&gt;=RelDebut,$C228&lt;=RelFin),COUNTIFS($E$9:$E228,RelConducteur,$J$9:$J228,"Professionnel",$C$9:$C228,"&gt;="&amp;RelDebut,$C$9:$C228,"&lt;="&amp;RelFin),"")</f>
        <v/>
      </c>
    </row>
    <row r="229" spans="2:18" ht="18" customHeight="1" x14ac:dyDescent="0.25">
      <c r="B229" s="48">
        <f>IF(C229="","",COUNT($C$9:C229))</f>
        <v>221</v>
      </c>
      <c r="C229" s="49">
        <v>46589</v>
      </c>
      <c r="D229" s="50">
        <v>0.33333333333333331</v>
      </c>
      <c r="E229" s="51" t="s">
        <v>133</v>
      </c>
      <c r="F229" s="52" t="str">
        <f t="shared" si="12"/>
        <v>Service technique</v>
      </c>
      <c r="G229" s="51" t="s">
        <v>134</v>
      </c>
      <c r="H229" s="51" t="s">
        <v>144</v>
      </c>
      <c r="I229" s="51" t="s">
        <v>145</v>
      </c>
      <c r="J229" s="51" t="s">
        <v>8</v>
      </c>
      <c r="K229" s="53">
        <v>51698</v>
      </c>
      <c r="L229" s="53">
        <v>51730</v>
      </c>
      <c r="M229" s="54">
        <f t="shared" si="13"/>
        <v>32</v>
      </c>
      <c r="N229" s="55">
        <f t="shared" si="14"/>
        <v>0</v>
      </c>
      <c r="O229" s="56" t="str">
        <f t="shared" si="15"/>
        <v>Conforme</v>
      </c>
      <c r="P229" s="51"/>
      <c r="R229" s="57" t="str">
        <f>IF(AND($E229=RelConducteur,$J229="Professionnel",ISNUMBER($C229),$C229&gt;=RelDebut,$C229&lt;=RelFin),COUNTIFS($E$9:$E229,RelConducteur,$J$9:$J229,"Professionnel",$C$9:$C229,"&gt;="&amp;RelDebut,$C$9:$C229,"&lt;="&amp;RelFin),"")</f>
        <v/>
      </c>
    </row>
    <row r="230" spans="2:18" ht="18" customHeight="1" x14ac:dyDescent="0.25">
      <c r="B230" s="48">
        <f>IF(C230="","",COUNT($C$9:C230))</f>
        <v>222</v>
      </c>
      <c r="C230" s="49">
        <v>46590</v>
      </c>
      <c r="D230" s="50">
        <v>0.3125</v>
      </c>
      <c r="E230" s="51" t="s">
        <v>139</v>
      </c>
      <c r="F230" s="52" t="str">
        <f t="shared" si="12"/>
        <v>Service technique</v>
      </c>
      <c r="G230" s="51" t="s">
        <v>134</v>
      </c>
      <c r="H230" s="51" t="s">
        <v>144</v>
      </c>
      <c r="I230" s="51" t="s">
        <v>145</v>
      </c>
      <c r="J230" s="51" t="s">
        <v>8</v>
      </c>
      <c r="K230" s="53">
        <v>51730</v>
      </c>
      <c r="L230" s="53">
        <v>51759</v>
      </c>
      <c r="M230" s="54">
        <f t="shared" si="13"/>
        <v>29</v>
      </c>
      <c r="N230" s="55">
        <f t="shared" si="14"/>
        <v>0</v>
      </c>
      <c r="O230" s="56" t="str">
        <f t="shared" si="15"/>
        <v>Conforme</v>
      </c>
      <c r="P230" s="51"/>
      <c r="R230" s="57" t="str">
        <f>IF(AND($E230=RelConducteur,$J230="Professionnel",ISNUMBER($C230),$C230&gt;=RelDebut,$C230&lt;=RelFin),COUNTIFS($E$9:$E230,RelConducteur,$J$9:$J230,"Professionnel",$C$9:$C230,"&gt;="&amp;RelDebut,$C$9:$C230,"&lt;="&amp;RelFin),"")</f>
        <v/>
      </c>
    </row>
    <row r="231" spans="2:18" ht="18" customHeight="1" x14ac:dyDescent="0.25">
      <c r="B231" s="48">
        <f>IF(C231="","",COUNT($C$9:C231))</f>
        <v>223</v>
      </c>
      <c r="C231" s="49">
        <v>46591</v>
      </c>
      <c r="D231" s="50">
        <v>0.35416666666666669</v>
      </c>
      <c r="E231" s="51" t="s">
        <v>133</v>
      </c>
      <c r="F231" s="52" t="str">
        <f t="shared" si="12"/>
        <v>Service technique</v>
      </c>
      <c r="G231" s="51" t="s">
        <v>134</v>
      </c>
      <c r="H231" s="51" t="s">
        <v>137</v>
      </c>
      <c r="I231" s="51" t="s">
        <v>138</v>
      </c>
      <c r="J231" s="51" t="s">
        <v>8</v>
      </c>
      <c r="K231" s="53">
        <v>51759</v>
      </c>
      <c r="L231" s="53">
        <v>51823</v>
      </c>
      <c r="M231" s="54">
        <f t="shared" si="13"/>
        <v>64</v>
      </c>
      <c r="N231" s="55">
        <f t="shared" si="14"/>
        <v>0</v>
      </c>
      <c r="O231" s="56" t="str">
        <f t="shared" si="15"/>
        <v>Conforme</v>
      </c>
      <c r="P231" s="51"/>
      <c r="R231" s="57" t="str">
        <f>IF(AND($E231=RelConducteur,$J231="Professionnel",ISNUMBER($C231),$C231&gt;=RelDebut,$C231&lt;=RelFin),COUNTIFS($E$9:$E231,RelConducteur,$J$9:$J231,"Professionnel",$C$9:$C231,"&gt;="&amp;RelDebut,$C$9:$C231,"&lt;="&amp;RelFin),"")</f>
        <v/>
      </c>
    </row>
    <row r="232" spans="2:18" ht="18" customHeight="1" x14ac:dyDescent="0.25">
      <c r="B232" s="48">
        <f>IF(C232="","",COUNT($C$9:C232))</f>
        <v>224</v>
      </c>
      <c r="C232" s="49">
        <v>46591</v>
      </c>
      <c r="D232" s="50">
        <v>0.4375</v>
      </c>
      <c r="E232" s="51" t="s">
        <v>148</v>
      </c>
      <c r="F232" s="52" t="str">
        <f t="shared" si="12"/>
        <v>Service commercial</v>
      </c>
      <c r="G232" s="51" t="s">
        <v>134</v>
      </c>
      <c r="H232" s="51" t="s">
        <v>149</v>
      </c>
      <c r="I232" s="51" t="s">
        <v>150</v>
      </c>
      <c r="J232" s="51" t="s">
        <v>8</v>
      </c>
      <c r="K232" s="53">
        <v>51823</v>
      </c>
      <c r="L232" s="53">
        <v>52099</v>
      </c>
      <c r="M232" s="54">
        <f t="shared" si="13"/>
        <v>276</v>
      </c>
      <c r="N232" s="55">
        <f t="shared" si="14"/>
        <v>0</v>
      </c>
      <c r="O232" s="56" t="str">
        <f t="shared" si="15"/>
        <v>Conforme</v>
      </c>
      <c r="P232" s="51"/>
      <c r="R232" s="57" t="str">
        <f>IF(AND($E232=RelConducteur,$J232="Professionnel",ISNUMBER($C232),$C232&gt;=RelDebut,$C232&lt;=RelFin),COUNTIFS($E$9:$E232,RelConducteur,$J$9:$J232,"Professionnel",$C$9:$C232,"&gt;="&amp;RelDebut,$C$9:$C232,"&lt;="&amp;RelFin),"")</f>
        <v/>
      </c>
    </row>
    <row r="233" spans="2:18" ht="18" customHeight="1" x14ac:dyDescent="0.25">
      <c r="B233" s="48">
        <f>IF(C233="","",COUNT($C$9:C233))</f>
        <v>225</v>
      </c>
      <c r="C233" s="49">
        <v>46594</v>
      </c>
      <c r="D233" s="50">
        <v>0.60416666666666663</v>
      </c>
      <c r="E233" s="51" t="s">
        <v>133</v>
      </c>
      <c r="F233" s="52" t="str">
        <f t="shared" si="12"/>
        <v>Service technique</v>
      </c>
      <c r="G233" s="51" t="s">
        <v>134</v>
      </c>
      <c r="H233" s="51" t="s">
        <v>140</v>
      </c>
      <c r="I233" s="51" t="s">
        <v>141</v>
      </c>
      <c r="J233" s="51" t="s">
        <v>8</v>
      </c>
      <c r="K233" s="53">
        <v>52099</v>
      </c>
      <c r="L233" s="53">
        <v>52122</v>
      </c>
      <c r="M233" s="54">
        <f t="shared" si="13"/>
        <v>23</v>
      </c>
      <c r="N233" s="55">
        <f t="shared" si="14"/>
        <v>0</v>
      </c>
      <c r="O233" s="56" t="str">
        <f t="shared" si="15"/>
        <v>Conforme</v>
      </c>
      <c r="P233" s="51"/>
      <c r="R233" s="57" t="str">
        <f>IF(AND($E233=RelConducteur,$J233="Professionnel",ISNUMBER($C233),$C233&gt;=RelDebut,$C233&lt;=RelFin),COUNTIFS($E$9:$E233,RelConducteur,$J$9:$J233,"Professionnel",$C$9:$C233,"&gt;="&amp;RelDebut,$C$9:$C233,"&lt;="&amp;RelFin),"")</f>
        <v/>
      </c>
    </row>
    <row r="234" spans="2:18" ht="18" customHeight="1" x14ac:dyDescent="0.25">
      <c r="B234" s="48">
        <f>IF(C234="","",COUNT($C$9:C234))</f>
        <v>226</v>
      </c>
      <c r="C234" s="49">
        <v>46595</v>
      </c>
      <c r="D234" s="50">
        <v>0.60416666666666663</v>
      </c>
      <c r="E234" s="51" t="s">
        <v>139</v>
      </c>
      <c r="F234" s="52" t="str">
        <f t="shared" si="12"/>
        <v>Service technique</v>
      </c>
      <c r="G234" s="51" t="s">
        <v>134</v>
      </c>
      <c r="H234" s="51" t="s">
        <v>140</v>
      </c>
      <c r="I234" s="51" t="s">
        <v>141</v>
      </c>
      <c r="J234" s="51" t="s">
        <v>8</v>
      </c>
      <c r="K234" s="53">
        <v>52122</v>
      </c>
      <c r="L234" s="53">
        <v>52143</v>
      </c>
      <c r="M234" s="54">
        <f t="shared" si="13"/>
        <v>21</v>
      </c>
      <c r="N234" s="55">
        <f t="shared" si="14"/>
        <v>0</v>
      </c>
      <c r="O234" s="56" t="str">
        <f t="shared" si="15"/>
        <v>Conforme</v>
      </c>
      <c r="P234" s="51"/>
      <c r="R234" s="57" t="str">
        <f>IF(AND($E234=RelConducteur,$J234="Professionnel",ISNUMBER($C234),$C234&gt;=RelDebut,$C234&lt;=RelFin),COUNTIFS($E$9:$E234,RelConducteur,$J$9:$J234,"Professionnel",$C$9:$C234,"&gt;="&amp;RelDebut,$C$9:$C234,"&lt;="&amp;RelFin),"")</f>
        <v/>
      </c>
    </row>
    <row r="235" spans="2:18" ht="18" customHeight="1" x14ac:dyDescent="0.25">
      <c r="B235" s="48">
        <f>IF(C235="","",COUNT($C$9:C235))</f>
        <v>227</v>
      </c>
      <c r="C235" s="49">
        <v>46596</v>
      </c>
      <c r="D235" s="50">
        <v>0.3125</v>
      </c>
      <c r="E235" s="51" t="s">
        <v>139</v>
      </c>
      <c r="F235" s="52" t="str">
        <f t="shared" si="12"/>
        <v>Service technique</v>
      </c>
      <c r="G235" s="51" t="s">
        <v>134</v>
      </c>
      <c r="H235" s="51" t="s">
        <v>135</v>
      </c>
      <c r="I235" s="51" t="s">
        <v>136</v>
      </c>
      <c r="J235" s="51" t="s">
        <v>8</v>
      </c>
      <c r="K235" s="53">
        <v>52143</v>
      </c>
      <c r="L235" s="53">
        <v>52235</v>
      </c>
      <c r="M235" s="54">
        <f t="shared" si="13"/>
        <v>92</v>
      </c>
      <c r="N235" s="55">
        <f t="shared" si="14"/>
        <v>0</v>
      </c>
      <c r="O235" s="56" t="str">
        <f t="shared" si="15"/>
        <v>Conforme</v>
      </c>
      <c r="P235" s="51"/>
      <c r="R235" s="57" t="str">
        <f>IF(AND($E235=RelConducteur,$J235="Professionnel",ISNUMBER($C235),$C235&gt;=RelDebut,$C235&lt;=RelFin),COUNTIFS($E$9:$E235,RelConducteur,$J$9:$J235,"Professionnel",$C$9:$C235,"&gt;="&amp;RelDebut,$C$9:$C235,"&lt;="&amp;RelFin),"")</f>
        <v/>
      </c>
    </row>
    <row r="236" spans="2:18" ht="18" customHeight="1" x14ac:dyDescent="0.25">
      <c r="B236" s="48">
        <f>IF(C236="","",COUNT($C$9:C236))</f>
        <v>228</v>
      </c>
      <c r="C236" s="49">
        <v>46597</v>
      </c>
      <c r="D236" s="50">
        <v>0.33333333333333331</v>
      </c>
      <c r="E236" s="51" t="s">
        <v>133</v>
      </c>
      <c r="F236" s="52" t="str">
        <f t="shared" si="12"/>
        <v>Service technique</v>
      </c>
      <c r="G236" s="51" t="s">
        <v>134</v>
      </c>
      <c r="H236" s="51" t="s">
        <v>151</v>
      </c>
      <c r="I236" s="51" t="s">
        <v>152</v>
      </c>
      <c r="J236" s="51" t="s">
        <v>8</v>
      </c>
      <c r="K236" s="53">
        <v>52235</v>
      </c>
      <c r="L236" s="53">
        <v>52286</v>
      </c>
      <c r="M236" s="54">
        <f t="shared" si="13"/>
        <v>51</v>
      </c>
      <c r="N236" s="55">
        <f t="shared" si="14"/>
        <v>0</v>
      </c>
      <c r="O236" s="56" t="str">
        <f t="shared" si="15"/>
        <v>Conforme</v>
      </c>
      <c r="P236" s="51"/>
      <c r="R236" s="57" t="str">
        <f>IF(AND($E236=RelConducteur,$J236="Professionnel",ISNUMBER($C236),$C236&gt;=RelDebut,$C236&lt;=RelFin),COUNTIFS($E$9:$E236,RelConducteur,$J$9:$J236,"Professionnel",$C$9:$C236,"&gt;="&amp;RelDebut,$C$9:$C236,"&lt;="&amp;RelFin),"")</f>
        <v/>
      </c>
    </row>
    <row r="237" spans="2:18" ht="18" customHeight="1" x14ac:dyDescent="0.25">
      <c r="B237" s="48">
        <f>IF(C237="","",COUNT($C$9:C237))</f>
        <v>229</v>
      </c>
      <c r="C237" s="49">
        <v>46598</v>
      </c>
      <c r="D237" s="50">
        <v>0.35416666666666669</v>
      </c>
      <c r="E237" s="51" t="s">
        <v>139</v>
      </c>
      <c r="F237" s="52" t="str">
        <f t="shared" si="12"/>
        <v>Service technique</v>
      </c>
      <c r="G237" s="51" t="s">
        <v>134</v>
      </c>
      <c r="H237" s="51" t="s">
        <v>165</v>
      </c>
      <c r="I237" s="51" t="s">
        <v>166</v>
      </c>
      <c r="J237" s="51" t="s">
        <v>8</v>
      </c>
      <c r="K237" s="53">
        <v>52286</v>
      </c>
      <c r="L237" s="53">
        <v>52355</v>
      </c>
      <c r="M237" s="54">
        <f t="shared" si="13"/>
        <v>69</v>
      </c>
      <c r="N237" s="55">
        <f t="shared" si="14"/>
        <v>0</v>
      </c>
      <c r="O237" s="56" t="str">
        <f t="shared" si="15"/>
        <v>Conforme</v>
      </c>
      <c r="P237" s="51"/>
      <c r="R237" s="57" t="str">
        <f>IF(AND($E237=RelConducteur,$J237="Professionnel",ISNUMBER($C237),$C237&gt;=RelDebut,$C237&lt;=RelFin),COUNTIFS($E$9:$E237,RelConducteur,$J$9:$J237,"Professionnel",$C$9:$C237,"&gt;="&amp;RelDebut,$C$9:$C237,"&lt;="&amp;RelFin),"")</f>
        <v/>
      </c>
    </row>
    <row r="238" spans="2:18" ht="18" customHeight="1" x14ac:dyDescent="0.25">
      <c r="B238" s="48">
        <f>IF(C238="","",COUNT($C$9:C238))</f>
        <v>230</v>
      </c>
      <c r="C238" s="49">
        <v>46601</v>
      </c>
      <c r="D238" s="50">
        <v>0.75</v>
      </c>
      <c r="E238" s="51" t="s">
        <v>139</v>
      </c>
      <c r="F238" s="52" t="str">
        <f t="shared" si="12"/>
        <v>Service technique</v>
      </c>
      <c r="G238" s="51" t="s">
        <v>134</v>
      </c>
      <c r="H238" s="51" t="s">
        <v>155</v>
      </c>
      <c r="I238" s="51" t="s">
        <v>156</v>
      </c>
      <c r="J238" s="51" t="s">
        <v>9</v>
      </c>
      <c r="K238" s="53">
        <v>52355</v>
      </c>
      <c r="L238" s="53">
        <v>52379</v>
      </c>
      <c r="M238" s="54">
        <f t="shared" si="13"/>
        <v>24</v>
      </c>
      <c r="N238" s="55">
        <f t="shared" si="14"/>
        <v>0</v>
      </c>
      <c r="O238" s="56" t="str">
        <f t="shared" si="15"/>
        <v>Conforme</v>
      </c>
      <c r="P238" s="51"/>
      <c r="R238" s="57" t="str">
        <f>IF(AND($E238=RelConducteur,$J238="Professionnel",ISNUMBER($C238),$C238&gt;=RelDebut,$C238&lt;=RelFin),COUNTIFS($E$9:$E238,RelConducteur,$J$9:$J238,"Professionnel",$C$9:$C238,"&gt;="&amp;RelDebut,$C$9:$C238,"&lt;="&amp;RelFin),"")</f>
        <v/>
      </c>
    </row>
    <row r="239" spans="2:18" ht="18" customHeight="1" x14ac:dyDescent="0.25">
      <c r="B239" s="48">
        <f>IF(C239="","",COUNT($C$9:C239))</f>
        <v>231</v>
      </c>
      <c r="C239" s="49">
        <v>46602</v>
      </c>
      <c r="D239" s="50">
        <v>0.3125</v>
      </c>
      <c r="E239" s="51" t="s">
        <v>139</v>
      </c>
      <c r="F239" s="52" t="str">
        <f t="shared" si="12"/>
        <v>Service technique</v>
      </c>
      <c r="G239" s="51" t="s">
        <v>134</v>
      </c>
      <c r="H239" s="51" t="s">
        <v>135</v>
      </c>
      <c r="I239" s="51" t="s">
        <v>136</v>
      </c>
      <c r="J239" s="51" t="s">
        <v>8</v>
      </c>
      <c r="K239" s="53">
        <v>52379</v>
      </c>
      <c r="L239" s="53">
        <v>52469</v>
      </c>
      <c r="M239" s="54">
        <f t="shared" si="13"/>
        <v>90</v>
      </c>
      <c r="N239" s="55">
        <f t="shared" si="14"/>
        <v>0</v>
      </c>
      <c r="O239" s="56" t="str">
        <f t="shared" si="15"/>
        <v>Conforme</v>
      </c>
      <c r="P239" s="51"/>
      <c r="R239" s="57" t="str">
        <f>IF(AND($E239=RelConducteur,$J239="Professionnel",ISNUMBER($C239),$C239&gt;=RelDebut,$C239&lt;=RelFin),COUNTIFS($E$9:$E239,RelConducteur,$J$9:$J239,"Professionnel",$C$9:$C239,"&gt;="&amp;RelDebut,$C$9:$C239,"&lt;="&amp;RelFin),"")</f>
        <v/>
      </c>
    </row>
    <row r="240" spans="2:18" ht="18" customHeight="1" x14ac:dyDescent="0.25">
      <c r="B240" s="48">
        <f>IF(C240="","",COUNT($C$9:C240))</f>
        <v>232</v>
      </c>
      <c r="C240" s="49">
        <v>46602</v>
      </c>
      <c r="D240" s="50">
        <v>0.41666666666666669</v>
      </c>
      <c r="E240" s="51" t="s">
        <v>148</v>
      </c>
      <c r="F240" s="52" t="str">
        <f t="shared" si="12"/>
        <v>Service commercial</v>
      </c>
      <c r="G240" s="51" t="s">
        <v>134</v>
      </c>
      <c r="H240" s="51" t="s">
        <v>167</v>
      </c>
      <c r="I240" s="51" t="s">
        <v>168</v>
      </c>
      <c r="J240" s="51" t="s">
        <v>8</v>
      </c>
      <c r="K240" s="53">
        <v>52469</v>
      </c>
      <c r="L240" s="53">
        <v>52488</v>
      </c>
      <c r="M240" s="54">
        <f t="shared" si="13"/>
        <v>19</v>
      </c>
      <c r="N240" s="55">
        <f t="shared" si="14"/>
        <v>0</v>
      </c>
      <c r="O240" s="56" t="str">
        <f t="shared" si="15"/>
        <v>Conforme</v>
      </c>
      <c r="P240" s="51"/>
      <c r="R240" s="57" t="str">
        <f>IF(AND($E240=RelConducteur,$J240="Professionnel",ISNUMBER($C240),$C240&gt;=RelDebut,$C240&lt;=RelFin),COUNTIFS($E$9:$E240,RelConducteur,$J$9:$J240,"Professionnel",$C$9:$C240,"&gt;="&amp;RelDebut,$C$9:$C240,"&lt;="&amp;RelFin),"")</f>
        <v/>
      </c>
    </row>
    <row r="241" spans="2:18" ht="18" customHeight="1" x14ac:dyDescent="0.25">
      <c r="B241" s="48">
        <f>IF(C241="","",COUNT($C$9:C241))</f>
        <v>233</v>
      </c>
      <c r="C241" s="49">
        <v>46602</v>
      </c>
      <c r="D241" s="50">
        <v>0.75</v>
      </c>
      <c r="E241" s="51" t="s">
        <v>139</v>
      </c>
      <c r="F241" s="52" t="str">
        <f t="shared" si="12"/>
        <v>Service technique</v>
      </c>
      <c r="G241" s="51" t="s">
        <v>134</v>
      </c>
      <c r="H241" s="51" t="s">
        <v>155</v>
      </c>
      <c r="I241" s="51" t="s">
        <v>156</v>
      </c>
      <c r="J241" s="51" t="s">
        <v>9</v>
      </c>
      <c r="K241" s="53">
        <v>52488</v>
      </c>
      <c r="L241" s="53">
        <v>52512</v>
      </c>
      <c r="M241" s="54">
        <f t="shared" si="13"/>
        <v>24</v>
      </c>
      <c r="N241" s="55">
        <f t="shared" si="14"/>
        <v>0</v>
      </c>
      <c r="O241" s="56" t="str">
        <f t="shared" si="15"/>
        <v>Conforme</v>
      </c>
      <c r="P241" s="51"/>
      <c r="R241" s="57" t="str">
        <f>IF(AND($E241=RelConducteur,$J241="Professionnel",ISNUMBER($C241),$C241&gt;=RelDebut,$C241&lt;=RelFin),COUNTIFS($E$9:$E241,RelConducteur,$J$9:$J241,"Professionnel",$C$9:$C241,"&gt;="&amp;RelDebut,$C$9:$C241,"&lt;="&amp;RelFin),"")</f>
        <v/>
      </c>
    </row>
    <row r="242" spans="2:18" ht="18" customHeight="1" x14ac:dyDescent="0.25">
      <c r="B242" s="48">
        <f>IF(C242="","",COUNT($C$9:C242))</f>
        <v>234</v>
      </c>
      <c r="C242" s="49">
        <v>46603</v>
      </c>
      <c r="D242" s="50">
        <v>0.35416666666666669</v>
      </c>
      <c r="E242" s="51" t="s">
        <v>133</v>
      </c>
      <c r="F242" s="52" t="str">
        <f t="shared" si="12"/>
        <v>Service technique</v>
      </c>
      <c r="G242" s="51" t="s">
        <v>134</v>
      </c>
      <c r="H242" s="51" t="s">
        <v>161</v>
      </c>
      <c r="I242" s="51" t="s">
        <v>162</v>
      </c>
      <c r="J242" s="51" t="s">
        <v>8</v>
      </c>
      <c r="K242" s="53">
        <v>52512</v>
      </c>
      <c r="L242" s="53">
        <v>52536</v>
      </c>
      <c r="M242" s="54">
        <f t="shared" si="13"/>
        <v>24</v>
      </c>
      <c r="N242" s="55">
        <f t="shared" si="14"/>
        <v>0</v>
      </c>
      <c r="O242" s="56" t="str">
        <f t="shared" si="15"/>
        <v>Conforme</v>
      </c>
      <c r="P242" s="51"/>
      <c r="R242" s="57" t="str">
        <f>IF(AND($E242=RelConducteur,$J242="Professionnel",ISNUMBER($C242),$C242&gt;=RelDebut,$C242&lt;=RelFin),COUNTIFS($E$9:$E242,RelConducteur,$J$9:$J242,"Professionnel",$C$9:$C242,"&gt;="&amp;RelDebut,$C$9:$C242,"&lt;="&amp;RelFin),"")</f>
        <v/>
      </c>
    </row>
    <row r="243" spans="2:18" ht="18" customHeight="1" x14ac:dyDescent="0.25">
      <c r="B243" s="48">
        <f>IF(C243="","",COUNT($C$9:C243))</f>
        <v>235</v>
      </c>
      <c r="C243" s="49">
        <v>46603</v>
      </c>
      <c r="D243" s="50">
        <v>0.41666666666666669</v>
      </c>
      <c r="E243" s="51" t="s">
        <v>148</v>
      </c>
      <c r="F243" s="52" t="str">
        <f t="shared" si="12"/>
        <v>Service commercial</v>
      </c>
      <c r="G243" s="51" t="s">
        <v>134</v>
      </c>
      <c r="H243" s="51" t="s">
        <v>153</v>
      </c>
      <c r="I243" s="51" t="s">
        <v>154</v>
      </c>
      <c r="J243" s="51" t="s">
        <v>8</v>
      </c>
      <c r="K243" s="53">
        <v>52536</v>
      </c>
      <c r="L243" s="53">
        <v>52680</v>
      </c>
      <c r="M243" s="54">
        <f t="shared" si="13"/>
        <v>144</v>
      </c>
      <c r="N243" s="55">
        <f t="shared" si="14"/>
        <v>0</v>
      </c>
      <c r="O243" s="56" t="str">
        <f t="shared" si="15"/>
        <v>Conforme</v>
      </c>
      <c r="P243" s="51"/>
      <c r="R243" s="57" t="str">
        <f>IF(AND($E243=RelConducteur,$J243="Professionnel",ISNUMBER($C243),$C243&gt;=RelDebut,$C243&lt;=RelFin),COUNTIFS($E$9:$E243,RelConducteur,$J$9:$J243,"Professionnel",$C$9:$C243,"&gt;="&amp;RelDebut,$C$9:$C243,"&lt;="&amp;RelFin),"")</f>
        <v/>
      </c>
    </row>
    <row r="244" spans="2:18" ht="18" customHeight="1" x14ac:dyDescent="0.25">
      <c r="B244" s="48">
        <f>IF(C244="","",COUNT($C$9:C244))</f>
        <v>236</v>
      </c>
      <c r="C244" s="49">
        <v>46603</v>
      </c>
      <c r="D244" s="50">
        <v>0.75</v>
      </c>
      <c r="E244" s="51" t="s">
        <v>139</v>
      </c>
      <c r="F244" s="52" t="str">
        <f t="shared" si="12"/>
        <v>Service technique</v>
      </c>
      <c r="G244" s="51" t="s">
        <v>134</v>
      </c>
      <c r="H244" s="51" t="s">
        <v>155</v>
      </c>
      <c r="I244" s="51" t="s">
        <v>156</v>
      </c>
      <c r="J244" s="51" t="s">
        <v>9</v>
      </c>
      <c r="K244" s="53">
        <v>52680</v>
      </c>
      <c r="L244" s="53">
        <v>52704</v>
      </c>
      <c r="M244" s="54">
        <f t="shared" si="13"/>
        <v>24</v>
      </c>
      <c r="N244" s="55">
        <f t="shared" si="14"/>
        <v>0</v>
      </c>
      <c r="O244" s="56" t="str">
        <f t="shared" si="15"/>
        <v>Conforme</v>
      </c>
      <c r="P244" s="51"/>
      <c r="R244" s="57" t="str">
        <f>IF(AND($E244=RelConducteur,$J244="Professionnel",ISNUMBER($C244),$C244&gt;=RelDebut,$C244&lt;=RelFin),COUNTIFS($E$9:$E244,RelConducteur,$J$9:$J244,"Professionnel",$C$9:$C244,"&gt;="&amp;RelDebut,$C$9:$C244,"&lt;="&amp;RelFin),"")</f>
        <v/>
      </c>
    </row>
    <row r="245" spans="2:18" ht="18" customHeight="1" x14ac:dyDescent="0.25">
      <c r="B245" s="48">
        <f>IF(C245="","",COUNT($C$9:C245))</f>
        <v>237</v>
      </c>
      <c r="C245" s="49">
        <v>46604</v>
      </c>
      <c r="D245" s="50">
        <v>0.35416666666666669</v>
      </c>
      <c r="E245" s="51" t="s">
        <v>139</v>
      </c>
      <c r="F245" s="52" t="str">
        <f t="shared" si="12"/>
        <v>Service technique</v>
      </c>
      <c r="G245" s="51" t="s">
        <v>134</v>
      </c>
      <c r="H245" s="51" t="s">
        <v>140</v>
      </c>
      <c r="I245" s="51" t="s">
        <v>141</v>
      </c>
      <c r="J245" s="51" t="s">
        <v>8</v>
      </c>
      <c r="K245" s="53">
        <v>52704</v>
      </c>
      <c r="L245" s="53">
        <v>52724</v>
      </c>
      <c r="M245" s="54">
        <f t="shared" si="13"/>
        <v>20</v>
      </c>
      <c r="N245" s="55">
        <f t="shared" si="14"/>
        <v>0</v>
      </c>
      <c r="O245" s="56" t="str">
        <f t="shared" si="15"/>
        <v>Conforme</v>
      </c>
      <c r="P245" s="51"/>
      <c r="R245" s="57" t="str">
        <f>IF(AND($E245=RelConducteur,$J245="Professionnel",ISNUMBER($C245),$C245&gt;=RelDebut,$C245&lt;=RelFin),COUNTIFS($E$9:$E245,RelConducteur,$J$9:$J245,"Professionnel",$C$9:$C245,"&gt;="&amp;RelDebut,$C$9:$C245,"&lt;="&amp;RelFin),"")</f>
        <v/>
      </c>
    </row>
    <row r="246" spans="2:18" ht="18" customHeight="1" x14ac:dyDescent="0.25">
      <c r="B246" s="48">
        <f>IF(C246="","",COUNT($C$9:C246))</f>
        <v>238</v>
      </c>
      <c r="C246" s="49">
        <v>46604</v>
      </c>
      <c r="D246" s="50">
        <v>0.75</v>
      </c>
      <c r="E246" s="51" t="s">
        <v>139</v>
      </c>
      <c r="F246" s="52" t="str">
        <f t="shared" si="12"/>
        <v>Service technique</v>
      </c>
      <c r="G246" s="51" t="s">
        <v>134</v>
      </c>
      <c r="H246" s="51" t="s">
        <v>155</v>
      </c>
      <c r="I246" s="51" t="s">
        <v>156</v>
      </c>
      <c r="J246" s="51" t="s">
        <v>9</v>
      </c>
      <c r="K246" s="53">
        <v>52724</v>
      </c>
      <c r="L246" s="53">
        <v>52748</v>
      </c>
      <c r="M246" s="54">
        <f t="shared" si="13"/>
        <v>24</v>
      </c>
      <c r="N246" s="55">
        <f t="shared" si="14"/>
        <v>0</v>
      </c>
      <c r="O246" s="56" t="str">
        <f t="shared" si="15"/>
        <v>Conforme</v>
      </c>
      <c r="P246" s="51"/>
      <c r="R246" s="57" t="str">
        <f>IF(AND($E246=RelConducteur,$J246="Professionnel",ISNUMBER($C246),$C246&gt;=RelDebut,$C246&lt;=RelFin),COUNTIFS($E$9:$E246,RelConducteur,$J$9:$J246,"Professionnel",$C$9:$C246,"&gt;="&amp;RelDebut,$C$9:$C246,"&lt;="&amp;RelFin),"")</f>
        <v/>
      </c>
    </row>
    <row r="247" spans="2:18" ht="18" customHeight="1" x14ac:dyDescent="0.25">
      <c r="B247" s="48">
        <f>IF(C247="","",COUNT($C$9:C247))</f>
        <v>239</v>
      </c>
      <c r="C247" s="49">
        <v>46622</v>
      </c>
      <c r="D247" s="50">
        <v>0.35416666666666669</v>
      </c>
      <c r="E247" s="51" t="s">
        <v>139</v>
      </c>
      <c r="F247" s="52" t="str">
        <f t="shared" si="12"/>
        <v>Service technique</v>
      </c>
      <c r="G247" s="51" t="s">
        <v>134</v>
      </c>
      <c r="H247" s="51" t="s">
        <v>144</v>
      </c>
      <c r="I247" s="51" t="s">
        <v>145</v>
      </c>
      <c r="J247" s="51" t="s">
        <v>8</v>
      </c>
      <c r="K247" s="53">
        <v>52748</v>
      </c>
      <c r="L247" s="53">
        <v>52776</v>
      </c>
      <c r="M247" s="54">
        <f t="shared" si="13"/>
        <v>28</v>
      </c>
      <c r="N247" s="55">
        <f t="shared" si="14"/>
        <v>0</v>
      </c>
      <c r="O247" s="56" t="str">
        <f t="shared" si="15"/>
        <v>Conforme</v>
      </c>
      <c r="P247" s="51"/>
      <c r="R247" s="57" t="str">
        <f>IF(AND($E247=RelConducteur,$J247="Professionnel",ISNUMBER($C247),$C247&gt;=RelDebut,$C247&lt;=RelFin),COUNTIFS($E$9:$E247,RelConducteur,$J$9:$J247,"Professionnel",$C$9:$C247,"&gt;="&amp;RelDebut,$C$9:$C247,"&lt;="&amp;RelFin),"")</f>
        <v/>
      </c>
    </row>
    <row r="248" spans="2:18" ht="18" customHeight="1" x14ac:dyDescent="0.25">
      <c r="B248" s="48">
        <f>IF(C248="","",COUNT($C$9:C248))</f>
        <v>240</v>
      </c>
      <c r="C248" s="49">
        <v>46624</v>
      </c>
      <c r="D248" s="50">
        <v>0.33333333333333331</v>
      </c>
      <c r="E248" s="51" t="s">
        <v>139</v>
      </c>
      <c r="F248" s="52" t="str">
        <f t="shared" si="12"/>
        <v>Service technique</v>
      </c>
      <c r="G248" s="51" t="s">
        <v>134</v>
      </c>
      <c r="H248" s="51" t="s">
        <v>146</v>
      </c>
      <c r="I248" s="51" t="s">
        <v>147</v>
      </c>
      <c r="J248" s="51" t="s">
        <v>8</v>
      </c>
      <c r="K248" s="53">
        <v>52776</v>
      </c>
      <c r="L248" s="53">
        <v>52808</v>
      </c>
      <c r="M248" s="54">
        <f t="shared" si="13"/>
        <v>32</v>
      </c>
      <c r="N248" s="55">
        <f t="shared" si="14"/>
        <v>0</v>
      </c>
      <c r="O248" s="56" t="str">
        <f t="shared" si="15"/>
        <v>Conforme</v>
      </c>
      <c r="P248" s="51"/>
      <c r="R248" s="57" t="str">
        <f>IF(AND($E248=RelConducteur,$J248="Professionnel",ISNUMBER($C248),$C248&gt;=RelDebut,$C248&lt;=RelFin),COUNTIFS($E$9:$E248,RelConducteur,$J$9:$J248,"Professionnel",$C$9:$C248,"&gt;="&amp;RelDebut,$C$9:$C248,"&lt;="&amp;RelFin),"")</f>
        <v/>
      </c>
    </row>
    <row r="249" spans="2:18" ht="18" customHeight="1" x14ac:dyDescent="0.25">
      <c r="B249" s="48">
        <f>IF(C249="","",COUNT($C$9:C249))</f>
        <v>241</v>
      </c>
      <c r="C249" s="49">
        <v>46624</v>
      </c>
      <c r="D249" s="50">
        <v>0.60416666666666663</v>
      </c>
      <c r="E249" s="51" t="s">
        <v>133</v>
      </c>
      <c r="F249" s="52" t="str">
        <f t="shared" si="12"/>
        <v>Service technique</v>
      </c>
      <c r="G249" s="51" t="s">
        <v>134</v>
      </c>
      <c r="H249" s="51" t="s">
        <v>165</v>
      </c>
      <c r="I249" s="51" t="s">
        <v>166</v>
      </c>
      <c r="J249" s="51" t="s">
        <v>8</v>
      </c>
      <c r="K249" s="53">
        <v>52808</v>
      </c>
      <c r="L249" s="53">
        <v>52877</v>
      </c>
      <c r="M249" s="54">
        <f t="shared" si="13"/>
        <v>69</v>
      </c>
      <c r="N249" s="55">
        <f t="shared" si="14"/>
        <v>0</v>
      </c>
      <c r="O249" s="56" t="str">
        <f t="shared" si="15"/>
        <v>Conforme</v>
      </c>
      <c r="P249" s="51"/>
      <c r="R249" s="57" t="str">
        <f>IF(AND($E249=RelConducteur,$J249="Professionnel",ISNUMBER($C249),$C249&gt;=RelDebut,$C249&lt;=RelFin),COUNTIFS($E$9:$E249,RelConducteur,$J$9:$J249,"Professionnel",$C$9:$C249,"&gt;="&amp;RelDebut,$C$9:$C249,"&lt;="&amp;RelFin),"")</f>
        <v/>
      </c>
    </row>
    <row r="250" spans="2:18" ht="18" customHeight="1" x14ac:dyDescent="0.25">
      <c r="B250" s="48">
        <f>IF(C250="","",COUNT($C$9:C250))</f>
        <v>242</v>
      </c>
      <c r="C250" s="49">
        <v>46625</v>
      </c>
      <c r="D250" s="50">
        <v>0.4375</v>
      </c>
      <c r="E250" s="51" t="s">
        <v>148</v>
      </c>
      <c r="F250" s="52" t="str">
        <f t="shared" si="12"/>
        <v>Service commercial</v>
      </c>
      <c r="G250" s="51" t="s">
        <v>134</v>
      </c>
      <c r="H250" s="51" t="s">
        <v>153</v>
      </c>
      <c r="I250" s="51" t="s">
        <v>154</v>
      </c>
      <c r="J250" s="51" t="s">
        <v>8</v>
      </c>
      <c r="K250" s="53">
        <v>52877</v>
      </c>
      <c r="L250" s="53">
        <v>53023</v>
      </c>
      <c r="M250" s="54">
        <f t="shared" si="13"/>
        <v>146</v>
      </c>
      <c r="N250" s="55">
        <f t="shared" si="14"/>
        <v>0</v>
      </c>
      <c r="O250" s="56" t="str">
        <f t="shared" si="15"/>
        <v>Conforme</v>
      </c>
      <c r="P250" s="51"/>
      <c r="R250" s="57" t="str">
        <f>IF(AND($E250=RelConducteur,$J250="Professionnel",ISNUMBER($C250),$C250&gt;=RelDebut,$C250&lt;=RelFin),COUNTIFS($E$9:$E250,RelConducteur,$J$9:$J250,"Professionnel",$C$9:$C250,"&gt;="&amp;RelDebut,$C$9:$C250,"&lt;="&amp;RelFin),"")</f>
        <v/>
      </c>
    </row>
    <row r="251" spans="2:18" ht="18" customHeight="1" x14ac:dyDescent="0.25">
      <c r="B251" s="48">
        <f>IF(C251="","",COUNT($C$9:C251))</f>
        <v>243</v>
      </c>
      <c r="C251" s="49">
        <v>46629</v>
      </c>
      <c r="D251" s="50">
        <v>0.3125</v>
      </c>
      <c r="E251" s="51" t="s">
        <v>133</v>
      </c>
      <c r="F251" s="52" t="str">
        <f t="shared" si="12"/>
        <v>Service technique</v>
      </c>
      <c r="G251" s="51" t="s">
        <v>134</v>
      </c>
      <c r="H251" s="51" t="s">
        <v>144</v>
      </c>
      <c r="I251" s="51" t="s">
        <v>145</v>
      </c>
      <c r="J251" s="51" t="s">
        <v>8</v>
      </c>
      <c r="K251" s="53">
        <v>53023</v>
      </c>
      <c r="L251" s="53">
        <v>53050</v>
      </c>
      <c r="M251" s="54">
        <f t="shared" si="13"/>
        <v>27</v>
      </c>
      <c r="N251" s="55">
        <f t="shared" si="14"/>
        <v>0</v>
      </c>
      <c r="O251" s="56" t="str">
        <f t="shared" si="15"/>
        <v>Conforme</v>
      </c>
      <c r="P251" s="51"/>
      <c r="R251" s="57" t="str">
        <f>IF(AND($E251=RelConducteur,$J251="Professionnel",ISNUMBER($C251),$C251&gt;=RelDebut,$C251&lt;=RelFin),COUNTIFS($E$9:$E251,RelConducteur,$J$9:$J251,"Professionnel",$C$9:$C251,"&gt;="&amp;RelDebut,$C$9:$C251,"&lt;="&amp;RelFin),"")</f>
        <v/>
      </c>
    </row>
    <row r="252" spans="2:18" ht="18" customHeight="1" x14ac:dyDescent="0.25">
      <c r="B252" s="48">
        <f>IF(C252="","",COUNT($C$9:C252))</f>
        <v>244</v>
      </c>
      <c r="C252" s="49">
        <v>46629</v>
      </c>
      <c r="D252" s="50">
        <v>0.60416666666666663</v>
      </c>
      <c r="E252" s="51" t="s">
        <v>139</v>
      </c>
      <c r="F252" s="52" t="str">
        <f t="shared" si="12"/>
        <v>Service technique</v>
      </c>
      <c r="G252" s="51" t="s">
        <v>134</v>
      </c>
      <c r="H252" s="51" t="s">
        <v>146</v>
      </c>
      <c r="I252" s="51" t="s">
        <v>147</v>
      </c>
      <c r="J252" s="51" t="s">
        <v>8</v>
      </c>
      <c r="K252" s="53">
        <v>53050</v>
      </c>
      <c r="L252" s="53">
        <v>53086</v>
      </c>
      <c r="M252" s="54">
        <f t="shared" si="13"/>
        <v>36</v>
      </c>
      <c r="N252" s="55">
        <f t="shared" si="14"/>
        <v>0</v>
      </c>
      <c r="O252" s="56" t="str">
        <f t="shared" si="15"/>
        <v>Conforme</v>
      </c>
      <c r="P252" s="51"/>
      <c r="R252" s="57" t="str">
        <f>IF(AND($E252=RelConducteur,$J252="Professionnel",ISNUMBER($C252),$C252&gt;=RelDebut,$C252&lt;=RelFin),COUNTIFS($E$9:$E252,RelConducteur,$J$9:$J252,"Professionnel",$C$9:$C252,"&gt;="&amp;RelDebut,$C$9:$C252,"&lt;="&amp;RelFin),"")</f>
        <v/>
      </c>
    </row>
    <row r="253" spans="2:18" ht="18" customHeight="1" x14ac:dyDescent="0.25">
      <c r="B253" s="48">
        <f>IF(C253="","",COUNT($C$9:C253))</f>
        <v>245</v>
      </c>
      <c r="C253" s="49">
        <v>46629</v>
      </c>
      <c r="D253" s="50">
        <v>0.75</v>
      </c>
      <c r="E253" s="51" t="s">
        <v>139</v>
      </c>
      <c r="F253" s="52" t="str">
        <f t="shared" si="12"/>
        <v>Service technique</v>
      </c>
      <c r="G253" s="51" t="s">
        <v>134</v>
      </c>
      <c r="H253" s="51" t="s">
        <v>155</v>
      </c>
      <c r="I253" s="51" t="s">
        <v>156</v>
      </c>
      <c r="J253" s="51" t="s">
        <v>9</v>
      </c>
      <c r="K253" s="53">
        <v>53086</v>
      </c>
      <c r="L253" s="53">
        <v>53110</v>
      </c>
      <c r="M253" s="54">
        <f t="shared" si="13"/>
        <v>24</v>
      </c>
      <c r="N253" s="55">
        <f t="shared" si="14"/>
        <v>0</v>
      </c>
      <c r="O253" s="56" t="str">
        <f t="shared" si="15"/>
        <v>Conforme</v>
      </c>
      <c r="P253" s="51"/>
      <c r="R253" s="57" t="str">
        <f>IF(AND($E253=RelConducteur,$J253="Professionnel",ISNUMBER($C253),$C253&gt;=RelDebut,$C253&lt;=RelFin),COUNTIFS($E$9:$E253,RelConducteur,$J$9:$J253,"Professionnel",$C$9:$C253,"&gt;="&amp;RelDebut,$C$9:$C253,"&lt;="&amp;RelFin),"")</f>
        <v/>
      </c>
    </row>
    <row r="254" spans="2:18" ht="18" customHeight="1" x14ac:dyDescent="0.25">
      <c r="B254" s="48">
        <f>IF(C254="","",COUNT($C$9:C254))</f>
        <v>246</v>
      </c>
      <c r="C254" s="49">
        <v>46630</v>
      </c>
      <c r="D254" s="50">
        <v>0.33333333333333331</v>
      </c>
      <c r="E254" s="51" t="s">
        <v>139</v>
      </c>
      <c r="F254" s="52" t="str">
        <f t="shared" si="12"/>
        <v>Service technique</v>
      </c>
      <c r="G254" s="51" t="s">
        <v>134</v>
      </c>
      <c r="H254" s="51" t="s">
        <v>142</v>
      </c>
      <c r="I254" s="51" t="s">
        <v>143</v>
      </c>
      <c r="J254" s="51" t="s">
        <v>8</v>
      </c>
      <c r="K254" s="53">
        <v>53110</v>
      </c>
      <c r="L254" s="53">
        <v>53130</v>
      </c>
      <c r="M254" s="54">
        <f t="shared" si="13"/>
        <v>20</v>
      </c>
      <c r="N254" s="55">
        <f t="shared" si="14"/>
        <v>0</v>
      </c>
      <c r="O254" s="56" t="str">
        <f t="shared" si="15"/>
        <v>Conforme</v>
      </c>
      <c r="P254" s="51"/>
      <c r="R254" s="57" t="str">
        <f>IF(AND($E254=RelConducteur,$J254="Professionnel",ISNUMBER($C254),$C254&gt;=RelDebut,$C254&lt;=RelFin),COUNTIFS($E$9:$E254,RelConducteur,$J$9:$J254,"Professionnel",$C$9:$C254,"&gt;="&amp;RelDebut,$C$9:$C254,"&lt;="&amp;RelFin),"")</f>
        <v/>
      </c>
    </row>
    <row r="255" spans="2:18" ht="18" customHeight="1" x14ac:dyDescent="0.25">
      <c r="B255" s="48">
        <f>IF(C255="","",COUNT($C$9:C255))</f>
        <v>247</v>
      </c>
      <c r="C255" s="49">
        <v>46630</v>
      </c>
      <c r="D255" s="50">
        <v>0.41666666666666669</v>
      </c>
      <c r="E255" s="51" t="s">
        <v>148</v>
      </c>
      <c r="F255" s="52" t="str">
        <f t="shared" si="12"/>
        <v>Service commercial</v>
      </c>
      <c r="G255" s="51" t="s">
        <v>134</v>
      </c>
      <c r="H255" s="51" t="s">
        <v>157</v>
      </c>
      <c r="I255" s="51" t="s">
        <v>158</v>
      </c>
      <c r="J255" s="51" t="s">
        <v>8</v>
      </c>
      <c r="K255" s="53">
        <v>53130</v>
      </c>
      <c r="L255" s="53">
        <v>53347</v>
      </c>
      <c r="M255" s="54">
        <f t="shared" si="13"/>
        <v>217</v>
      </c>
      <c r="N255" s="55">
        <f t="shared" si="14"/>
        <v>0</v>
      </c>
      <c r="O255" s="56" t="str">
        <f t="shared" si="15"/>
        <v>Conforme</v>
      </c>
      <c r="P255" s="51"/>
      <c r="R255" s="57" t="str">
        <f>IF(AND($E255=RelConducteur,$J255="Professionnel",ISNUMBER($C255),$C255&gt;=RelDebut,$C255&lt;=RelFin),COUNTIFS($E$9:$E255,RelConducteur,$J$9:$J255,"Professionnel",$C$9:$C255,"&gt;="&amp;RelDebut,$C$9:$C255,"&lt;="&amp;RelFin),"")</f>
        <v/>
      </c>
    </row>
    <row r="256" spans="2:18" ht="18" customHeight="1" x14ac:dyDescent="0.25">
      <c r="B256" s="48">
        <f>IF(C256="","",COUNT($C$9:C256))</f>
        <v>248</v>
      </c>
      <c r="C256" s="49">
        <v>46630</v>
      </c>
      <c r="D256" s="50">
        <v>0.75</v>
      </c>
      <c r="E256" s="51" t="s">
        <v>139</v>
      </c>
      <c r="F256" s="52" t="str">
        <f t="shared" si="12"/>
        <v>Service technique</v>
      </c>
      <c r="G256" s="51" t="s">
        <v>134</v>
      </c>
      <c r="H256" s="51" t="s">
        <v>155</v>
      </c>
      <c r="I256" s="51" t="s">
        <v>156</v>
      </c>
      <c r="J256" s="51" t="s">
        <v>9</v>
      </c>
      <c r="K256" s="53">
        <v>53347</v>
      </c>
      <c r="L256" s="53">
        <v>53371</v>
      </c>
      <c r="M256" s="54">
        <f t="shared" si="13"/>
        <v>24</v>
      </c>
      <c r="N256" s="55">
        <f t="shared" si="14"/>
        <v>0</v>
      </c>
      <c r="O256" s="56" t="str">
        <f t="shared" si="15"/>
        <v>Conforme</v>
      </c>
      <c r="P256" s="51"/>
      <c r="R256" s="57" t="str">
        <f>IF(AND($E256=RelConducteur,$J256="Professionnel",ISNUMBER($C256),$C256&gt;=RelDebut,$C256&lt;=RelFin),COUNTIFS($E$9:$E256,RelConducteur,$J$9:$J256,"Professionnel",$C$9:$C256,"&gt;="&amp;RelDebut,$C$9:$C256,"&lt;="&amp;RelFin),"")</f>
        <v/>
      </c>
    </row>
    <row r="257" spans="2:18" ht="18" customHeight="1" x14ac:dyDescent="0.25">
      <c r="B257" s="48">
        <f>IF(C257="","",COUNT($C$9:C257))</f>
        <v>249</v>
      </c>
      <c r="C257" s="49">
        <v>46631</v>
      </c>
      <c r="D257" s="50">
        <v>0.33333333333333331</v>
      </c>
      <c r="E257" s="51" t="s">
        <v>133</v>
      </c>
      <c r="F257" s="52" t="str">
        <f t="shared" si="12"/>
        <v>Service technique</v>
      </c>
      <c r="G257" s="51" t="s">
        <v>134</v>
      </c>
      <c r="H257" s="51" t="s">
        <v>146</v>
      </c>
      <c r="I257" s="51" t="s">
        <v>147</v>
      </c>
      <c r="J257" s="51" t="s">
        <v>8</v>
      </c>
      <c r="K257" s="53">
        <v>53371</v>
      </c>
      <c r="L257" s="53">
        <v>53408</v>
      </c>
      <c r="M257" s="54">
        <f t="shared" si="13"/>
        <v>37</v>
      </c>
      <c r="N257" s="55">
        <f t="shared" si="14"/>
        <v>0</v>
      </c>
      <c r="O257" s="56" t="str">
        <f t="shared" si="15"/>
        <v>Conforme</v>
      </c>
      <c r="P257" s="51"/>
      <c r="R257" s="57" t="str">
        <f>IF(AND($E257=RelConducteur,$J257="Professionnel",ISNUMBER($C257),$C257&gt;=RelDebut,$C257&lt;=RelFin),COUNTIFS($E$9:$E257,RelConducteur,$J$9:$J257,"Professionnel",$C$9:$C257,"&gt;="&amp;RelDebut,$C$9:$C257,"&lt;="&amp;RelFin),"")</f>
        <v/>
      </c>
    </row>
    <row r="258" spans="2:18" ht="18" customHeight="1" x14ac:dyDescent="0.25">
      <c r="B258" s="48">
        <f>IF(C258="","",COUNT($C$9:C258))</f>
        <v>250</v>
      </c>
      <c r="C258" s="49">
        <v>46631</v>
      </c>
      <c r="D258" s="50">
        <v>0.60416666666666663</v>
      </c>
      <c r="E258" s="51" t="s">
        <v>139</v>
      </c>
      <c r="F258" s="52" t="str">
        <f t="shared" si="12"/>
        <v>Service technique</v>
      </c>
      <c r="G258" s="51" t="s">
        <v>134</v>
      </c>
      <c r="H258" s="51" t="s">
        <v>144</v>
      </c>
      <c r="I258" s="51" t="s">
        <v>145</v>
      </c>
      <c r="J258" s="51" t="s">
        <v>8</v>
      </c>
      <c r="K258" s="53">
        <v>53408</v>
      </c>
      <c r="L258" s="53">
        <v>53437</v>
      </c>
      <c r="M258" s="54">
        <f t="shared" si="13"/>
        <v>29</v>
      </c>
      <c r="N258" s="55">
        <f t="shared" si="14"/>
        <v>0</v>
      </c>
      <c r="O258" s="56" t="str">
        <f t="shared" si="15"/>
        <v>Conforme</v>
      </c>
      <c r="P258" s="51"/>
      <c r="R258" s="57" t="str">
        <f>IF(AND($E258=RelConducteur,$J258="Professionnel",ISNUMBER($C258),$C258&gt;=RelDebut,$C258&lt;=RelFin),COUNTIFS($E$9:$E258,RelConducteur,$J$9:$J258,"Professionnel",$C$9:$C258,"&gt;="&amp;RelDebut,$C$9:$C258,"&lt;="&amp;RelFin),"")</f>
        <v/>
      </c>
    </row>
    <row r="259" spans="2:18" ht="18" customHeight="1" x14ac:dyDescent="0.25">
      <c r="B259" s="48">
        <f>IF(C259="","",COUNT($C$9:C259))</f>
        <v>251</v>
      </c>
      <c r="C259" s="49">
        <v>46631</v>
      </c>
      <c r="D259" s="50">
        <v>0.75</v>
      </c>
      <c r="E259" s="51" t="s">
        <v>139</v>
      </c>
      <c r="F259" s="52" t="str">
        <f t="shared" si="12"/>
        <v>Service technique</v>
      </c>
      <c r="G259" s="51" t="s">
        <v>134</v>
      </c>
      <c r="H259" s="51" t="s">
        <v>155</v>
      </c>
      <c r="I259" s="51" t="s">
        <v>156</v>
      </c>
      <c r="J259" s="51" t="s">
        <v>9</v>
      </c>
      <c r="K259" s="53">
        <v>53437</v>
      </c>
      <c r="L259" s="53">
        <v>53461</v>
      </c>
      <c r="M259" s="54">
        <f t="shared" si="13"/>
        <v>24</v>
      </c>
      <c r="N259" s="55">
        <f t="shared" si="14"/>
        <v>0</v>
      </c>
      <c r="O259" s="56" t="str">
        <f t="shared" si="15"/>
        <v>Conforme</v>
      </c>
      <c r="P259" s="51"/>
      <c r="R259" s="57" t="str">
        <f>IF(AND($E259=RelConducteur,$J259="Professionnel",ISNUMBER($C259),$C259&gt;=RelDebut,$C259&lt;=RelFin),COUNTIFS($E$9:$E259,RelConducteur,$J$9:$J259,"Professionnel",$C$9:$C259,"&gt;="&amp;RelDebut,$C$9:$C259,"&lt;="&amp;RelFin),"")</f>
        <v/>
      </c>
    </row>
    <row r="260" spans="2:18" ht="18" customHeight="1" x14ac:dyDescent="0.25">
      <c r="B260" s="48">
        <f>IF(C260="","",COUNT($C$9:C260))</f>
        <v>252</v>
      </c>
      <c r="C260" s="49">
        <v>46632</v>
      </c>
      <c r="D260" s="50">
        <v>0.75</v>
      </c>
      <c r="E260" s="51" t="s">
        <v>139</v>
      </c>
      <c r="F260" s="52" t="str">
        <f t="shared" si="12"/>
        <v>Service technique</v>
      </c>
      <c r="G260" s="51" t="s">
        <v>134</v>
      </c>
      <c r="H260" s="51" t="s">
        <v>155</v>
      </c>
      <c r="I260" s="51" t="s">
        <v>156</v>
      </c>
      <c r="J260" s="51" t="s">
        <v>9</v>
      </c>
      <c r="K260" s="53">
        <v>53461</v>
      </c>
      <c r="L260" s="53">
        <v>53485</v>
      </c>
      <c r="M260" s="54">
        <f t="shared" si="13"/>
        <v>24</v>
      </c>
      <c r="N260" s="55">
        <f t="shared" si="14"/>
        <v>0</v>
      </c>
      <c r="O260" s="56" t="str">
        <f t="shared" si="15"/>
        <v>Conforme</v>
      </c>
      <c r="P260" s="51"/>
      <c r="R260" s="57" t="str">
        <f>IF(AND($E260=RelConducteur,$J260="Professionnel",ISNUMBER($C260),$C260&gt;=RelDebut,$C260&lt;=RelFin),COUNTIFS($E$9:$E260,RelConducteur,$J$9:$J260,"Professionnel",$C$9:$C260,"&gt;="&amp;RelDebut,$C$9:$C260,"&lt;="&amp;RelFin),"")</f>
        <v/>
      </c>
    </row>
    <row r="261" spans="2:18" ht="18" customHeight="1" x14ac:dyDescent="0.25">
      <c r="B261" s="48">
        <f>IF(C261="","",COUNT($C$9:C261))</f>
        <v>253</v>
      </c>
      <c r="C261" s="49">
        <v>46633</v>
      </c>
      <c r="D261" s="50">
        <v>0.35416666666666669</v>
      </c>
      <c r="E261" s="51" t="s">
        <v>133</v>
      </c>
      <c r="F261" s="52" t="str">
        <f t="shared" si="12"/>
        <v>Service technique</v>
      </c>
      <c r="G261" s="51" t="s">
        <v>134</v>
      </c>
      <c r="H261" s="51" t="s">
        <v>165</v>
      </c>
      <c r="I261" s="51" t="s">
        <v>166</v>
      </c>
      <c r="J261" s="51" t="s">
        <v>8</v>
      </c>
      <c r="K261" s="53">
        <v>53485</v>
      </c>
      <c r="L261" s="53">
        <v>53555</v>
      </c>
      <c r="M261" s="54">
        <f t="shared" si="13"/>
        <v>70</v>
      </c>
      <c r="N261" s="55">
        <f t="shared" si="14"/>
        <v>0</v>
      </c>
      <c r="O261" s="56" t="str">
        <f t="shared" si="15"/>
        <v>Conforme</v>
      </c>
      <c r="P261" s="51"/>
      <c r="R261" s="57" t="str">
        <f>IF(AND($E261=RelConducteur,$J261="Professionnel",ISNUMBER($C261),$C261&gt;=RelDebut,$C261&lt;=RelFin),COUNTIFS($E$9:$E261,RelConducteur,$J$9:$J261,"Professionnel",$C$9:$C261,"&gt;="&amp;RelDebut,$C$9:$C261,"&lt;="&amp;RelFin),"")</f>
        <v/>
      </c>
    </row>
    <row r="262" spans="2:18" ht="18" customHeight="1" x14ac:dyDescent="0.25">
      <c r="B262" s="48">
        <f>IF(C262="","",COUNT($C$9:C262))</f>
        <v>254</v>
      </c>
      <c r="C262" s="49">
        <v>46633</v>
      </c>
      <c r="D262" s="50">
        <v>0.4375</v>
      </c>
      <c r="E262" s="51" t="s">
        <v>148</v>
      </c>
      <c r="F262" s="52" t="str">
        <f t="shared" si="12"/>
        <v>Service commercial</v>
      </c>
      <c r="G262" s="51" t="s">
        <v>134</v>
      </c>
      <c r="H262" s="51" t="s">
        <v>159</v>
      </c>
      <c r="I262" s="51" t="s">
        <v>160</v>
      </c>
      <c r="J262" s="51" t="s">
        <v>8</v>
      </c>
      <c r="K262" s="53">
        <v>53555</v>
      </c>
      <c r="L262" s="53">
        <v>53688</v>
      </c>
      <c r="M262" s="54">
        <f t="shared" si="13"/>
        <v>133</v>
      </c>
      <c r="N262" s="55">
        <f t="shared" si="14"/>
        <v>0</v>
      </c>
      <c r="O262" s="56" t="str">
        <f t="shared" si="15"/>
        <v>Conforme</v>
      </c>
      <c r="P262" s="51"/>
      <c r="R262" s="57" t="str">
        <f>IF(AND($E262=RelConducteur,$J262="Professionnel",ISNUMBER($C262),$C262&gt;=RelDebut,$C262&lt;=RelFin),COUNTIFS($E$9:$E262,RelConducteur,$J$9:$J262,"Professionnel",$C$9:$C262,"&gt;="&amp;RelDebut,$C$9:$C262,"&lt;="&amp;RelFin),"")</f>
        <v/>
      </c>
    </row>
    <row r="263" spans="2:18" ht="18" customHeight="1" x14ac:dyDescent="0.25">
      <c r="B263" s="48">
        <f>IF(C263="","",COUNT($C$9:C263))</f>
        <v>255</v>
      </c>
      <c r="C263" s="49">
        <v>46636</v>
      </c>
      <c r="D263" s="50">
        <v>0.33333333333333331</v>
      </c>
      <c r="E263" s="51" t="s">
        <v>139</v>
      </c>
      <c r="F263" s="52" t="str">
        <f t="shared" si="12"/>
        <v>Service technique</v>
      </c>
      <c r="G263" s="51" t="s">
        <v>134</v>
      </c>
      <c r="H263" s="51" t="s">
        <v>144</v>
      </c>
      <c r="I263" s="51" t="s">
        <v>145</v>
      </c>
      <c r="J263" s="51" t="s">
        <v>8</v>
      </c>
      <c r="K263" s="53">
        <v>53688</v>
      </c>
      <c r="L263" s="53">
        <v>53718</v>
      </c>
      <c r="M263" s="54">
        <f t="shared" si="13"/>
        <v>30</v>
      </c>
      <c r="N263" s="55">
        <f t="shared" si="14"/>
        <v>0</v>
      </c>
      <c r="O263" s="56" t="str">
        <f t="shared" si="15"/>
        <v>Conforme</v>
      </c>
      <c r="P263" s="51"/>
      <c r="R263" s="57" t="str">
        <f>IF(AND($E263=RelConducteur,$J263="Professionnel",ISNUMBER($C263),$C263&gt;=RelDebut,$C263&lt;=RelFin),COUNTIFS($E$9:$E263,RelConducteur,$J$9:$J263,"Professionnel",$C$9:$C263,"&gt;="&amp;RelDebut,$C$9:$C263,"&lt;="&amp;RelFin),"")</f>
        <v/>
      </c>
    </row>
    <row r="264" spans="2:18" ht="18" customHeight="1" x14ac:dyDescent="0.25">
      <c r="B264" s="48">
        <f>IF(C264="","",COUNT($C$9:C264))</f>
        <v>256</v>
      </c>
      <c r="C264" s="49">
        <v>46637</v>
      </c>
      <c r="D264" s="50">
        <v>0.3125</v>
      </c>
      <c r="E264" s="51" t="s">
        <v>133</v>
      </c>
      <c r="F264" s="52" t="str">
        <f t="shared" si="12"/>
        <v>Service technique</v>
      </c>
      <c r="G264" s="51" t="s">
        <v>134</v>
      </c>
      <c r="H264" s="51" t="s">
        <v>140</v>
      </c>
      <c r="I264" s="51" t="s">
        <v>141</v>
      </c>
      <c r="J264" s="51" t="s">
        <v>8</v>
      </c>
      <c r="K264" s="53">
        <v>53718</v>
      </c>
      <c r="L264" s="53">
        <v>53744</v>
      </c>
      <c r="M264" s="54">
        <f t="shared" si="13"/>
        <v>26</v>
      </c>
      <c r="N264" s="55">
        <f t="shared" si="14"/>
        <v>0</v>
      </c>
      <c r="O264" s="56" t="str">
        <f t="shared" si="15"/>
        <v>Conforme</v>
      </c>
      <c r="P264" s="51"/>
      <c r="R264" s="57" t="str">
        <f>IF(AND($E264=RelConducteur,$J264="Professionnel",ISNUMBER($C264),$C264&gt;=RelDebut,$C264&lt;=RelFin),COUNTIFS($E$9:$E264,RelConducteur,$J$9:$J264,"Professionnel",$C$9:$C264,"&gt;="&amp;RelDebut,$C$9:$C264,"&lt;="&amp;RelFin),"")</f>
        <v/>
      </c>
    </row>
    <row r="265" spans="2:18" ht="18" customHeight="1" x14ac:dyDescent="0.25">
      <c r="B265" s="48">
        <f>IF(C265="","",COUNT($C$9:C265))</f>
        <v>257</v>
      </c>
      <c r="C265" s="49">
        <v>46637</v>
      </c>
      <c r="D265" s="50">
        <v>0.58333333333333337</v>
      </c>
      <c r="E265" s="51" t="s">
        <v>139</v>
      </c>
      <c r="F265" s="52" t="str">
        <f t="shared" ref="F265:F328" si="16">IF(OR(C265="",E265=""),"",IFERROR(INDEX(CondService,MATCH(E265,CondNoms,0))&amp;"","Conducteur inconnu"))</f>
        <v>Service technique</v>
      </c>
      <c r="G265" s="51" t="s">
        <v>134</v>
      </c>
      <c r="H265" s="51" t="s">
        <v>140</v>
      </c>
      <c r="I265" s="51" t="s">
        <v>141</v>
      </c>
      <c r="J265" s="51" t="s">
        <v>8</v>
      </c>
      <c r="K265" s="53">
        <v>53744</v>
      </c>
      <c r="L265" s="53">
        <v>53769</v>
      </c>
      <c r="M265" s="54">
        <f t="shared" ref="M265:M328" si="17">IF(OR(K265="",L265=""),"",L265-K265)</f>
        <v>25</v>
      </c>
      <c r="N265" s="55">
        <f t="shared" si="14"/>
        <v>0</v>
      </c>
      <c r="O265" s="56" t="str">
        <f t="shared" si="15"/>
        <v>Conforme</v>
      </c>
      <c r="P265" s="51"/>
      <c r="R265" s="57" t="str">
        <f>IF(AND($E265=RelConducteur,$J265="Professionnel",ISNUMBER($C265),$C265&gt;=RelDebut,$C265&lt;=RelFin),COUNTIFS($E$9:$E265,RelConducteur,$J$9:$J265,"Professionnel",$C$9:$C265,"&gt;="&amp;RelDebut,$C$9:$C265,"&lt;="&amp;RelFin),"")</f>
        <v/>
      </c>
    </row>
    <row r="266" spans="2:18" ht="18" customHeight="1" x14ac:dyDescent="0.25">
      <c r="B266" s="48">
        <f>IF(C266="","",COUNT($C$9:C266))</f>
        <v>258</v>
      </c>
      <c r="C266" s="49">
        <v>46638</v>
      </c>
      <c r="D266" s="50">
        <v>0.33333333333333331</v>
      </c>
      <c r="E266" s="51" t="s">
        <v>139</v>
      </c>
      <c r="F266" s="52" t="str">
        <f t="shared" si="16"/>
        <v>Service technique</v>
      </c>
      <c r="G266" s="51" t="s">
        <v>134</v>
      </c>
      <c r="H266" s="51" t="s">
        <v>137</v>
      </c>
      <c r="I266" s="51" t="s">
        <v>138</v>
      </c>
      <c r="J266" s="51" t="s">
        <v>8</v>
      </c>
      <c r="K266" s="53">
        <v>53769</v>
      </c>
      <c r="L266" s="53">
        <v>53834</v>
      </c>
      <c r="M266" s="54">
        <f t="shared" si="17"/>
        <v>65</v>
      </c>
      <c r="N266" s="55">
        <f t="shared" ref="N266:N329" si="18">IF(OR(C266="",K266="",L265=""),"",K266-L265)</f>
        <v>0</v>
      </c>
      <c r="O266" s="56" t="str">
        <f t="shared" ref="O266:O329" si="19">IF(C266="","",IF(OR(E266="",G266="",H266="",J266="",K266="",L266="",AND(J266="Professionnel",I266="")),"Incomplet",IF(AND(ISNUMBER(C265),C266&lt;C265),"Ordre des dates",IF(L266&lt;K266,"Compteur incohérent",IF(AND(ISNUMBER(N266),N266&gt;ToleranceKm),"Km non enregistrés",IF(AND(ISNUMBER(N266),N266&lt;-ToleranceKm),"Chevauchement",IF(AND(J266="Personnel",UsagePrive="Non"),"Usage privé non autorisé","Conforme")))))))</f>
        <v>Conforme</v>
      </c>
      <c r="P266" s="51"/>
      <c r="R266" s="57" t="str">
        <f>IF(AND($E266=RelConducteur,$J266="Professionnel",ISNUMBER($C266),$C266&gt;=RelDebut,$C266&lt;=RelFin),COUNTIFS($E$9:$E266,RelConducteur,$J$9:$J266,"Professionnel",$C$9:$C266,"&gt;="&amp;RelDebut,$C$9:$C266,"&lt;="&amp;RelFin),"")</f>
        <v/>
      </c>
    </row>
    <row r="267" spans="2:18" ht="18" customHeight="1" x14ac:dyDescent="0.25">
      <c r="B267" s="48">
        <f>IF(C267="","",COUNT($C$9:C267))</f>
        <v>259</v>
      </c>
      <c r="C267" s="49">
        <v>46638</v>
      </c>
      <c r="D267" s="50">
        <v>0.41666666666666669</v>
      </c>
      <c r="E267" s="51" t="s">
        <v>148</v>
      </c>
      <c r="F267" s="52" t="str">
        <f t="shared" si="16"/>
        <v>Service commercial</v>
      </c>
      <c r="G267" s="51" t="s">
        <v>134</v>
      </c>
      <c r="H267" s="51" t="s">
        <v>157</v>
      </c>
      <c r="I267" s="51" t="s">
        <v>158</v>
      </c>
      <c r="J267" s="51" t="s">
        <v>8</v>
      </c>
      <c r="K267" s="53">
        <v>53834</v>
      </c>
      <c r="L267" s="53">
        <v>54047</v>
      </c>
      <c r="M267" s="54">
        <f t="shared" si="17"/>
        <v>213</v>
      </c>
      <c r="N267" s="55">
        <f t="shared" si="18"/>
        <v>0</v>
      </c>
      <c r="O267" s="56" t="str">
        <f t="shared" si="19"/>
        <v>Conforme</v>
      </c>
      <c r="P267" s="51"/>
      <c r="R267" s="57" t="str">
        <f>IF(AND($E267=RelConducteur,$J267="Professionnel",ISNUMBER($C267),$C267&gt;=RelDebut,$C267&lt;=RelFin),COUNTIFS($E$9:$E267,RelConducteur,$J$9:$J267,"Professionnel",$C$9:$C267,"&gt;="&amp;RelDebut,$C$9:$C267,"&lt;="&amp;RelFin),"")</f>
        <v/>
      </c>
    </row>
    <row r="268" spans="2:18" ht="18" customHeight="1" x14ac:dyDescent="0.25">
      <c r="B268" s="48">
        <f>IF(C268="","",COUNT($C$9:C268))</f>
        <v>260</v>
      </c>
      <c r="C268" s="49">
        <v>46639</v>
      </c>
      <c r="D268" s="50">
        <v>0.35416666666666669</v>
      </c>
      <c r="E268" s="51" t="s">
        <v>133</v>
      </c>
      <c r="F268" s="52" t="str">
        <f t="shared" si="16"/>
        <v>Service technique</v>
      </c>
      <c r="G268" s="51" t="s">
        <v>134</v>
      </c>
      <c r="H268" s="51" t="s">
        <v>137</v>
      </c>
      <c r="I268" s="51" t="s">
        <v>138</v>
      </c>
      <c r="J268" s="51" t="s">
        <v>8</v>
      </c>
      <c r="K268" s="53">
        <v>54047</v>
      </c>
      <c r="L268" s="53">
        <v>54110</v>
      </c>
      <c r="M268" s="54">
        <f t="shared" si="17"/>
        <v>63</v>
      </c>
      <c r="N268" s="55">
        <f t="shared" si="18"/>
        <v>0</v>
      </c>
      <c r="O268" s="56" t="str">
        <f t="shared" si="19"/>
        <v>Conforme</v>
      </c>
      <c r="P268" s="51"/>
      <c r="R268" s="57" t="str">
        <f>IF(AND($E268=RelConducteur,$J268="Professionnel",ISNUMBER($C268),$C268&gt;=RelDebut,$C268&lt;=RelFin),COUNTIFS($E$9:$E268,RelConducteur,$J$9:$J268,"Professionnel",$C$9:$C268,"&gt;="&amp;RelDebut,$C$9:$C268,"&lt;="&amp;RelFin),"")</f>
        <v/>
      </c>
    </row>
    <row r="269" spans="2:18" ht="18" customHeight="1" x14ac:dyDescent="0.25">
      <c r="B269" s="48">
        <f>IF(C269="","",COUNT($C$9:C269))</f>
        <v>261</v>
      </c>
      <c r="C269" s="49">
        <v>46639</v>
      </c>
      <c r="D269" s="50">
        <v>0.60416666666666663</v>
      </c>
      <c r="E269" s="51" t="s">
        <v>139</v>
      </c>
      <c r="F269" s="52" t="str">
        <f t="shared" si="16"/>
        <v>Service technique</v>
      </c>
      <c r="G269" s="51" t="s">
        <v>134</v>
      </c>
      <c r="H269" s="51" t="s">
        <v>144</v>
      </c>
      <c r="I269" s="51" t="s">
        <v>145</v>
      </c>
      <c r="J269" s="51" t="s">
        <v>8</v>
      </c>
      <c r="K269" s="53">
        <v>54110</v>
      </c>
      <c r="L269" s="53">
        <v>54140</v>
      </c>
      <c r="M269" s="54">
        <f t="shared" si="17"/>
        <v>30</v>
      </c>
      <c r="N269" s="55">
        <f t="shared" si="18"/>
        <v>0</v>
      </c>
      <c r="O269" s="56" t="str">
        <f t="shared" si="19"/>
        <v>Conforme</v>
      </c>
      <c r="P269" s="51"/>
      <c r="R269" s="57" t="str">
        <f>IF(AND($E269=RelConducteur,$J269="Professionnel",ISNUMBER($C269),$C269&gt;=RelDebut,$C269&lt;=RelFin),COUNTIFS($E$9:$E269,RelConducteur,$J$9:$J269,"Professionnel",$C$9:$C269,"&gt;="&amp;RelDebut,$C$9:$C269,"&lt;="&amp;RelFin),"")</f>
        <v/>
      </c>
    </row>
    <row r="270" spans="2:18" ht="18" customHeight="1" x14ac:dyDescent="0.25">
      <c r="B270" s="48">
        <f>IF(C270="","",COUNT($C$9:C270))</f>
        <v>262</v>
      </c>
      <c r="C270" s="49">
        <v>46640</v>
      </c>
      <c r="D270" s="50">
        <v>0.35416666666666669</v>
      </c>
      <c r="E270" s="51" t="s">
        <v>139</v>
      </c>
      <c r="F270" s="52" t="str">
        <f t="shared" si="16"/>
        <v>Service technique</v>
      </c>
      <c r="G270" s="51" t="s">
        <v>134</v>
      </c>
      <c r="H270" s="51" t="s">
        <v>137</v>
      </c>
      <c r="I270" s="51" t="s">
        <v>138</v>
      </c>
      <c r="J270" s="51" t="s">
        <v>8</v>
      </c>
      <c r="K270" s="53">
        <v>54140</v>
      </c>
      <c r="L270" s="53">
        <v>54203</v>
      </c>
      <c r="M270" s="54">
        <f t="shared" si="17"/>
        <v>63</v>
      </c>
      <c r="N270" s="55">
        <f t="shared" si="18"/>
        <v>0</v>
      </c>
      <c r="O270" s="56" t="str">
        <f t="shared" si="19"/>
        <v>Conforme</v>
      </c>
      <c r="P270" s="51"/>
      <c r="R270" s="57" t="str">
        <f>IF(AND($E270=RelConducteur,$J270="Professionnel",ISNUMBER($C270),$C270&gt;=RelDebut,$C270&lt;=RelFin),COUNTIFS($E$9:$E270,RelConducteur,$J$9:$J270,"Professionnel",$C$9:$C270,"&gt;="&amp;RelDebut,$C$9:$C270,"&lt;="&amp;RelFin),"")</f>
        <v/>
      </c>
    </row>
    <row r="271" spans="2:18" ht="18" customHeight="1" x14ac:dyDescent="0.25">
      <c r="B271" s="48">
        <f>IF(C271="","",COUNT($C$9:C271))</f>
        <v>263</v>
      </c>
      <c r="C271" s="49">
        <v>46643</v>
      </c>
      <c r="D271" s="50">
        <v>0.35416666666666669</v>
      </c>
      <c r="E271" s="51" t="s">
        <v>133</v>
      </c>
      <c r="F271" s="52" t="str">
        <f t="shared" si="16"/>
        <v>Service technique</v>
      </c>
      <c r="G271" s="51" t="s">
        <v>134</v>
      </c>
      <c r="H271" s="51" t="s">
        <v>165</v>
      </c>
      <c r="I271" s="51" t="s">
        <v>166</v>
      </c>
      <c r="J271" s="51" t="s">
        <v>8</v>
      </c>
      <c r="K271" s="53">
        <v>54203</v>
      </c>
      <c r="L271" s="53">
        <v>54272</v>
      </c>
      <c r="M271" s="54">
        <f t="shared" si="17"/>
        <v>69</v>
      </c>
      <c r="N271" s="55">
        <f t="shared" si="18"/>
        <v>0</v>
      </c>
      <c r="O271" s="56" t="str">
        <f t="shared" si="19"/>
        <v>Conforme</v>
      </c>
      <c r="P271" s="51"/>
      <c r="R271" s="57" t="str">
        <f>IF(AND($E271=RelConducteur,$J271="Professionnel",ISNUMBER($C271),$C271&gt;=RelDebut,$C271&lt;=RelFin),COUNTIFS($E$9:$E271,RelConducteur,$J$9:$J271,"Professionnel",$C$9:$C271,"&gt;="&amp;RelDebut,$C$9:$C271,"&lt;="&amp;RelFin),"")</f>
        <v/>
      </c>
    </row>
    <row r="272" spans="2:18" ht="18" customHeight="1" x14ac:dyDescent="0.25">
      <c r="B272" s="48">
        <f>IF(C272="","",COUNT($C$9:C272))</f>
        <v>264</v>
      </c>
      <c r="C272" s="49">
        <v>46643</v>
      </c>
      <c r="D272" s="50">
        <v>0.58333333333333337</v>
      </c>
      <c r="E272" s="51" t="s">
        <v>139</v>
      </c>
      <c r="F272" s="52" t="str">
        <f t="shared" si="16"/>
        <v>Service technique</v>
      </c>
      <c r="G272" s="51" t="s">
        <v>134</v>
      </c>
      <c r="H272" s="51" t="s">
        <v>137</v>
      </c>
      <c r="I272" s="51" t="s">
        <v>138</v>
      </c>
      <c r="J272" s="51" t="s">
        <v>8</v>
      </c>
      <c r="K272" s="53">
        <v>54272</v>
      </c>
      <c r="L272" s="53">
        <v>54336</v>
      </c>
      <c r="M272" s="54">
        <f t="shared" si="17"/>
        <v>64</v>
      </c>
      <c r="N272" s="55">
        <f t="shared" si="18"/>
        <v>0</v>
      </c>
      <c r="O272" s="56" t="str">
        <f t="shared" si="19"/>
        <v>Conforme</v>
      </c>
      <c r="P272" s="51"/>
      <c r="R272" s="57" t="str">
        <f>IF(AND($E272=RelConducteur,$J272="Professionnel",ISNUMBER($C272),$C272&gt;=RelDebut,$C272&lt;=RelFin),COUNTIFS($E$9:$E272,RelConducteur,$J$9:$J272,"Professionnel",$C$9:$C272,"&gt;="&amp;RelDebut,$C$9:$C272,"&lt;="&amp;RelFin),"")</f>
        <v/>
      </c>
    </row>
    <row r="273" spans="2:18" ht="18" customHeight="1" x14ac:dyDescent="0.25">
      <c r="B273" s="48">
        <f>IF(C273="","",COUNT($C$9:C273))</f>
        <v>265</v>
      </c>
      <c r="C273" s="49">
        <v>46644</v>
      </c>
      <c r="D273" s="50">
        <v>0.35416666666666669</v>
      </c>
      <c r="E273" s="51" t="s">
        <v>139</v>
      </c>
      <c r="F273" s="52" t="str">
        <f t="shared" si="16"/>
        <v>Service technique</v>
      </c>
      <c r="G273" s="51" t="s">
        <v>134</v>
      </c>
      <c r="H273" s="51" t="s">
        <v>151</v>
      </c>
      <c r="I273" s="51" t="s">
        <v>152</v>
      </c>
      <c r="J273" s="51" t="s">
        <v>8</v>
      </c>
      <c r="K273" s="53">
        <v>54353</v>
      </c>
      <c r="L273" s="53">
        <v>54409</v>
      </c>
      <c r="M273" s="54">
        <f t="shared" si="17"/>
        <v>56</v>
      </c>
      <c r="N273" s="55">
        <f t="shared" si="18"/>
        <v>17</v>
      </c>
      <c r="O273" s="56" t="str">
        <f t="shared" si="19"/>
        <v>Km non enregistrés</v>
      </c>
      <c r="P273" s="51"/>
      <c r="R273" s="57" t="str">
        <f>IF(AND($E273=RelConducteur,$J273="Professionnel",ISNUMBER($C273),$C273&gt;=RelDebut,$C273&lt;=RelFin),COUNTIFS($E$9:$E273,RelConducteur,$J$9:$J273,"Professionnel",$C$9:$C273,"&gt;="&amp;RelDebut,$C$9:$C273,"&lt;="&amp;RelFin),"")</f>
        <v/>
      </c>
    </row>
    <row r="274" spans="2:18" ht="18" customHeight="1" x14ac:dyDescent="0.25">
      <c r="B274" s="48">
        <f>IF(C274="","",COUNT($C$9:C274))</f>
        <v>266</v>
      </c>
      <c r="C274" s="49">
        <v>46644</v>
      </c>
      <c r="D274" s="50">
        <v>0.60416666666666663</v>
      </c>
      <c r="E274" s="51" t="s">
        <v>133</v>
      </c>
      <c r="F274" s="52" t="str">
        <f t="shared" si="16"/>
        <v>Service technique</v>
      </c>
      <c r="G274" s="51" t="s">
        <v>134</v>
      </c>
      <c r="H274" s="51" t="s">
        <v>142</v>
      </c>
      <c r="I274" s="51" t="s">
        <v>143</v>
      </c>
      <c r="J274" s="51" t="s">
        <v>8</v>
      </c>
      <c r="K274" s="53">
        <v>54409</v>
      </c>
      <c r="L274" s="53">
        <v>54427</v>
      </c>
      <c r="M274" s="54">
        <f t="shared" si="17"/>
        <v>18</v>
      </c>
      <c r="N274" s="55">
        <f t="shared" si="18"/>
        <v>0</v>
      </c>
      <c r="O274" s="56" t="str">
        <f t="shared" si="19"/>
        <v>Conforme</v>
      </c>
      <c r="P274" s="51"/>
      <c r="R274" s="57" t="str">
        <f>IF(AND($E274=RelConducteur,$J274="Professionnel",ISNUMBER($C274),$C274&gt;=RelDebut,$C274&lt;=RelFin),COUNTIFS($E$9:$E274,RelConducteur,$J$9:$J274,"Professionnel",$C$9:$C274,"&gt;="&amp;RelDebut,$C$9:$C274,"&lt;="&amp;RelFin),"")</f>
        <v/>
      </c>
    </row>
    <row r="275" spans="2:18" ht="18" customHeight="1" x14ac:dyDescent="0.25">
      <c r="B275" s="48">
        <f>IF(C275="","",COUNT($C$9:C275))</f>
        <v>267</v>
      </c>
      <c r="C275" s="49">
        <v>46645</v>
      </c>
      <c r="D275" s="50">
        <v>0.3125</v>
      </c>
      <c r="E275" s="51" t="s">
        <v>133</v>
      </c>
      <c r="F275" s="52" t="str">
        <f t="shared" si="16"/>
        <v>Service technique</v>
      </c>
      <c r="G275" s="51" t="s">
        <v>134</v>
      </c>
      <c r="H275" s="51" t="s">
        <v>161</v>
      </c>
      <c r="I275" s="51" t="s">
        <v>162</v>
      </c>
      <c r="J275" s="51" t="s">
        <v>8</v>
      </c>
      <c r="K275" s="53">
        <v>54427</v>
      </c>
      <c r="L275" s="53">
        <v>54457</v>
      </c>
      <c r="M275" s="54">
        <f t="shared" si="17"/>
        <v>30</v>
      </c>
      <c r="N275" s="55">
        <f t="shared" si="18"/>
        <v>0</v>
      </c>
      <c r="O275" s="56" t="str">
        <f t="shared" si="19"/>
        <v>Conforme</v>
      </c>
      <c r="P275" s="51"/>
      <c r="R275" s="57" t="str">
        <f>IF(AND($E275=RelConducteur,$J275="Professionnel",ISNUMBER($C275),$C275&gt;=RelDebut,$C275&lt;=RelFin),COUNTIFS($E$9:$E275,RelConducteur,$J$9:$J275,"Professionnel",$C$9:$C275,"&gt;="&amp;RelDebut,$C$9:$C275,"&lt;="&amp;RelFin),"")</f>
        <v/>
      </c>
    </row>
    <row r="276" spans="2:18" ht="18" customHeight="1" x14ac:dyDescent="0.25">
      <c r="B276" s="48">
        <f>IF(C276="","",COUNT($C$9:C276))</f>
        <v>268</v>
      </c>
      <c r="C276" s="49">
        <v>46646</v>
      </c>
      <c r="D276" s="50">
        <v>0.35416666666666669</v>
      </c>
      <c r="E276" s="51" t="s">
        <v>139</v>
      </c>
      <c r="F276" s="52" t="str">
        <f t="shared" si="16"/>
        <v>Service technique</v>
      </c>
      <c r="G276" s="51" t="s">
        <v>134</v>
      </c>
      <c r="H276" s="51" t="s">
        <v>137</v>
      </c>
      <c r="I276" s="51" t="s">
        <v>138</v>
      </c>
      <c r="J276" s="51" t="s">
        <v>8</v>
      </c>
      <c r="K276" s="53">
        <v>54457</v>
      </c>
      <c r="L276" s="53">
        <v>54520</v>
      </c>
      <c r="M276" s="54">
        <f t="shared" si="17"/>
        <v>63</v>
      </c>
      <c r="N276" s="55">
        <f t="shared" si="18"/>
        <v>0</v>
      </c>
      <c r="O276" s="56" t="str">
        <f t="shared" si="19"/>
        <v>Conforme</v>
      </c>
      <c r="P276" s="51"/>
      <c r="R276" s="57" t="str">
        <f>IF(AND($E276=RelConducteur,$J276="Professionnel",ISNUMBER($C276),$C276&gt;=RelDebut,$C276&lt;=RelFin),COUNTIFS($E$9:$E276,RelConducteur,$J$9:$J276,"Professionnel",$C$9:$C276,"&gt;="&amp;RelDebut,$C$9:$C276,"&lt;="&amp;RelFin),"")</f>
        <v/>
      </c>
    </row>
    <row r="277" spans="2:18" ht="18" customHeight="1" x14ac:dyDescent="0.25">
      <c r="B277" s="48">
        <f>IF(C277="","",COUNT($C$9:C277))</f>
        <v>269</v>
      </c>
      <c r="C277" s="49">
        <v>46647</v>
      </c>
      <c r="D277" s="50">
        <v>0.41666666666666669</v>
      </c>
      <c r="E277" s="51" t="s">
        <v>148</v>
      </c>
      <c r="F277" s="52" t="str">
        <f t="shared" si="16"/>
        <v>Service commercial</v>
      </c>
      <c r="G277" s="51" t="s">
        <v>134</v>
      </c>
      <c r="H277" s="51" t="s">
        <v>159</v>
      </c>
      <c r="I277" s="51" t="s">
        <v>160</v>
      </c>
      <c r="J277" s="51" t="s">
        <v>8</v>
      </c>
      <c r="K277" s="53">
        <v>54520</v>
      </c>
      <c r="L277" s="53">
        <v>54646</v>
      </c>
      <c r="M277" s="54">
        <f t="shared" si="17"/>
        <v>126</v>
      </c>
      <c r="N277" s="55">
        <f t="shared" si="18"/>
        <v>0</v>
      </c>
      <c r="O277" s="56" t="str">
        <f t="shared" si="19"/>
        <v>Conforme</v>
      </c>
      <c r="P277" s="51"/>
      <c r="R277" s="57" t="str">
        <f>IF(AND($E277=RelConducteur,$J277="Professionnel",ISNUMBER($C277),$C277&gt;=RelDebut,$C277&lt;=RelFin),COUNTIFS($E$9:$E277,RelConducteur,$J$9:$J277,"Professionnel",$C$9:$C277,"&gt;="&amp;RelDebut,$C$9:$C277,"&lt;="&amp;RelFin),"")</f>
        <v/>
      </c>
    </row>
    <row r="278" spans="2:18" ht="18" customHeight="1" x14ac:dyDescent="0.25">
      <c r="B278" s="48">
        <f>IF(C278="","",COUNT($C$9:C278))</f>
        <v>270</v>
      </c>
      <c r="C278" s="49">
        <v>46651</v>
      </c>
      <c r="D278" s="50">
        <v>0.35416666666666669</v>
      </c>
      <c r="E278" s="51" t="s">
        <v>133</v>
      </c>
      <c r="F278" s="52" t="str">
        <f t="shared" si="16"/>
        <v>Service technique</v>
      </c>
      <c r="G278" s="51" t="s">
        <v>134</v>
      </c>
      <c r="H278" s="51" t="s">
        <v>140</v>
      </c>
      <c r="I278" s="51" t="s">
        <v>141</v>
      </c>
      <c r="J278" s="51" t="s">
        <v>8</v>
      </c>
      <c r="K278" s="53">
        <v>54646</v>
      </c>
      <c r="L278" s="53">
        <v>54670</v>
      </c>
      <c r="M278" s="54">
        <f t="shared" si="17"/>
        <v>24</v>
      </c>
      <c r="N278" s="55">
        <f t="shared" si="18"/>
        <v>0</v>
      </c>
      <c r="O278" s="56" t="str">
        <f t="shared" si="19"/>
        <v>Conforme</v>
      </c>
      <c r="P278" s="51"/>
      <c r="R278" s="57" t="str">
        <f>IF(AND($E278=RelConducteur,$J278="Professionnel",ISNUMBER($C278),$C278&gt;=RelDebut,$C278&lt;=RelFin),COUNTIFS($E$9:$E278,RelConducteur,$J$9:$J278,"Professionnel",$C$9:$C278,"&gt;="&amp;RelDebut,$C$9:$C278,"&lt;="&amp;RelFin),"")</f>
        <v/>
      </c>
    </row>
    <row r="279" spans="2:18" ht="18" customHeight="1" x14ac:dyDescent="0.25">
      <c r="B279" s="48">
        <f>IF(C279="","",COUNT($C$9:C279))</f>
        <v>271</v>
      </c>
      <c r="C279" s="49">
        <v>46652</v>
      </c>
      <c r="D279" s="50">
        <v>0.3125</v>
      </c>
      <c r="E279" s="51" t="s">
        <v>139</v>
      </c>
      <c r="F279" s="52" t="str">
        <f t="shared" si="16"/>
        <v>Service technique</v>
      </c>
      <c r="G279" s="51" t="s">
        <v>134</v>
      </c>
      <c r="H279" s="51" t="s">
        <v>142</v>
      </c>
      <c r="I279" s="51" t="s">
        <v>143</v>
      </c>
      <c r="J279" s="51" t="s">
        <v>8</v>
      </c>
      <c r="K279" s="53">
        <v>54670</v>
      </c>
      <c r="L279" s="53">
        <v>54686</v>
      </c>
      <c r="M279" s="54">
        <f t="shared" si="17"/>
        <v>16</v>
      </c>
      <c r="N279" s="55">
        <f t="shared" si="18"/>
        <v>0</v>
      </c>
      <c r="O279" s="56" t="str">
        <f t="shared" si="19"/>
        <v>Conforme</v>
      </c>
      <c r="P279" s="51"/>
      <c r="R279" s="57" t="str">
        <f>IF(AND($E279=RelConducteur,$J279="Professionnel",ISNUMBER($C279),$C279&gt;=RelDebut,$C279&lt;=RelFin),COUNTIFS($E$9:$E279,RelConducteur,$J$9:$J279,"Professionnel",$C$9:$C279,"&gt;="&amp;RelDebut,$C$9:$C279,"&lt;="&amp;RelFin),"")</f>
        <v/>
      </c>
    </row>
    <row r="280" spans="2:18" ht="18" customHeight="1" x14ac:dyDescent="0.25">
      <c r="B280" s="48">
        <f>IF(C280="","",COUNT($C$9:C280))</f>
        <v>272</v>
      </c>
      <c r="C280" s="49">
        <v>46653</v>
      </c>
      <c r="D280" s="50">
        <v>0.33333333333333331</v>
      </c>
      <c r="E280" s="51" t="s">
        <v>133</v>
      </c>
      <c r="F280" s="52" t="str">
        <f t="shared" si="16"/>
        <v>Service technique</v>
      </c>
      <c r="G280" s="51" t="s">
        <v>134</v>
      </c>
      <c r="H280" s="51" t="s">
        <v>163</v>
      </c>
      <c r="I280" s="51" t="s">
        <v>164</v>
      </c>
      <c r="J280" s="51" t="s">
        <v>8</v>
      </c>
      <c r="K280" s="53">
        <v>54686</v>
      </c>
      <c r="L280" s="53">
        <v>54713</v>
      </c>
      <c r="M280" s="54">
        <f t="shared" si="17"/>
        <v>27</v>
      </c>
      <c r="N280" s="55">
        <f t="shared" si="18"/>
        <v>0</v>
      </c>
      <c r="O280" s="56" t="str">
        <f t="shared" si="19"/>
        <v>Conforme</v>
      </c>
      <c r="P280" s="51"/>
      <c r="R280" s="57" t="str">
        <f>IF(AND($E280=RelConducteur,$J280="Professionnel",ISNUMBER($C280),$C280&gt;=RelDebut,$C280&lt;=RelFin),COUNTIFS($E$9:$E280,RelConducteur,$J$9:$J280,"Professionnel",$C$9:$C280,"&gt;="&amp;RelDebut,$C$9:$C280,"&lt;="&amp;RelFin),"")</f>
        <v/>
      </c>
    </row>
    <row r="281" spans="2:18" ht="18" customHeight="1" x14ac:dyDescent="0.25">
      <c r="B281" s="48">
        <f>IF(C281="","",COUNT($C$9:C281))</f>
        <v>273</v>
      </c>
      <c r="C281" s="49">
        <v>46653</v>
      </c>
      <c r="D281" s="50">
        <v>0.41666666666666669</v>
      </c>
      <c r="E281" s="51" t="s">
        <v>148</v>
      </c>
      <c r="F281" s="52" t="str">
        <f t="shared" si="16"/>
        <v>Service commercial</v>
      </c>
      <c r="G281" s="51" t="s">
        <v>134</v>
      </c>
      <c r="H281" s="51" t="s">
        <v>159</v>
      </c>
      <c r="I281" s="51" t="s">
        <v>160</v>
      </c>
      <c r="J281" s="51" t="s">
        <v>8</v>
      </c>
      <c r="K281" s="53">
        <v>54713</v>
      </c>
      <c r="L281" s="53">
        <v>54845</v>
      </c>
      <c r="M281" s="54">
        <f t="shared" si="17"/>
        <v>132</v>
      </c>
      <c r="N281" s="55">
        <f t="shared" si="18"/>
        <v>0</v>
      </c>
      <c r="O281" s="56" t="str">
        <f t="shared" si="19"/>
        <v>Conforme</v>
      </c>
      <c r="P281" s="51"/>
      <c r="R281" s="57" t="str">
        <f>IF(AND($E281=RelConducteur,$J281="Professionnel",ISNUMBER($C281),$C281&gt;=RelDebut,$C281&lt;=RelFin),COUNTIFS($E$9:$E281,RelConducteur,$J$9:$J281,"Professionnel",$C$9:$C281,"&gt;="&amp;RelDebut,$C$9:$C281,"&lt;="&amp;RelFin),"")</f>
        <v/>
      </c>
    </row>
    <row r="282" spans="2:18" ht="18" customHeight="1" x14ac:dyDescent="0.25">
      <c r="B282" s="48">
        <f>IF(C282="","",COUNT($C$9:C282))</f>
        <v>274</v>
      </c>
      <c r="C282" s="49">
        <v>46654</v>
      </c>
      <c r="D282" s="50">
        <v>0.35416666666666669</v>
      </c>
      <c r="E282" s="51" t="s">
        <v>139</v>
      </c>
      <c r="F282" s="52" t="str">
        <f t="shared" si="16"/>
        <v>Service technique</v>
      </c>
      <c r="G282" s="51" t="s">
        <v>134</v>
      </c>
      <c r="H282" s="51" t="s">
        <v>146</v>
      </c>
      <c r="I282" s="51" t="s">
        <v>147</v>
      </c>
      <c r="J282" s="51" t="s">
        <v>8</v>
      </c>
      <c r="K282" s="53">
        <v>54845</v>
      </c>
      <c r="L282" s="53">
        <v>54881</v>
      </c>
      <c r="M282" s="54">
        <f t="shared" si="17"/>
        <v>36</v>
      </c>
      <c r="N282" s="55">
        <f t="shared" si="18"/>
        <v>0</v>
      </c>
      <c r="O282" s="56" t="str">
        <f t="shared" si="19"/>
        <v>Conforme</v>
      </c>
      <c r="P282" s="51"/>
      <c r="R282" s="57" t="str">
        <f>IF(AND($E282=RelConducteur,$J282="Professionnel",ISNUMBER($C282),$C282&gt;=RelDebut,$C282&lt;=RelFin),COUNTIFS($E$9:$E282,RelConducteur,$J$9:$J282,"Professionnel",$C$9:$C282,"&gt;="&amp;RelDebut,$C$9:$C282,"&lt;="&amp;RelFin),"")</f>
        <v/>
      </c>
    </row>
    <row r="283" spans="2:18" ht="18" customHeight="1" x14ac:dyDescent="0.25">
      <c r="B283" s="48">
        <f>IF(C283="","",COUNT($C$9:C283))</f>
        <v>275</v>
      </c>
      <c r="C283" s="49">
        <v>46654</v>
      </c>
      <c r="D283" s="50">
        <v>0.58333333333333337</v>
      </c>
      <c r="E283" s="51" t="s">
        <v>133</v>
      </c>
      <c r="F283" s="52" t="str">
        <f t="shared" si="16"/>
        <v>Service technique</v>
      </c>
      <c r="G283" s="51" t="s">
        <v>134</v>
      </c>
      <c r="H283" s="51" t="s">
        <v>146</v>
      </c>
      <c r="I283" s="51" t="s">
        <v>147</v>
      </c>
      <c r="J283" s="51" t="s">
        <v>8</v>
      </c>
      <c r="K283" s="53">
        <v>54881</v>
      </c>
      <c r="L283" s="53">
        <v>54914</v>
      </c>
      <c r="M283" s="54">
        <f t="shared" si="17"/>
        <v>33</v>
      </c>
      <c r="N283" s="55">
        <f t="shared" si="18"/>
        <v>0</v>
      </c>
      <c r="O283" s="56" t="str">
        <f t="shared" si="19"/>
        <v>Conforme</v>
      </c>
      <c r="P283" s="51"/>
      <c r="R283" s="57" t="str">
        <f>IF(AND($E283=RelConducteur,$J283="Professionnel",ISNUMBER($C283),$C283&gt;=RelDebut,$C283&lt;=RelFin),COUNTIFS($E$9:$E283,RelConducteur,$J$9:$J283,"Professionnel",$C$9:$C283,"&gt;="&amp;RelDebut,$C$9:$C283,"&lt;="&amp;RelFin),"")</f>
        <v/>
      </c>
    </row>
    <row r="284" spans="2:18" ht="18" customHeight="1" x14ac:dyDescent="0.25">
      <c r="B284" s="48">
        <f>IF(C284="","",COUNT($C$9:C284))</f>
        <v>276</v>
      </c>
      <c r="C284" s="49">
        <v>46657</v>
      </c>
      <c r="D284" s="50">
        <v>0.35416666666666669</v>
      </c>
      <c r="E284" s="51" t="s">
        <v>133</v>
      </c>
      <c r="F284" s="52" t="str">
        <f t="shared" si="16"/>
        <v>Service technique</v>
      </c>
      <c r="G284" s="51" t="s">
        <v>134</v>
      </c>
      <c r="H284" s="51" t="s">
        <v>151</v>
      </c>
      <c r="I284" s="51" t="s">
        <v>152</v>
      </c>
      <c r="J284" s="51" t="s">
        <v>8</v>
      </c>
      <c r="K284" s="53">
        <v>54914</v>
      </c>
      <c r="L284" s="53">
        <v>54964</v>
      </c>
      <c r="M284" s="54">
        <f t="shared" si="17"/>
        <v>50</v>
      </c>
      <c r="N284" s="55">
        <f t="shared" si="18"/>
        <v>0</v>
      </c>
      <c r="O284" s="56" t="str">
        <f t="shared" si="19"/>
        <v>Conforme</v>
      </c>
      <c r="P284" s="51"/>
      <c r="R284" s="57" t="str">
        <f>IF(AND($E284=RelConducteur,$J284="Professionnel",ISNUMBER($C284),$C284&gt;=RelDebut,$C284&lt;=RelFin),COUNTIFS($E$9:$E284,RelConducteur,$J$9:$J284,"Professionnel",$C$9:$C284,"&gt;="&amp;RelDebut,$C$9:$C284,"&lt;="&amp;RelFin),"")</f>
        <v/>
      </c>
    </row>
    <row r="285" spans="2:18" ht="18" customHeight="1" x14ac:dyDescent="0.25">
      <c r="B285" s="48">
        <f>IF(C285="","",COUNT($C$9:C285))</f>
        <v>277</v>
      </c>
      <c r="C285" s="49">
        <v>46657</v>
      </c>
      <c r="D285" s="50">
        <v>0.58333333333333337</v>
      </c>
      <c r="E285" s="51" t="s">
        <v>139</v>
      </c>
      <c r="F285" s="52" t="str">
        <f t="shared" si="16"/>
        <v>Service technique</v>
      </c>
      <c r="G285" s="51" t="s">
        <v>134</v>
      </c>
      <c r="H285" s="51" t="s">
        <v>140</v>
      </c>
      <c r="I285" s="51" t="s">
        <v>141</v>
      </c>
      <c r="J285" s="51" t="s">
        <v>8</v>
      </c>
      <c r="K285" s="53">
        <v>54964</v>
      </c>
      <c r="L285" s="53">
        <v>54987</v>
      </c>
      <c r="M285" s="54">
        <f t="shared" si="17"/>
        <v>23</v>
      </c>
      <c r="N285" s="55">
        <f t="shared" si="18"/>
        <v>0</v>
      </c>
      <c r="O285" s="56" t="str">
        <f t="shared" si="19"/>
        <v>Conforme</v>
      </c>
      <c r="P285" s="51"/>
      <c r="R285" s="57" t="str">
        <f>IF(AND($E285=RelConducteur,$J285="Professionnel",ISNUMBER($C285),$C285&gt;=RelDebut,$C285&lt;=RelFin),COUNTIFS($E$9:$E285,RelConducteur,$J$9:$J285,"Professionnel",$C$9:$C285,"&gt;="&amp;RelDebut,$C$9:$C285,"&lt;="&amp;RelFin),"")</f>
        <v/>
      </c>
    </row>
    <row r="286" spans="2:18" ht="18" customHeight="1" x14ac:dyDescent="0.25">
      <c r="B286" s="48">
        <f>IF(C286="","",COUNT($C$9:C286))</f>
        <v>278</v>
      </c>
      <c r="C286" s="49">
        <v>46657</v>
      </c>
      <c r="D286" s="50">
        <v>0.75</v>
      </c>
      <c r="E286" s="51" t="s">
        <v>139</v>
      </c>
      <c r="F286" s="52" t="str">
        <f t="shared" si="16"/>
        <v>Service technique</v>
      </c>
      <c r="G286" s="51" t="s">
        <v>134</v>
      </c>
      <c r="H286" s="51" t="s">
        <v>155</v>
      </c>
      <c r="I286" s="51" t="s">
        <v>156</v>
      </c>
      <c r="J286" s="51" t="s">
        <v>9</v>
      </c>
      <c r="K286" s="53">
        <v>54987</v>
      </c>
      <c r="L286" s="53">
        <v>55011</v>
      </c>
      <c r="M286" s="54">
        <f t="shared" si="17"/>
        <v>24</v>
      </c>
      <c r="N286" s="55">
        <f t="shared" si="18"/>
        <v>0</v>
      </c>
      <c r="O286" s="56" t="str">
        <f t="shared" si="19"/>
        <v>Conforme</v>
      </c>
      <c r="P286" s="51"/>
      <c r="R286" s="57" t="str">
        <f>IF(AND($E286=RelConducteur,$J286="Professionnel",ISNUMBER($C286),$C286&gt;=RelDebut,$C286&lt;=RelFin),COUNTIFS($E$9:$E286,RelConducteur,$J$9:$J286,"Professionnel",$C$9:$C286,"&gt;="&amp;RelDebut,$C$9:$C286,"&lt;="&amp;RelFin),"")</f>
        <v/>
      </c>
    </row>
    <row r="287" spans="2:18" ht="18" customHeight="1" x14ac:dyDescent="0.25">
      <c r="B287" s="48">
        <f>IF(C287="","",COUNT($C$9:C287))</f>
        <v>279</v>
      </c>
      <c r="C287" s="49">
        <v>46658</v>
      </c>
      <c r="D287" s="50">
        <v>0.41666666666666669</v>
      </c>
      <c r="E287" s="51" t="s">
        <v>148</v>
      </c>
      <c r="F287" s="52" t="str">
        <f t="shared" si="16"/>
        <v>Service commercial</v>
      </c>
      <c r="G287" s="51" t="s">
        <v>134</v>
      </c>
      <c r="H287" s="51" t="s">
        <v>149</v>
      </c>
      <c r="I287" s="51" t="s">
        <v>150</v>
      </c>
      <c r="J287" s="51" t="s">
        <v>8</v>
      </c>
      <c r="K287" s="53">
        <v>55011</v>
      </c>
      <c r="L287" s="53">
        <v>55287</v>
      </c>
      <c r="M287" s="54">
        <f t="shared" si="17"/>
        <v>276</v>
      </c>
      <c r="N287" s="55">
        <f t="shared" si="18"/>
        <v>0</v>
      </c>
      <c r="O287" s="56" t="str">
        <f t="shared" si="19"/>
        <v>Conforme</v>
      </c>
      <c r="P287" s="51"/>
      <c r="R287" s="57" t="str">
        <f>IF(AND($E287=RelConducteur,$J287="Professionnel",ISNUMBER($C287),$C287&gt;=RelDebut,$C287&lt;=RelFin),COUNTIFS($E$9:$E287,RelConducteur,$J$9:$J287,"Professionnel",$C$9:$C287,"&gt;="&amp;RelDebut,$C$9:$C287,"&lt;="&amp;RelFin),"")</f>
        <v/>
      </c>
    </row>
    <row r="288" spans="2:18" ht="18" customHeight="1" x14ac:dyDescent="0.25">
      <c r="B288" s="48">
        <f>IF(C288="","",COUNT($C$9:C288))</f>
        <v>280</v>
      </c>
      <c r="C288" s="49">
        <v>46658</v>
      </c>
      <c r="D288" s="50">
        <v>0.75</v>
      </c>
      <c r="E288" s="51" t="s">
        <v>139</v>
      </c>
      <c r="F288" s="52" t="str">
        <f t="shared" si="16"/>
        <v>Service technique</v>
      </c>
      <c r="G288" s="51" t="s">
        <v>134</v>
      </c>
      <c r="H288" s="51" t="s">
        <v>155</v>
      </c>
      <c r="I288" s="51" t="s">
        <v>156</v>
      </c>
      <c r="J288" s="51" t="s">
        <v>9</v>
      </c>
      <c r="K288" s="53">
        <v>55287</v>
      </c>
      <c r="L288" s="53">
        <v>55311</v>
      </c>
      <c r="M288" s="54">
        <f t="shared" si="17"/>
        <v>24</v>
      </c>
      <c r="N288" s="55">
        <f t="shared" si="18"/>
        <v>0</v>
      </c>
      <c r="O288" s="56" t="str">
        <f t="shared" si="19"/>
        <v>Conforme</v>
      </c>
      <c r="P288" s="51"/>
      <c r="R288" s="57" t="str">
        <f>IF(AND($E288=RelConducteur,$J288="Professionnel",ISNUMBER($C288),$C288&gt;=RelDebut,$C288&lt;=RelFin),COUNTIFS($E$9:$E288,RelConducteur,$J$9:$J288,"Professionnel",$C$9:$C288,"&gt;="&amp;RelDebut,$C$9:$C288,"&lt;="&amp;RelFin),"")</f>
        <v/>
      </c>
    </row>
    <row r="289" spans="2:18" ht="18" customHeight="1" x14ac:dyDescent="0.25">
      <c r="B289" s="48">
        <f>IF(C289="","",COUNT($C$9:C289))</f>
        <v>281</v>
      </c>
      <c r="C289" s="49">
        <v>46659</v>
      </c>
      <c r="D289" s="50">
        <v>0.35416666666666669</v>
      </c>
      <c r="E289" s="51" t="s">
        <v>133</v>
      </c>
      <c r="F289" s="52" t="str">
        <f t="shared" si="16"/>
        <v>Service technique</v>
      </c>
      <c r="G289" s="51" t="s">
        <v>134</v>
      </c>
      <c r="H289" s="51" t="s">
        <v>144</v>
      </c>
      <c r="I289" s="51" t="s">
        <v>145</v>
      </c>
      <c r="J289" s="51" t="s">
        <v>8</v>
      </c>
      <c r="K289" s="53">
        <v>55311</v>
      </c>
      <c r="L289" s="53">
        <v>55339</v>
      </c>
      <c r="M289" s="54">
        <f t="shared" si="17"/>
        <v>28</v>
      </c>
      <c r="N289" s="55">
        <f t="shared" si="18"/>
        <v>0</v>
      </c>
      <c r="O289" s="56" t="str">
        <f t="shared" si="19"/>
        <v>Conforme</v>
      </c>
      <c r="P289" s="51"/>
      <c r="R289" s="57" t="str">
        <f>IF(AND($E289=RelConducteur,$J289="Professionnel",ISNUMBER($C289),$C289&gt;=RelDebut,$C289&lt;=RelFin),COUNTIFS($E$9:$E289,RelConducteur,$J$9:$J289,"Professionnel",$C$9:$C289,"&gt;="&amp;RelDebut,$C$9:$C289,"&lt;="&amp;RelFin),"")</f>
        <v/>
      </c>
    </row>
    <row r="290" spans="2:18" ht="18" customHeight="1" x14ac:dyDescent="0.25">
      <c r="B290" s="48">
        <f>IF(C290="","",COUNT($C$9:C290))</f>
        <v>282</v>
      </c>
      <c r="C290" s="49">
        <v>46659</v>
      </c>
      <c r="D290" s="50">
        <v>0.60416666666666663</v>
      </c>
      <c r="E290" s="51" t="s">
        <v>139</v>
      </c>
      <c r="F290" s="52" t="str">
        <f t="shared" si="16"/>
        <v>Service technique</v>
      </c>
      <c r="G290" s="51" t="s">
        <v>134</v>
      </c>
      <c r="H290" s="51" t="s">
        <v>151</v>
      </c>
      <c r="I290" s="51" t="s">
        <v>152</v>
      </c>
      <c r="J290" s="51" t="s">
        <v>8</v>
      </c>
      <c r="K290" s="53">
        <v>55339</v>
      </c>
      <c r="L290" s="53">
        <v>55393</v>
      </c>
      <c r="M290" s="54">
        <f t="shared" si="17"/>
        <v>54</v>
      </c>
      <c r="N290" s="55">
        <f t="shared" si="18"/>
        <v>0</v>
      </c>
      <c r="O290" s="56" t="str">
        <f t="shared" si="19"/>
        <v>Conforme</v>
      </c>
      <c r="P290" s="51"/>
      <c r="R290" s="57" t="str">
        <f>IF(AND($E290=RelConducteur,$J290="Professionnel",ISNUMBER($C290),$C290&gt;=RelDebut,$C290&lt;=RelFin),COUNTIFS($E$9:$E290,RelConducteur,$J$9:$J290,"Professionnel",$C$9:$C290,"&gt;="&amp;RelDebut,$C$9:$C290,"&lt;="&amp;RelFin),"")</f>
        <v/>
      </c>
    </row>
    <row r="291" spans="2:18" ht="18" customHeight="1" x14ac:dyDescent="0.25">
      <c r="B291" s="48">
        <f>IF(C291="","",COUNT($C$9:C291))</f>
        <v>283</v>
      </c>
      <c r="C291" s="49">
        <v>46659</v>
      </c>
      <c r="D291" s="50">
        <v>0.75</v>
      </c>
      <c r="E291" s="51" t="s">
        <v>139</v>
      </c>
      <c r="F291" s="52" t="str">
        <f t="shared" si="16"/>
        <v>Service technique</v>
      </c>
      <c r="G291" s="51" t="s">
        <v>134</v>
      </c>
      <c r="H291" s="51" t="s">
        <v>155</v>
      </c>
      <c r="I291" s="51" t="s">
        <v>156</v>
      </c>
      <c r="J291" s="51" t="s">
        <v>9</v>
      </c>
      <c r="K291" s="53">
        <v>55393</v>
      </c>
      <c r="L291" s="53">
        <v>55417</v>
      </c>
      <c r="M291" s="54">
        <f t="shared" si="17"/>
        <v>24</v>
      </c>
      <c r="N291" s="55">
        <f t="shared" si="18"/>
        <v>0</v>
      </c>
      <c r="O291" s="56" t="str">
        <f t="shared" si="19"/>
        <v>Conforme</v>
      </c>
      <c r="P291" s="51"/>
      <c r="R291" s="57" t="str">
        <f>IF(AND($E291=RelConducteur,$J291="Professionnel",ISNUMBER($C291),$C291&gt;=RelDebut,$C291&lt;=RelFin),COUNTIFS($E$9:$E291,RelConducteur,$J$9:$J291,"Professionnel",$C$9:$C291,"&gt;="&amp;RelDebut,$C$9:$C291,"&lt;="&amp;RelFin),"")</f>
        <v/>
      </c>
    </row>
    <row r="292" spans="2:18" ht="18" customHeight="1" x14ac:dyDescent="0.25">
      <c r="B292" s="48">
        <f>IF(C292="","",COUNT($C$9:C292))</f>
        <v>284</v>
      </c>
      <c r="C292" s="49">
        <v>46660</v>
      </c>
      <c r="D292" s="50">
        <v>0.35416666666666669</v>
      </c>
      <c r="E292" s="51" t="s">
        <v>139</v>
      </c>
      <c r="F292" s="52" t="str">
        <f t="shared" si="16"/>
        <v>Service technique</v>
      </c>
      <c r="G292" s="51" t="s">
        <v>134</v>
      </c>
      <c r="H292" s="51" t="s">
        <v>146</v>
      </c>
      <c r="I292" s="51" t="s">
        <v>147</v>
      </c>
      <c r="J292" s="51" t="s">
        <v>8</v>
      </c>
      <c r="K292" s="53">
        <v>55417</v>
      </c>
      <c r="L292" s="53">
        <v>55451</v>
      </c>
      <c r="M292" s="54">
        <f t="shared" si="17"/>
        <v>34</v>
      </c>
      <c r="N292" s="55">
        <f t="shared" si="18"/>
        <v>0</v>
      </c>
      <c r="O292" s="56" t="str">
        <f t="shared" si="19"/>
        <v>Conforme</v>
      </c>
      <c r="P292" s="51"/>
      <c r="R292" s="57" t="str">
        <f>IF(AND($E292=RelConducteur,$J292="Professionnel",ISNUMBER($C292),$C292&gt;=RelDebut,$C292&lt;=RelFin),COUNTIFS($E$9:$E292,RelConducteur,$J$9:$J292,"Professionnel",$C$9:$C292,"&gt;="&amp;RelDebut,$C$9:$C292,"&lt;="&amp;RelFin),"")</f>
        <v/>
      </c>
    </row>
    <row r="293" spans="2:18" ht="18" customHeight="1" x14ac:dyDescent="0.25">
      <c r="B293" s="48">
        <f>IF(C293="","",COUNT($C$9:C293))</f>
        <v>285</v>
      </c>
      <c r="C293" s="49">
        <v>46660</v>
      </c>
      <c r="D293" s="50">
        <v>0.4375</v>
      </c>
      <c r="E293" s="51" t="s">
        <v>148</v>
      </c>
      <c r="F293" s="52" t="str">
        <f t="shared" si="16"/>
        <v>Service commercial</v>
      </c>
      <c r="G293" s="51" t="s">
        <v>134</v>
      </c>
      <c r="H293" s="51" t="s">
        <v>157</v>
      </c>
      <c r="I293" s="51" t="s">
        <v>158</v>
      </c>
      <c r="J293" s="51" t="s">
        <v>8</v>
      </c>
      <c r="K293" s="53">
        <v>55451</v>
      </c>
      <c r="L293" s="53">
        <v>55667</v>
      </c>
      <c r="M293" s="54">
        <f t="shared" si="17"/>
        <v>216</v>
      </c>
      <c r="N293" s="55">
        <f t="shared" si="18"/>
        <v>0</v>
      </c>
      <c r="O293" s="56" t="str">
        <f t="shared" si="19"/>
        <v>Conforme</v>
      </c>
      <c r="P293" s="51"/>
      <c r="R293" s="57" t="str">
        <f>IF(AND($E293=RelConducteur,$J293="Professionnel",ISNUMBER($C293),$C293&gt;=RelDebut,$C293&lt;=RelFin),COUNTIFS($E$9:$E293,RelConducteur,$J$9:$J293,"Professionnel",$C$9:$C293,"&gt;="&amp;RelDebut,$C$9:$C293,"&lt;="&amp;RelFin),"")</f>
        <v/>
      </c>
    </row>
    <row r="294" spans="2:18" ht="18" customHeight="1" x14ac:dyDescent="0.25">
      <c r="B294" s="48">
        <f>IF(C294="","",COUNT($C$9:C294))</f>
        <v>286</v>
      </c>
      <c r="C294" s="49">
        <v>46660</v>
      </c>
      <c r="D294" s="50">
        <v>0.75</v>
      </c>
      <c r="E294" s="51" t="s">
        <v>139</v>
      </c>
      <c r="F294" s="52" t="str">
        <f t="shared" si="16"/>
        <v>Service technique</v>
      </c>
      <c r="G294" s="51" t="s">
        <v>134</v>
      </c>
      <c r="H294" s="51" t="s">
        <v>155</v>
      </c>
      <c r="I294" s="51" t="s">
        <v>156</v>
      </c>
      <c r="J294" s="51" t="s">
        <v>9</v>
      </c>
      <c r="K294" s="53">
        <v>55667</v>
      </c>
      <c r="L294" s="53">
        <v>55691</v>
      </c>
      <c r="M294" s="54">
        <f t="shared" si="17"/>
        <v>24</v>
      </c>
      <c r="N294" s="55">
        <f t="shared" si="18"/>
        <v>0</v>
      </c>
      <c r="O294" s="56" t="str">
        <f t="shared" si="19"/>
        <v>Conforme</v>
      </c>
      <c r="P294" s="51"/>
      <c r="R294" s="57" t="str">
        <f>IF(AND($E294=RelConducteur,$J294="Professionnel",ISNUMBER($C294),$C294&gt;=RelDebut,$C294&lt;=RelFin),COUNTIFS($E$9:$E294,RelConducteur,$J$9:$J294,"Professionnel",$C$9:$C294,"&gt;="&amp;RelDebut,$C$9:$C294,"&lt;="&amp;RelFin),"")</f>
        <v/>
      </c>
    </row>
    <row r="295" spans="2:18" ht="18" customHeight="1" x14ac:dyDescent="0.25">
      <c r="B295" s="48">
        <f>IF(C295="","",COUNT($C$9:C295))</f>
        <v>287</v>
      </c>
      <c r="C295" s="49">
        <v>46664</v>
      </c>
      <c r="D295" s="50">
        <v>0.33333333333333331</v>
      </c>
      <c r="E295" s="51" t="s">
        <v>139</v>
      </c>
      <c r="F295" s="52" t="str">
        <f t="shared" si="16"/>
        <v>Service technique</v>
      </c>
      <c r="G295" s="51" t="s">
        <v>134</v>
      </c>
      <c r="H295" s="51" t="s">
        <v>144</v>
      </c>
      <c r="I295" s="51" t="s">
        <v>145</v>
      </c>
      <c r="J295" s="51" t="s">
        <v>8</v>
      </c>
      <c r="K295" s="53">
        <v>55691</v>
      </c>
      <c r="L295" s="53">
        <v>55721</v>
      </c>
      <c r="M295" s="54">
        <f t="shared" si="17"/>
        <v>30</v>
      </c>
      <c r="N295" s="55">
        <f t="shared" si="18"/>
        <v>0</v>
      </c>
      <c r="O295" s="56" t="str">
        <f t="shared" si="19"/>
        <v>Conforme</v>
      </c>
      <c r="P295" s="51"/>
      <c r="R295" s="57" t="str">
        <f>IF(AND($E295=RelConducteur,$J295="Professionnel",ISNUMBER($C295),$C295&gt;=RelDebut,$C295&lt;=RelFin),COUNTIFS($E$9:$E295,RelConducteur,$J$9:$J295,"Professionnel",$C$9:$C295,"&gt;="&amp;RelDebut,$C$9:$C295,"&lt;="&amp;RelFin),"")</f>
        <v/>
      </c>
    </row>
    <row r="296" spans="2:18" ht="18" customHeight="1" x14ac:dyDescent="0.25">
      <c r="B296" s="48">
        <f>IF(C296="","",COUNT($C$9:C296))</f>
        <v>288</v>
      </c>
      <c r="C296" s="49">
        <v>46664</v>
      </c>
      <c r="D296" s="50">
        <v>0.60416666666666663</v>
      </c>
      <c r="E296" s="51" t="s">
        <v>133</v>
      </c>
      <c r="F296" s="52" t="str">
        <f t="shared" si="16"/>
        <v>Service technique</v>
      </c>
      <c r="G296" s="51" t="s">
        <v>134</v>
      </c>
      <c r="H296" s="51" t="s">
        <v>151</v>
      </c>
      <c r="I296" s="51" t="s">
        <v>152</v>
      </c>
      <c r="J296" s="51" t="s">
        <v>8</v>
      </c>
      <c r="K296" s="53">
        <v>55721</v>
      </c>
      <c r="L296" s="53">
        <v>55773</v>
      </c>
      <c r="M296" s="54">
        <f t="shared" si="17"/>
        <v>52</v>
      </c>
      <c r="N296" s="55">
        <f t="shared" si="18"/>
        <v>0</v>
      </c>
      <c r="O296" s="56" t="str">
        <f t="shared" si="19"/>
        <v>Conforme</v>
      </c>
      <c r="P296" s="51"/>
      <c r="R296" s="57" t="str">
        <f>IF(AND($E296=RelConducteur,$J296="Professionnel",ISNUMBER($C296),$C296&gt;=RelDebut,$C296&lt;=RelFin),COUNTIFS($E$9:$E296,RelConducteur,$J$9:$J296,"Professionnel",$C$9:$C296,"&gt;="&amp;RelDebut,$C$9:$C296,"&lt;="&amp;RelFin),"")</f>
        <v/>
      </c>
    </row>
    <row r="297" spans="2:18" ht="18" customHeight="1" x14ac:dyDescent="0.25">
      <c r="B297" s="48">
        <f>IF(C297="","",COUNT($C$9:C297))</f>
        <v>289</v>
      </c>
      <c r="C297" s="49">
        <v>46665</v>
      </c>
      <c r="D297" s="50">
        <v>0.33333333333333331</v>
      </c>
      <c r="E297" s="51" t="s">
        <v>133</v>
      </c>
      <c r="F297" s="52" t="str">
        <f t="shared" si="16"/>
        <v>Service technique</v>
      </c>
      <c r="G297" s="51" t="s">
        <v>134</v>
      </c>
      <c r="H297" s="51" t="s">
        <v>146</v>
      </c>
      <c r="I297" s="51" t="s">
        <v>147</v>
      </c>
      <c r="J297" s="51" t="s">
        <v>8</v>
      </c>
      <c r="K297" s="53">
        <v>55773</v>
      </c>
      <c r="L297" s="53">
        <v>55805</v>
      </c>
      <c r="M297" s="54">
        <f t="shared" si="17"/>
        <v>32</v>
      </c>
      <c r="N297" s="55">
        <f t="shared" si="18"/>
        <v>0</v>
      </c>
      <c r="O297" s="56" t="str">
        <f t="shared" si="19"/>
        <v>Conforme</v>
      </c>
      <c r="P297" s="51"/>
      <c r="R297" s="57" t="str">
        <f>IF(AND($E297=RelConducteur,$J297="Professionnel",ISNUMBER($C297),$C297&gt;=RelDebut,$C297&lt;=RelFin),COUNTIFS($E$9:$E297,RelConducteur,$J$9:$J297,"Professionnel",$C$9:$C297,"&gt;="&amp;RelDebut,$C$9:$C297,"&lt;="&amp;RelFin),"")</f>
        <v/>
      </c>
    </row>
    <row r="298" spans="2:18" ht="18" customHeight="1" x14ac:dyDescent="0.25">
      <c r="B298" s="48">
        <f>IF(C298="","",COUNT($C$9:C298))</f>
        <v>290</v>
      </c>
      <c r="C298" s="49">
        <v>46665</v>
      </c>
      <c r="D298" s="50">
        <v>0.41666666666666669</v>
      </c>
      <c r="E298" s="51" t="s">
        <v>148</v>
      </c>
      <c r="F298" s="52" t="str">
        <f t="shared" si="16"/>
        <v>Service commercial</v>
      </c>
      <c r="G298" s="51" t="s">
        <v>134</v>
      </c>
      <c r="H298" s="51" t="s">
        <v>171</v>
      </c>
      <c r="I298" s="51" t="s">
        <v>172</v>
      </c>
      <c r="J298" s="51" t="s">
        <v>8</v>
      </c>
      <c r="K298" s="53">
        <v>55805</v>
      </c>
      <c r="L298" s="53">
        <v>55820</v>
      </c>
      <c r="M298" s="54">
        <f t="shared" si="17"/>
        <v>15</v>
      </c>
      <c r="N298" s="55">
        <f t="shared" si="18"/>
        <v>0</v>
      </c>
      <c r="O298" s="56" t="str">
        <f t="shared" si="19"/>
        <v>Conforme</v>
      </c>
      <c r="P298" s="51"/>
      <c r="R298" s="57" t="str">
        <f>IF(AND($E298=RelConducteur,$J298="Professionnel",ISNUMBER($C298),$C298&gt;=RelDebut,$C298&lt;=RelFin),COUNTIFS($E$9:$E298,RelConducteur,$J$9:$J298,"Professionnel",$C$9:$C298,"&gt;="&amp;RelDebut,$C$9:$C298,"&lt;="&amp;RelFin),"")</f>
        <v/>
      </c>
    </row>
    <row r="299" spans="2:18" ht="18" customHeight="1" x14ac:dyDescent="0.25">
      <c r="B299" s="48">
        <f>IF(C299="","",COUNT($C$9:C299))</f>
        <v>291</v>
      </c>
      <c r="C299" s="49">
        <v>46666</v>
      </c>
      <c r="D299" s="50">
        <v>0.33333333333333331</v>
      </c>
      <c r="E299" s="51" t="s">
        <v>139</v>
      </c>
      <c r="F299" s="52" t="str">
        <f t="shared" si="16"/>
        <v>Service technique</v>
      </c>
      <c r="G299" s="51" t="s">
        <v>134</v>
      </c>
      <c r="H299" s="51" t="s">
        <v>165</v>
      </c>
      <c r="I299" s="51" t="s">
        <v>166</v>
      </c>
      <c r="J299" s="51" t="s">
        <v>8</v>
      </c>
      <c r="K299" s="53">
        <v>55820</v>
      </c>
      <c r="L299" s="53">
        <v>55889</v>
      </c>
      <c r="M299" s="54">
        <f t="shared" si="17"/>
        <v>69</v>
      </c>
      <c r="N299" s="55">
        <f t="shared" si="18"/>
        <v>0</v>
      </c>
      <c r="O299" s="56" t="str">
        <f t="shared" si="19"/>
        <v>Conforme</v>
      </c>
      <c r="P299" s="51"/>
      <c r="R299" s="57" t="str">
        <f>IF(AND($E299=RelConducteur,$J299="Professionnel",ISNUMBER($C299),$C299&gt;=RelDebut,$C299&lt;=RelFin),COUNTIFS($E$9:$E299,RelConducteur,$J$9:$J299,"Professionnel",$C$9:$C299,"&gt;="&amp;RelDebut,$C$9:$C299,"&lt;="&amp;RelFin),"")</f>
        <v/>
      </c>
    </row>
    <row r="300" spans="2:18" ht="18" customHeight="1" x14ac:dyDescent="0.25">
      <c r="B300" s="48">
        <f>IF(C300="","",COUNT($C$9:C300))</f>
        <v>292</v>
      </c>
      <c r="C300" s="49">
        <v>46666</v>
      </c>
      <c r="D300" s="50">
        <v>0.60416666666666663</v>
      </c>
      <c r="E300" s="51" t="s">
        <v>133</v>
      </c>
      <c r="F300" s="52" t="str">
        <f t="shared" si="16"/>
        <v>Service technique</v>
      </c>
      <c r="G300" s="51" t="s">
        <v>134</v>
      </c>
      <c r="H300" s="51" t="s">
        <v>151</v>
      </c>
      <c r="I300" s="51" t="s">
        <v>152</v>
      </c>
      <c r="J300" s="51" t="s">
        <v>8</v>
      </c>
      <c r="K300" s="53">
        <v>55889</v>
      </c>
      <c r="L300" s="53">
        <v>55940</v>
      </c>
      <c r="M300" s="54">
        <f t="shared" si="17"/>
        <v>51</v>
      </c>
      <c r="N300" s="55">
        <f t="shared" si="18"/>
        <v>0</v>
      </c>
      <c r="O300" s="56" t="str">
        <f t="shared" si="19"/>
        <v>Conforme</v>
      </c>
      <c r="P300" s="51"/>
      <c r="R300" s="57" t="str">
        <f>IF(AND($E300=RelConducteur,$J300="Professionnel",ISNUMBER($C300),$C300&gt;=RelDebut,$C300&lt;=RelFin),COUNTIFS($E$9:$E300,RelConducteur,$J$9:$J300,"Professionnel",$C$9:$C300,"&gt;="&amp;RelDebut,$C$9:$C300,"&lt;="&amp;RelFin),"")</f>
        <v/>
      </c>
    </row>
    <row r="301" spans="2:18" ht="18" customHeight="1" x14ac:dyDescent="0.25">
      <c r="B301" s="48">
        <f>IF(C301="","",COUNT($C$9:C301))</f>
        <v>293</v>
      </c>
      <c r="C301" s="49">
        <v>46667</v>
      </c>
      <c r="D301" s="50">
        <v>0.3125</v>
      </c>
      <c r="E301" s="51" t="s">
        <v>133</v>
      </c>
      <c r="F301" s="52" t="str">
        <f t="shared" si="16"/>
        <v>Service technique</v>
      </c>
      <c r="G301" s="51" t="s">
        <v>134</v>
      </c>
      <c r="H301" s="51" t="s">
        <v>135</v>
      </c>
      <c r="I301" s="51" t="s">
        <v>136</v>
      </c>
      <c r="J301" s="51" t="s">
        <v>8</v>
      </c>
      <c r="K301" s="53">
        <v>55940</v>
      </c>
      <c r="L301" s="53">
        <v>56032</v>
      </c>
      <c r="M301" s="54">
        <f t="shared" si="17"/>
        <v>92</v>
      </c>
      <c r="N301" s="55">
        <f t="shared" si="18"/>
        <v>0</v>
      </c>
      <c r="O301" s="56" t="str">
        <f t="shared" si="19"/>
        <v>Conforme</v>
      </c>
      <c r="P301" s="51"/>
      <c r="R301" s="57" t="str">
        <f>IF(AND($E301=RelConducteur,$J301="Professionnel",ISNUMBER($C301),$C301&gt;=RelDebut,$C301&lt;=RelFin),COUNTIFS($E$9:$E301,RelConducteur,$J$9:$J301,"Professionnel",$C$9:$C301,"&gt;="&amp;RelDebut,$C$9:$C301,"&lt;="&amp;RelFin),"")</f>
        <v/>
      </c>
    </row>
    <row r="302" spans="2:18" ht="18" customHeight="1" x14ac:dyDescent="0.25">
      <c r="B302" s="48">
        <f>IF(C302="","",COUNT($C$9:C302))</f>
        <v>294</v>
      </c>
      <c r="C302" s="49">
        <v>46667</v>
      </c>
      <c r="D302" s="50">
        <v>0.60416666666666663</v>
      </c>
      <c r="E302" s="51" t="s">
        <v>139</v>
      </c>
      <c r="F302" s="52" t="str">
        <f t="shared" si="16"/>
        <v>Service technique</v>
      </c>
      <c r="G302" s="51" t="s">
        <v>134</v>
      </c>
      <c r="H302" s="51" t="s">
        <v>151</v>
      </c>
      <c r="I302" s="51" t="s">
        <v>152</v>
      </c>
      <c r="J302" s="51" t="s">
        <v>8</v>
      </c>
      <c r="K302" s="53">
        <v>56032</v>
      </c>
      <c r="L302" s="53">
        <v>56083</v>
      </c>
      <c r="M302" s="54">
        <f t="shared" si="17"/>
        <v>51</v>
      </c>
      <c r="N302" s="55">
        <f t="shared" si="18"/>
        <v>0</v>
      </c>
      <c r="O302" s="56" t="str">
        <f t="shared" si="19"/>
        <v>Conforme</v>
      </c>
      <c r="P302" s="51"/>
      <c r="R302" s="57" t="str">
        <f>IF(AND($E302=RelConducteur,$J302="Professionnel",ISNUMBER($C302),$C302&gt;=RelDebut,$C302&lt;=RelFin),COUNTIFS($E$9:$E302,RelConducteur,$J$9:$J302,"Professionnel",$C$9:$C302,"&gt;="&amp;RelDebut,$C$9:$C302,"&lt;="&amp;RelFin),"")</f>
        <v/>
      </c>
    </row>
    <row r="303" spans="2:18" ht="18" customHeight="1" x14ac:dyDescent="0.25">
      <c r="B303" s="48">
        <f>IF(C303="","",COUNT($C$9:C303))</f>
        <v>295</v>
      </c>
      <c r="C303" s="49">
        <v>46667</v>
      </c>
      <c r="D303" s="50">
        <v>0.66666666666666663</v>
      </c>
      <c r="E303" s="51" t="s">
        <v>169</v>
      </c>
      <c r="F303" s="52" t="str">
        <f t="shared" si="16"/>
        <v>Direction</v>
      </c>
      <c r="G303" s="51" t="s">
        <v>134</v>
      </c>
      <c r="H303" s="51" t="s">
        <v>140</v>
      </c>
      <c r="I303" s="51" t="s">
        <v>170</v>
      </c>
      <c r="J303" s="51" t="s">
        <v>8</v>
      </c>
      <c r="K303" s="53">
        <v>56083</v>
      </c>
      <c r="L303" s="53">
        <v>56106</v>
      </c>
      <c r="M303" s="54">
        <f t="shared" si="17"/>
        <v>23</v>
      </c>
      <c r="N303" s="55">
        <f t="shared" si="18"/>
        <v>0</v>
      </c>
      <c r="O303" s="56" t="str">
        <f t="shared" si="19"/>
        <v>Conforme</v>
      </c>
      <c r="P303" s="51"/>
      <c r="R303" s="57" t="str">
        <f>IF(AND($E303=RelConducteur,$J303="Professionnel",ISNUMBER($C303),$C303&gt;=RelDebut,$C303&lt;=RelFin),COUNTIFS($E$9:$E303,RelConducteur,$J$9:$J303,"Professionnel",$C$9:$C303,"&gt;="&amp;RelDebut,$C$9:$C303,"&lt;="&amp;RelFin),"")</f>
        <v/>
      </c>
    </row>
    <row r="304" spans="2:18" ht="18" customHeight="1" x14ac:dyDescent="0.25">
      <c r="B304" s="48">
        <f>IF(C304="","",COUNT($C$9:C304))</f>
        <v>296</v>
      </c>
      <c r="C304" s="49">
        <v>46671</v>
      </c>
      <c r="D304" s="50">
        <v>0.60416666666666663</v>
      </c>
      <c r="E304" s="51" t="s">
        <v>139</v>
      </c>
      <c r="F304" s="52" t="str">
        <f t="shared" si="16"/>
        <v>Service technique</v>
      </c>
      <c r="G304" s="51" t="s">
        <v>134</v>
      </c>
      <c r="H304" s="51" t="s">
        <v>165</v>
      </c>
      <c r="I304" s="51" t="s">
        <v>166</v>
      </c>
      <c r="J304" s="51" t="s">
        <v>8</v>
      </c>
      <c r="K304" s="53">
        <v>56106</v>
      </c>
      <c r="L304" s="53">
        <v>56174</v>
      </c>
      <c r="M304" s="54">
        <f t="shared" si="17"/>
        <v>68</v>
      </c>
      <c r="N304" s="55">
        <f t="shared" si="18"/>
        <v>0</v>
      </c>
      <c r="O304" s="56" t="str">
        <f t="shared" si="19"/>
        <v>Conforme</v>
      </c>
      <c r="P304" s="51"/>
      <c r="R304" s="57" t="str">
        <f>IF(AND($E304=RelConducteur,$J304="Professionnel",ISNUMBER($C304),$C304&gt;=RelDebut,$C304&lt;=RelFin),COUNTIFS($E$9:$E304,RelConducteur,$J$9:$J304,"Professionnel",$C$9:$C304,"&gt;="&amp;RelDebut,$C$9:$C304,"&lt;="&amp;RelFin),"")</f>
        <v/>
      </c>
    </row>
    <row r="305" spans="2:18" ht="18" customHeight="1" x14ac:dyDescent="0.25">
      <c r="B305" s="48">
        <f>IF(C305="","",COUNT($C$9:C305))</f>
        <v>297</v>
      </c>
      <c r="C305" s="49">
        <v>46672</v>
      </c>
      <c r="D305" s="50">
        <v>0.33333333333333331</v>
      </c>
      <c r="E305" s="51" t="s">
        <v>139</v>
      </c>
      <c r="F305" s="52" t="str">
        <f t="shared" si="16"/>
        <v>Service technique</v>
      </c>
      <c r="G305" s="51" t="s">
        <v>134</v>
      </c>
      <c r="H305" s="51" t="s">
        <v>165</v>
      </c>
      <c r="I305" s="51" t="s">
        <v>166</v>
      </c>
      <c r="J305" s="51" t="s">
        <v>8</v>
      </c>
      <c r="K305" s="53">
        <v>56174</v>
      </c>
      <c r="L305" s="53">
        <v>56244</v>
      </c>
      <c r="M305" s="54">
        <f t="shared" si="17"/>
        <v>70</v>
      </c>
      <c r="N305" s="55">
        <f t="shared" si="18"/>
        <v>0</v>
      </c>
      <c r="O305" s="56" t="str">
        <f t="shared" si="19"/>
        <v>Conforme</v>
      </c>
      <c r="P305" s="51"/>
      <c r="R305" s="57" t="str">
        <f>IF(AND($E305=RelConducteur,$J305="Professionnel",ISNUMBER($C305),$C305&gt;=RelDebut,$C305&lt;=RelFin),COUNTIFS($E$9:$E305,RelConducteur,$J$9:$J305,"Professionnel",$C$9:$C305,"&gt;="&amp;RelDebut,$C$9:$C305,"&lt;="&amp;RelFin),"")</f>
        <v/>
      </c>
    </row>
    <row r="306" spans="2:18" ht="18" customHeight="1" x14ac:dyDescent="0.25">
      <c r="B306" s="48">
        <f>IF(C306="","",COUNT($C$9:C306))</f>
        <v>298</v>
      </c>
      <c r="C306" s="49">
        <v>46672</v>
      </c>
      <c r="D306" s="50">
        <v>0.41666666666666669</v>
      </c>
      <c r="E306" s="51" t="s">
        <v>148</v>
      </c>
      <c r="F306" s="52" t="str">
        <f t="shared" si="16"/>
        <v>Service commercial</v>
      </c>
      <c r="G306" s="51" t="s">
        <v>134</v>
      </c>
      <c r="H306" s="51" t="s">
        <v>153</v>
      </c>
      <c r="I306" s="51" t="s">
        <v>154</v>
      </c>
      <c r="J306" s="51" t="s">
        <v>8</v>
      </c>
      <c r="K306" s="53">
        <v>56244</v>
      </c>
      <c r="L306" s="53">
        <v>56387</v>
      </c>
      <c r="M306" s="54">
        <f t="shared" si="17"/>
        <v>143</v>
      </c>
      <c r="N306" s="55">
        <f t="shared" si="18"/>
        <v>0</v>
      </c>
      <c r="O306" s="56" t="str">
        <f t="shared" si="19"/>
        <v>Conforme</v>
      </c>
      <c r="P306" s="51"/>
      <c r="R306" s="57" t="str">
        <f>IF(AND($E306=RelConducteur,$J306="Professionnel",ISNUMBER($C306),$C306&gt;=RelDebut,$C306&lt;=RelFin),COUNTIFS($E$9:$E306,RelConducteur,$J$9:$J306,"Professionnel",$C$9:$C306,"&gt;="&amp;RelDebut,$C$9:$C306,"&lt;="&amp;RelFin),"")</f>
        <v/>
      </c>
    </row>
    <row r="307" spans="2:18" ht="18" customHeight="1" x14ac:dyDescent="0.25">
      <c r="B307" s="48">
        <f>IF(C307="","",COUNT($C$9:C307))</f>
        <v>299</v>
      </c>
      <c r="C307" s="49">
        <v>46673</v>
      </c>
      <c r="D307" s="50">
        <v>0.35416666666666669</v>
      </c>
      <c r="E307" s="51" t="s">
        <v>133</v>
      </c>
      <c r="F307" s="52" t="str">
        <f t="shared" si="16"/>
        <v>Service technique</v>
      </c>
      <c r="G307" s="51" t="s">
        <v>134</v>
      </c>
      <c r="H307" s="51" t="s">
        <v>140</v>
      </c>
      <c r="I307" s="51" t="s">
        <v>141</v>
      </c>
      <c r="J307" s="51" t="s">
        <v>8</v>
      </c>
      <c r="K307" s="53">
        <v>56387</v>
      </c>
      <c r="L307" s="53">
        <v>56407</v>
      </c>
      <c r="M307" s="54">
        <f t="shared" si="17"/>
        <v>20</v>
      </c>
      <c r="N307" s="55">
        <f t="shared" si="18"/>
        <v>0</v>
      </c>
      <c r="O307" s="56" t="str">
        <f t="shared" si="19"/>
        <v>Conforme</v>
      </c>
      <c r="P307" s="51"/>
      <c r="R307" s="57" t="str">
        <f>IF(AND($E307=RelConducteur,$J307="Professionnel",ISNUMBER($C307),$C307&gt;=RelDebut,$C307&lt;=RelFin),COUNTIFS($E$9:$E307,RelConducteur,$J$9:$J307,"Professionnel",$C$9:$C307,"&gt;="&amp;RelDebut,$C$9:$C307,"&lt;="&amp;RelFin),"")</f>
        <v/>
      </c>
    </row>
    <row r="308" spans="2:18" ht="18" customHeight="1" x14ac:dyDescent="0.25">
      <c r="B308" s="48">
        <f>IF(C308="","",COUNT($C$9:C308))</f>
        <v>300</v>
      </c>
      <c r="C308" s="49">
        <v>46674</v>
      </c>
      <c r="D308" s="50">
        <v>0.35416666666666669</v>
      </c>
      <c r="E308" s="51" t="s">
        <v>139</v>
      </c>
      <c r="F308" s="52" t="str">
        <f t="shared" si="16"/>
        <v>Service technique</v>
      </c>
      <c r="G308" s="51" t="s">
        <v>134</v>
      </c>
      <c r="H308" s="51" t="s">
        <v>137</v>
      </c>
      <c r="I308" s="51" t="s">
        <v>138</v>
      </c>
      <c r="J308" s="51" t="s">
        <v>8</v>
      </c>
      <c r="K308" s="53">
        <v>56407</v>
      </c>
      <c r="L308" s="53">
        <v>56470</v>
      </c>
      <c r="M308" s="54">
        <f t="shared" si="17"/>
        <v>63</v>
      </c>
      <c r="N308" s="55">
        <f t="shared" si="18"/>
        <v>0</v>
      </c>
      <c r="O308" s="56" t="str">
        <f t="shared" si="19"/>
        <v>Conforme</v>
      </c>
      <c r="P308" s="51"/>
      <c r="R308" s="57" t="str">
        <f>IF(AND($E308=RelConducteur,$J308="Professionnel",ISNUMBER($C308),$C308&gt;=RelDebut,$C308&lt;=RelFin),COUNTIFS($E$9:$E308,RelConducteur,$J$9:$J308,"Professionnel",$C$9:$C308,"&gt;="&amp;RelDebut,$C$9:$C308,"&lt;="&amp;RelFin),"")</f>
        <v/>
      </c>
    </row>
    <row r="309" spans="2:18" ht="18" customHeight="1" x14ac:dyDescent="0.25">
      <c r="B309" s="48">
        <f>IF(C309="","",COUNT($C$9:C309))</f>
        <v>301</v>
      </c>
      <c r="C309" s="49">
        <v>46675</v>
      </c>
      <c r="D309" s="50">
        <v>0.35416666666666669</v>
      </c>
      <c r="E309" s="51" t="s">
        <v>133</v>
      </c>
      <c r="F309" s="52" t="str">
        <f t="shared" si="16"/>
        <v>Service technique</v>
      </c>
      <c r="G309" s="51" t="s">
        <v>134</v>
      </c>
      <c r="H309" s="51" t="s">
        <v>135</v>
      </c>
      <c r="I309" s="51" t="s">
        <v>136</v>
      </c>
      <c r="J309" s="51" t="s">
        <v>8</v>
      </c>
      <c r="K309" s="53">
        <v>56470</v>
      </c>
      <c r="L309" s="53">
        <v>56566</v>
      </c>
      <c r="M309" s="54">
        <f t="shared" si="17"/>
        <v>96</v>
      </c>
      <c r="N309" s="55">
        <f t="shared" si="18"/>
        <v>0</v>
      </c>
      <c r="O309" s="56" t="str">
        <f t="shared" si="19"/>
        <v>Conforme</v>
      </c>
      <c r="P309" s="51"/>
      <c r="R309" s="57" t="str">
        <f>IF(AND($E309=RelConducteur,$J309="Professionnel",ISNUMBER($C309),$C309&gt;=RelDebut,$C309&lt;=RelFin),COUNTIFS($E$9:$E309,RelConducteur,$J$9:$J309,"Professionnel",$C$9:$C309,"&gt;="&amp;RelDebut,$C$9:$C309,"&lt;="&amp;RelFin),"")</f>
        <v/>
      </c>
    </row>
    <row r="310" spans="2:18" ht="18" customHeight="1" x14ac:dyDescent="0.25">
      <c r="B310" s="48">
        <f>IF(C310="","",COUNT($C$9:C310))</f>
        <v>302</v>
      </c>
      <c r="C310" s="49">
        <v>46675</v>
      </c>
      <c r="D310" s="50">
        <v>0.41666666666666669</v>
      </c>
      <c r="E310" s="51" t="s">
        <v>148</v>
      </c>
      <c r="F310" s="52" t="str">
        <f t="shared" si="16"/>
        <v>Service commercial</v>
      </c>
      <c r="G310" s="51" t="s">
        <v>134</v>
      </c>
      <c r="H310" s="51" t="s">
        <v>167</v>
      </c>
      <c r="I310" s="51" t="s">
        <v>168</v>
      </c>
      <c r="J310" s="51" t="s">
        <v>8</v>
      </c>
      <c r="K310" s="53">
        <v>56566</v>
      </c>
      <c r="L310" s="53">
        <v>56582</v>
      </c>
      <c r="M310" s="54">
        <f t="shared" si="17"/>
        <v>16</v>
      </c>
      <c r="N310" s="55">
        <f t="shared" si="18"/>
        <v>0</v>
      </c>
      <c r="O310" s="56" t="str">
        <f t="shared" si="19"/>
        <v>Conforme</v>
      </c>
      <c r="P310" s="51"/>
      <c r="R310" s="57" t="str">
        <f>IF(AND($E310=RelConducteur,$J310="Professionnel",ISNUMBER($C310),$C310&gt;=RelDebut,$C310&lt;=RelFin),COUNTIFS($E$9:$E310,RelConducteur,$J$9:$J310,"Professionnel",$C$9:$C310,"&gt;="&amp;RelDebut,$C$9:$C310,"&lt;="&amp;RelFin),"")</f>
        <v/>
      </c>
    </row>
    <row r="311" spans="2:18" ht="18" customHeight="1" x14ac:dyDescent="0.25">
      <c r="B311" s="48">
        <f>IF(C311="","",COUNT($C$9:C311))</f>
        <v>303</v>
      </c>
      <c r="C311" s="49">
        <v>46675</v>
      </c>
      <c r="D311" s="50">
        <v>0.58333333333333337</v>
      </c>
      <c r="E311" s="51" t="s">
        <v>139</v>
      </c>
      <c r="F311" s="52" t="str">
        <f t="shared" si="16"/>
        <v>Service technique</v>
      </c>
      <c r="G311" s="51" t="s">
        <v>134</v>
      </c>
      <c r="H311" s="51" t="s">
        <v>140</v>
      </c>
      <c r="I311" s="51" t="s">
        <v>141</v>
      </c>
      <c r="J311" s="51" t="s">
        <v>8</v>
      </c>
      <c r="K311" s="53">
        <v>56582</v>
      </c>
      <c r="L311" s="53">
        <v>56605</v>
      </c>
      <c r="M311" s="54">
        <f t="shared" si="17"/>
        <v>23</v>
      </c>
      <c r="N311" s="55">
        <f t="shared" si="18"/>
        <v>0</v>
      </c>
      <c r="O311" s="56" t="str">
        <f t="shared" si="19"/>
        <v>Conforme</v>
      </c>
      <c r="P311" s="51"/>
      <c r="R311" s="57" t="str">
        <f>IF(AND($E311=RelConducteur,$J311="Professionnel",ISNUMBER($C311),$C311&gt;=RelDebut,$C311&lt;=RelFin),COUNTIFS($E$9:$E311,RelConducteur,$J$9:$J311,"Professionnel",$C$9:$C311,"&gt;="&amp;RelDebut,$C$9:$C311,"&lt;="&amp;RelFin),"")</f>
        <v/>
      </c>
    </row>
    <row r="312" spans="2:18" ht="18" customHeight="1" x14ac:dyDescent="0.25">
      <c r="B312" s="48">
        <f>IF(C312="","",COUNT($C$9:C312))</f>
        <v>304</v>
      </c>
      <c r="C312" s="49">
        <v>46678</v>
      </c>
      <c r="D312" s="50">
        <v>0.3125</v>
      </c>
      <c r="E312" s="51" t="s">
        <v>139</v>
      </c>
      <c r="F312" s="52" t="str">
        <f t="shared" si="16"/>
        <v>Service technique</v>
      </c>
      <c r="G312" s="51" t="s">
        <v>134</v>
      </c>
      <c r="H312" s="51" t="s">
        <v>144</v>
      </c>
      <c r="I312" s="51" t="s">
        <v>145</v>
      </c>
      <c r="J312" s="51" t="s">
        <v>8</v>
      </c>
      <c r="K312" s="53">
        <v>56605</v>
      </c>
      <c r="L312" s="53">
        <v>56635</v>
      </c>
      <c r="M312" s="54">
        <f t="shared" si="17"/>
        <v>30</v>
      </c>
      <c r="N312" s="55">
        <f t="shared" si="18"/>
        <v>0</v>
      </c>
      <c r="O312" s="56" t="str">
        <f t="shared" si="19"/>
        <v>Conforme</v>
      </c>
      <c r="P312" s="51"/>
      <c r="R312" s="57" t="str">
        <f>IF(AND($E312=RelConducteur,$J312="Professionnel",ISNUMBER($C312),$C312&gt;=RelDebut,$C312&lt;=RelFin),COUNTIFS($E$9:$E312,RelConducteur,$J$9:$J312,"Professionnel",$C$9:$C312,"&gt;="&amp;RelDebut,$C$9:$C312,"&lt;="&amp;RelFin),"")</f>
        <v/>
      </c>
    </row>
    <row r="313" spans="2:18" ht="18" customHeight="1" x14ac:dyDescent="0.25">
      <c r="B313" s="48">
        <f>IF(C313="","",COUNT($C$9:C313))</f>
        <v>305</v>
      </c>
      <c r="C313" s="49">
        <v>46679</v>
      </c>
      <c r="D313" s="50">
        <v>0.33333333333333331</v>
      </c>
      <c r="E313" s="51" t="s">
        <v>133</v>
      </c>
      <c r="F313" s="52" t="str">
        <f t="shared" si="16"/>
        <v>Service technique</v>
      </c>
      <c r="G313" s="51" t="s">
        <v>134</v>
      </c>
      <c r="H313" s="51" t="s">
        <v>135</v>
      </c>
      <c r="I313" s="51" t="s">
        <v>136</v>
      </c>
      <c r="J313" s="51" t="s">
        <v>8</v>
      </c>
      <c r="K313" s="53">
        <v>56635</v>
      </c>
      <c r="L313" s="53">
        <v>56725</v>
      </c>
      <c r="M313" s="54">
        <f t="shared" si="17"/>
        <v>90</v>
      </c>
      <c r="N313" s="55">
        <f t="shared" si="18"/>
        <v>0</v>
      </c>
      <c r="O313" s="56" t="str">
        <f t="shared" si="19"/>
        <v>Conforme</v>
      </c>
      <c r="P313" s="51"/>
      <c r="R313" s="57" t="str">
        <f>IF(AND($E313=RelConducteur,$J313="Professionnel",ISNUMBER($C313),$C313&gt;=RelDebut,$C313&lt;=RelFin),COUNTIFS($E$9:$E313,RelConducteur,$J$9:$J313,"Professionnel",$C$9:$C313,"&gt;="&amp;RelDebut,$C$9:$C313,"&lt;="&amp;RelFin),"")</f>
        <v/>
      </c>
    </row>
    <row r="314" spans="2:18" ht="18" customHeight="1" x14ac:dyDescent="0.25">
      <c r="B314" s="48">
        <f>IF(C314="","",COUNT($C$9:C314))</f>
        <v>306</v>
      </c>
      <c r="C314" s="49">
        <v>46679</v>
      </c>
      <c r="D314" s="50">
        <v>0.4375</v>
      </c>
      <c r="E314" s="51" t="s">
        <v>148</v>
      </c>
      <c r="F314" s="52" t="str">
        <f t="shared" si="16"/>
        <v>Service commercial</v>
      </c>
      <c r="G314" s="51" t="s">
        <v>134</v>
      </c>
      <c r="H314" s="51" t="s">
        <v>159</v>
      </c>
      <c r="I314" s="51" t="s">
        <v>160</v>
      </c>
      <c r="J314" s="51" t="s">
        <v>8</v>
      </c>
      <c r="K314" s="53">
        <v>56725</v>
      </c>
      <c r="L314" s="53">
        <v>56858</v>
      </c>
      <c r="M314" s="54">
        <f t="shared" si="17"/>
        <v>133</v>
      </c>
      <c r="N314" s="55">
        <f t="shared" si="18"/>
        <v>0</v>
      </c>
      <c r="O314" s="56" t="str">
        <f t="shared" si="19"/>
        <v>Conforme</v>
      </c>
      <c r="P314" s="51"/>
      <c r="R314" s="57" t="str">
        <f>IF(AND($E314=RelConducteur,$J314="Professionnel",ISNUMBER($C314),$C314&gt;=RelDebut,$C314&lt;=RelFin),COUNTIFS($E$9:$E314,RelConducteur,$J$9:$J314,"Professionnel",$C$9:$C314,"&gt;="&amp;RelDebut,$C$9:$C314,"&lt;="&amp;RelFin),"")</f>
        <v/>
      </c>
    </row>
    <row r="315" spans="2:18" ht="18" customHeight="1" x14ac:dyDescent="0.25">
      <c r="B315" s="48">
        <f>IF(C315="","",COUNT($C$9:C315))</f>
        <v>307</v>
      </c>
      <c r="C315" s="49">
        <v>46680</v>
      </c>
      <c r="D315" s="50">
        <v>0.35416666666666669</v>
      </c>
      <c r="E315" s="51" t="s">
        <v>139</v>
      </c>
      <c r="F315" s="52" t="str">
        <f t="shared" si="16"/>
        <v>Service technique</v>
      </c>
      <c r="G315" s="51" t="s">
        <v>134</v>
      </c>
      <c r="H315" s="51" t="s">
        <v>151</v>
      </c>
      <c r="I315" s="51" t="s">
        <v>152</v>
      </c>
      <c r="J315" s="51" t="s">
        <v>8</v>
      </c>
      <c r="K315" s="53">
        <v>56858</v>
      </c>
      <c r="L315" s="53">
        <v>56908</v>
      </c>
      <c r="M315" s="54">
        <f t="shared" si="17"/>
        <v>50</v>
      </c>
      <c r="N315" s="55">
        <f t="shared" si="18"/>
        <v>0</v>
      </c>
      <c r="O315" s="56" t="str">
        <f t="shared" si="19"/>
        <v>Conforme</v>
      </c>
      <c r="P315" s="51"/>
      <c r="R315" s="57" t="str">
        <f>IF(AND($E315=RelConducteur,$J315="Professionnel",ISNUMBER($C315),$C315&gt;=RelDebut,$C315&lt;=RelFin),COUNTIFS($E$9:$E315,RelConducteur,$J$9:$J315,"Professionnel",$C$9:$C315,"&gt;="&amp;RelDebut,$C$9:$C315,"&lt;="&amp;RelFin),"")</f>
        <v/>
      </c>
    </row>
    <row r="316" spans="2:18" ht="18" customHeight="1" x14ac:dyDescent="0.25">
      <c r="B316" s="48">
        <f>IF(C316="","",COUNT($C$9:C316))</f>
        <v>308</v>
      </c>
      <c r="C316" s="49">
        <v>46680</v>
      </c>
      <c r="D316" s="50">
        <v>0.4375</v>
      </c>
      <c r="E316" s="51" t="s">
        <v>148</v>
      </c>
      <c r="F316" s="52" t="str">
        <f t="shared" si="16"/>
        <v>Service commercial</v>
      </c>
      <c r="G316" s="51" t="s">
        <v>134</v>
      </c>
      <c r="H316" s="51" t="s">
        <v>153</v>
      </c>
      <c r="I316" s="51" t="s">
        <v>154</v>
      </c>
      <c r="J316" s="51" t="s">
        <v>8</v>
      </c>
      <c r="K316" s="53">
        <v>56908</v>
      </c>
      <c r="L316" s="53">
        <v>57049</v>
      </c>
      <c r="M316" s="54">
        <f t="shared" si="17"/>
        <v>141</v>
      </c>
      <c r="N316" s="55">
        <f t="shared" si="18"/>
        <v>0</v>
      </c>
      <c r="O316" s="56" t="str">
        <f t="shared" si="19"/>
        <v>Conforme</v>
      </c>
      <c r="P316" s="51"/>
      <c r="R316" s="57" t="str">
        <f>IF(AND($E316=RelConducteur,$J316="Professionnel",ISNUMBER($C316),$C316&gt;=RelDebut,$C316&lt;=RelFin),COUNTIFS($E$9:$E316,RelConducteur,$J$9:$J316,"Professionnel",$C$9:$C316,"&gt;="&amp;RelDebut,$C$9:$C316,"&lt;="&amp;RelFin),"")</f>
        <v/>
      </c>
    </row>
    <row r="317" spans="2:18" ht="18" customHeight="1" x14ac:dyDescent="0.25">
      <c r="B317" s="48">
        <f>IF(C317="","",COUNT($C$9:C317))</f>
        <v>309</v>
      </c>
      <c r="C317" s="49">
        <v>46681</v>
      </c>
      <c r="D317" s="50">
        <v>0.3125</v>
      </c>
      <c r="E317" s="51" t="s">
        <v>133</v>
      </c>
      <c r="F317" s="52" t="str">
        <f t="shared" si="16"/>
        <v>Service technique</v>
      </c>
      <c r="G317" s="51" t="s">
        <v>134</v>
      </c>
      <c r="H317" s="51" t="s">
        <v>142</v>
      </c>
      <c r="I317" s="51" t="s">
        <v>143</v>
      </c>
      <c r="J317" s="51" t="s">
        <v>8</v>
      </c>
      <c r="K317" s="53">
        <v>57049</v>
      </c>
      <c r="L317" s="53">
        <v>57070</v>
      </c>
      <c r="M317" s="54">
        <f t="shared" si="17"/>
        <v>21</v>
      </c>
      <c r="N317" s="55">
        <f t="shared" si="18"/>
        <v>0</v>
      </c>
      <c r="O317" s="56" t="str">
        <f t="shared" si="19"/>
        <v>Conforme</v>
      </c>
      <c r="P317" s="51"/>
      <c r="R317" s="57" t="str">
        <f>IF(AND($E317=RelConducteur,$J317="Professionnel",ISNUMBER($C317),$C317&gt;=RelDebut,$C317&lt;=RelFin),COUNTIFS($E$9:$E317,RelConducteur,$J$9:$J317,"Professionnel",$C$9:$C317,"&gt;="&amp;RelDebut,$C$9:$C317,"&lt;="&amp;RelFin),"")</f>
        <v/>
      </c>
    </row>
    <row r="318" spans="2:18" ht="18" customHeight="1" x14ac:dyDescent="0.25">
      <c r="B318" s="48">
        <f>IF(C318="","",COUNT($C$9:C318))</f>
        <v>310</v>
      </c>
      <c r="C318" s="49">
        <v>46682</v>
      </c>
      <c r="D318" s="50">
        <v>0.41666666666666669</v>
      </c>
      <c r="E318" s="51" t="s">
        <v>148</v>
      </c>
      <c r="F318" s="52" t="str">
        <f t="shared" si="16"/>
        <v>Service commercial</v>
      </c>
      <c r="G318" s="51" t="s">
        <v>134</v>
      </c>
      <c r="H318" s="51" t="s">
        <v>157</v>
      </c>
      <c r="I318" s="51" t="s">
        <v>158</v>
      </c>
      <c r="J318" s="51" t="s">
        <v>8</v>
      </c>
      <c r="K318" s="53">
        <v>57070</v>
      </c>
      <c r="L318" s="53">
        <v>57286</v>
      </c>
      <c r="M318" s="54">
        <f t="shared" si="17"/>
        <v>216</v>
      </c>
      <c r="N318" s="55">
        <f t="shared" si="18"/>
        <v>0</v>
      </c>
      <c r="O318" s="56" t="str">
        <f t="shared" si="19"/>
        <v>Conforme</v>
      </c>
      <c r="P318" s="51"/>
      <c r="R318" s="57" t="str">
        <f>IF(AND($E318=RelConducteur,$J318="Professionnel",ISNUMBER($C318),$C318&gt;=RelDebut,$C318&lt;=RelFin),COUNTIFS($E$9:$E318,RelConducteur,$J$9:$J318,"Professionnel",$C$9:$C318,"&gt;="&amp;RelDebut,$C$9:$C318,"&lt;="&amp;RelFin),"")</f>
        <v/>
      </c>
    </row>
    <row r="319" spans="2:18" ht="18" customHeight="1" x14ac:dyDescent="0.25">
      <c r="B319" s="48">
        <f>IF(C319="","",COUNT($C$9:C319))</f>
        <v>311</v>
      </c>
      <c r="C319" s="49">
        <v>46685</v>
      </c>
      <c r="D319" s="50">
        <v>0.35416666666666669</v>
      </c>
      <c r="E319" s="51" t="s">
        <v>133</v>
      </c>
      <c r="F319" s="52" t="str">
        <f t="shared" si="16"/>
        <v>Service technique</v>
      </c>
      <c r="G319" s="51" t="s">
        <v>134</v>
      </c>
      <c r="H319" s="51" t="s">
        <v>135</v>
      </c>
      <c r="I319" s="51" t="s">
        <v>136</v>
      </c>
      <c r="J319" s="51" t="s">
        <v>8</v>
      </c>
      <c r="K319" s="53">
        <v>57286</v>
      </c>
      <c r="L319" s="53">
        <v>57376</v>
      </c>
      <c r="M319" s="54">
        <f t="shared" si="17"/>
        <v>90</v>
      </c>
      <c r="N319" s="55">
        <f t="shared" si="18"/>
        <v>0</v>
      </c>
      <c r="O319" s="56" t="str">
        <f t="shared" si="19"/>
        <v>Conforme</v>
      </c>
      <c r="P319" s="51"/>
      <c r="R319" s="57" t="str">
        <f>IF(AND($E319=RelConducteur,$J319="Professionnel",ISNUMBER($C319),$C319&gt;=RelDebut,$C319&lt;=RelFin),COUNTIFS($E$9:$E319,RelConducteur,$J$9:$J319,"Professionnel",$C$9:$C319,"&gt;="&amp;RelDebut,$C$9:$C319,"&lt;="&amp;RelFin),"")</f>
        <v/>
      </c>
    </row>
    <row r="320" spans="2:18" ht="18" customHeight="1" x14ac:dyDescent="0.25">
      <c r="B320" s="48">
        <f>IF(C320="","",COUNT($C$9:C320))</f>
        <v>312</v>
      </c>
      <c r="C320" s="49">
        <v>46685</v>
      </c>
      <c r="D320" s="50">
        <v>0.4375</v>
      </c>
      <c r="E320" s="51" t="s">
        <v>148</v>
      </c>
      <c r="F320" s="52" t="str">
        <f t="shared" si="16"/>
        <v>Service commercial</v>
      </c>
      <c r="G320" s="51" t="s">
        <v>134</v>
      </c>
      <c r="H320" s="51" t="s">
        <v>149</v>
      </c>
      <c r="I320" s="51" t="s">
        <v>150</v>
      </c>
      <c r="J320" s="51" t="s">
        <v>8</v>
      </c>
      <c r="K320" s="53">
        <v>57376</v>
      </c>
      <c r="L320" s="53">
        <v>57652</v>
      </c>
      <c r="M320" s="54">
        <f t="shared" si="17"/>
        <v>276</v>
      </c>
      <c r="N320" s="55">
        <f t="shared" si="18"/>
        <v>0</v>
      </c>
      <c r="O320" s="56" t="str">
        <f t="shared" si="19"/>
        <v>Conforme</v>
      </c>
      <c r="P320" s="51"/>
      <c r="R320" s="57" t="str">
        <f>IF(AND($E320=RelConducteur,$J320="Professionnel",ISNUMBER($C320),$C320&gt;=RelDebut,$C320&lt;=RelFin),COUNTIFS($E$9:$E320,RelConducteur,$J$9:$J320,"Professionnel",$C$9:$C320,"&gt;="&amp;RelDebut,$C$9:$C320,"&lt;="&amp;RelFin),"")</f>
        <v/>
      </c>
    </row>
    <row r="321" spans="2:18" ht="18" customHeight="1" x14ac:dyDescent="0.25">
      <c r="B321" s="48">
        <f>IF(C321="","",COUNT($C$9:C321))</f>
        <v>313</v>
      </c>
      <c r="C321" s="49">
        <v>46685</v>
      </c>
      <c r="D321" s="50">
        <v>0.75</v>
      </c>
      <c r="E321" s="51" t="s">
        <v>139</v>
      </c>
      <c r="F321" s="52" t="str">
        <f t="shared" si="16"/>
        <v>Service technique</v>
      </c>
      <c r="G321" s="51" t="s">
        <v>134</v>
      </c>
      <c r="H321" s="51" t="s">
        <v>155</v>
      </c>
      <c r="I321" s="51" t="s">
        <v>156</v>
      </c>
      <c r="J321" s="51" t="s">
        <v>9</v>
      </c>
      <c r="K321" s="53">
        <v>57652</v>
      </c>
      <c r="L321" s="53">
        <v>57676</v>
      </c>
      <c r="M321" s="54">
        <f t="shared" si="17"/>
        <v>24</v>
      </c>
      <c r="N321" s="55">
        <f t="shared" si="18"/>
        <v>0</v>
      </c>
      <c r="O321" s="56" t="str">
        <f t="shared" si="19"/>
        <v>Conforme</v>
      </c>
      <c r="P321" s="51"/>
      <c r="R321" s="57" t="str">
        <f>IF(AND($E321=RelConducteur,$J321="Professionnel",ISNUMBER($C321),$C321&gt;=RelDebut,$C321&lt;=RelFin),COUNTIFS($E$9:$E321,RelConducteur,$J$9:$J321,"Professionnel",$C$9:$C321,"&gt;="&amp;RelDebut,$C$9:$C321,"&lt;="&amp;RelFin),"")</f>
        <v/>
      </c>
    </row>
    <row r="322" spans="2:18" ht="18" customHeight="1" x14ac:dyDescent="0.25">
      <c r="B322" s="48">
        <f>IF(C322="","",COUNT($C$9:C322))</f>
        <v>314</v>
      </c>
      <c r="C322" s="49">
        <v>46686</v>
      </c>
      <c r="D322" s="50">
        <v>0.33333333333333331</v>
      </c>
      <c r="E322" s="51" t="s">
        <v>139</v>
      </c>
      <c r="F322" s="52" t="str">
        <f t="shared" si="16"/>
        <v>Service technique</v>
      </c>
      <c r="G322" s="51" t="s">
        <v>134</v>
      </c>
      <c r="H322" s="51" t="s">
        <v>163</v>
      </c>
      <c r="I322" s="51" t="s">
        <v>164</v>
      </c>
      <c r="J322" s="51" t="s">
        <v>8</v>
      </c>
      <c r="K322" s="53">
        <v>57676</v>
      </c>
      <c r="L322" s="53">
        <v>57702</v>
      </c>
      <c r="M322" s="54">
        <f t="shared" si="17"/>
        <v>26</v>
      </c>
      <c r="N322" s="55">
        <f t="shared" si="18"/>
        <v>0</v>
      </c>
      <c r="O322" s="56" t="str">
        <f t="shared" si="19"/>
        <v>Conforme</v>
      </c>
      <c r="P322" s="51"/>
      <c r="R322" s="57" t="str">
        <f>IF(AND($E322=RelConducteur,$J322="Professionnel",ISNUMBER($C322),$C322&gt;=RelDebut,$C322&lt;=RelFin),COUNTIFS($E$9:$E322,RelConducteur,$J$9:$J322,"Professionnel",$C$9:$C322,"&gt;="&amp;RelDebut,$C$9:$C322,"&lt;="&amp;RelFin),"")</f>
        <v/>
      </c>
    </row>
    <row r="323" spans="2:18" ht="18" customHeight="1" x14ac:dyDescent="0.25">
      <c r="B323" s="48">
        <f>IF(C323="","",COUNT($C$9:C323))</f>
        <v>315</v>
      </c>
      <c r="C323" s="49">
        <v>46686</v>
      </c>
      <c r="D323" s="50">
        <v>0.60416666666666663</v>
      </c>
      <c r="E323" s="51" t="s">
        <v>133</v>
      </c>
      <c r="F323" s="52" t="str">
        <f t="shared" si="16"/>
        <v>Service technique</v>
      </c>
      <c r="G323" s="51" t="s">
        <v>134</v>
      </c>
      <c r="H323" s="51" t="s">
        <v>161</v>
      </c>
      <c r="I323" s="51" t="s">
        <v>162</v>
      </c>
      <c r="J323" s="51" t="s">
        <v>8</v>
      </c>
      <c r="K323" s="53">
        <v>57702</v>
      </c>
      <c r="L323" s="53">
        <v>57728</v>
      </c>
      <c r="M323" s="54">
        <f t="shared" si="17"/>
        <v>26</v>
      </c>
      <c r="N323" s="55">
        <f t="shared" si="18"/>
        <v>0</v>
      </c>
      <c r="O323" s="56" t="str">
        <f t="shared" si="19"/>
        <v>Conforme</v>
      </c>
      <c r="P323" s="51"/>
      <c r="R323" s="57" t="str">
        <f>IF(AND($E323=RelConducteur,$J323="Professionnel",ISNUMBER($C323),$C323&gt;=RelDebut,$C323&lt;=RelFin),COUNTIFS($E$9:$E323,RelConducteur,$J$9:$J323,"Professionnel",$C$9:$C323,"&gt;="&amp;RelDebut,$C$9:$C323,"&lt;="&amp;RelFin),"")</f>
        <v/>
      </c>
    </row>
    <row r="324" spans="2:18" ht="18" customHeight="1" x14ac:dyDescent="0.25">
      <c r="B324" s="48">
        <f>IF(C324="","",COUNT($C$9:C324))</f>
        <v>316</v>
      </c>
      <c r="C324" s="49">
        <v>46686</v>
      </c>
      <c r="D324" s="50">
        <v>0.75</v>
      </c>
      <c r="E324" s="51" t="s">
        <v>139</v>
      </c>
      <c r="F324" s="52" t="str">
        <f t="shared" si="16"/>
        <v>Service technique</v>
      </c>
      <c r="G324" s="51" t="s">
        <v>134</v>
      </c>
      <c r="H324" s="51" t="s">
        <v>155</v>
      </c>
      <c r="I324" s="51" t="s">
        <v>156</v>
      </c>
      <c r="J324" s="51" t="s">
        <v>9</v>
      </c>
      <c r="K324" s="53">
        <v>57728</v>
      </c>
      <c r="L324" s="53">
        <v>57752</v>
      </c>
      <c r="M324" s="54">
        <f t="shared" si="17"/>
        <v>24</v>
      </c>
      <c r="N324" s="55">
        <f t="shared" si="18"/>
        <v>0</v>
      </c>
      <c r="O324" s="56" t="str">
        <f t="shared" si="19"/>
        <v>Conforme</v>
      </c>
      <c r="P324" s="51"/>
      <c r="R324" s="57" t="str">
        <f>IF(AND($E324=RelConducteur,$J324="Professionnel",ISNUMBER($C324),$C324&gt;=RelDebut,$C324&lt;=RelFin),COUNTIFS($E$9:$E324,RelConducteur,$J$9:$J324,"Professionnel",$C$9:$C324,"&gt;="&amp;RelDebut,$C$9:$C324,"&lt;="&amp;RelFin),"")</f>
        <v/>
      </c>
    </row>
    <row r="325" spans="2:18" ht="18" customHeight="1" x14ac:dyDescent="0.25">
      <c r="B325" s="48">
        <f>IF(C325="","",COUNT($C$9:C325))</f>
        <v>317</v>
      </c>
      <c r="C325" s="49">
        <v>46687</v>
      </c>
      <c r="D325" s="50">
        <v>0.33333333333333331</v>
      </c>
      <c r="E325" s="51" t="s">
        <v>133</v>
      </c>
      <c r="F325" s="52" t="str">
        <f t="shared" si="16"/>
        <v>Service technique</v>
      </c>
      <c r="G325" s="51" t="s">
        <v>134</v>
      </c>
      <c r="H325" s="51" t="s">
        <v>165</v>
      </c>
      <c r="I325" s="51" t="s">
        <v>166</v>
      </c>
      <c r="J325" s="51" t="s">
        <v>8</v>
      </c>
      <c r="K325" s="53">
        <v>57752</v>
      </c>
      <c r="L325" s="53">
        <v>57823</v>
      </c>
      <c r="M325" s="54">
        <f t="shared" si="17"/>
        <v>71</v>
      </c>
      <c r="N325" s="55">
        <f t="shared" si="18"/>
        <v>0</v>
      </c>
      <c r="O325" s="56" t="str">
        <f t="shared" si="19"/>
        <v>Conforme</v>
      </c>
      <c r="P325" s="51"/>
      <c r="R325" s="57" t="str">
        <f>IF(AND($E325=RelConducteur,$J325="Professionnel",ISNUMBER($C325),$C325&gt;=RelDebut,$C325&lt;=RelFin),COUNTIFS($E$9:$E325,RelConducteur,$J$9:$J325,"Professionnel",$C$9:$C325,"&gt;="&amp;RelDebut,$C$9:$C325,"&lt;="&amp;RelFin),"")</f>
        <v/>
      </c>
    </row>
    <row r="326" spans="2:18" ht="18" customHeight="1" x14ac:dyDescent="0.25">
      <c r="B326" s="48">
        <f>IF(C326="","",COUNT($C$9:C326))</f>
        <v>318</v>
      </c>
      <c r="C326" s="49">
        <v>46687</v>
      </c>
      <c r="D326" s="50">
        <v>0.60416666666666663</v>
      </c>
      <c r="E326" s="51" t="s">
        <v>139</v>
      </c>
      <c r="F326" s="52" t="str">
        <f t="shared" si="16"/>
        <v>Service technique</v>
      </c>
      <c r="G326" s="51" t="s">
        <v>134</v>
      </c>
      <c r="H326" s="51" t="s">
        <v>165</v>
      </c>
      <c r="I326" s="51" t="s">
        <v>166</v>
      </c>
      <c r="J326" s="51" t="s">
        <v>8</v>
      </c>
      <c r="K326" s="53">
        <v>57823</v>
      </c>
      <c r="L326" s="53">
        <v>57896</v>
      </c>
      <c r="M326" s="54">
        <f t="shared" si="17"/>
        <v>73</v>
      </c>
      <c r="N326" s="55">
        <f t="shared" si="18"/>
        <v>0</v>
      </c>
      <c r="O326" s="56" t="str">
        <f t="shared" si="19"/>
        <v>Conforme</v>
      </c>
      <c r="P326" s="51"/>
      <c r="R326" s="57" t="str">
        <f>IF(AND($E326=RelConducteur,$J326="Professionnel",ISNUMBER($C326),$C326&gt;=RelDebut,$C326&lt;=RelFin),COUNTIFS($E$9:$E326,RelConducteur,$J$9:$J326,"Professionnel",$C$9:$C326,"&gt;="&amp;RelDebut,$C$9:$C326,"&lt;="&amp;RelFin),"")</f>
        <v/>
      </c>
    </row>
    <row r="327" spans="2:18" ht="18" customHeight="1" x14ac:dyDescent="0.25">
      <c r="B327" s="48">
        <f>IF(C327="","",COUNT($C$9:C327))</f>
        <v>319</v>
      </c>
      <c r="C327" s="49">
        <v>46687</v>
      </c>
      <c r="D327" s="50">
        <v>0.75</v>
      </c>
      <c r="E327" s="51" t="s">
        <v>139</v>
      </c>
      <c r="F327" s="52" t="str">
        <f t="shared" si="16"/>
        <v>Service technique</v>
      </c>
      <c r="G327" s="51" t="s">
        <v>134</v>
      </c>
      <c r="H327" s="51" t="s">
        <v>155</v>
      </c>
      <c r="I327" s="51" t="s">
        <v>156</v>
      </c>
      <c r="J327" s="51" t="s">
        <v>9</v>
      </c>
      <c r="K327" s="53">
        <v>57896</v>
      </c>
      <c r="L327" s="53">
        <v>57920</v>
      </c>
      <c r="M327" s="54">
        <f t="shared" si="17"/>
        <v>24</v>
      </c>
      <c r="N327" s="55">
        <f t="shared" si="18"/>
        <v>0</v>
      </c>
      <c r="O327" s="56" t="str">
        <f t="shared" si="19"/>
        <v>Conforme</v>
      </c>
      <c r="P327" s="51"/>
      <c r="R327" s="57" t="str">
        <f>IF(AND($E327=RelConducteur,$J327="Professionnel",ISNUMBER($C327),$C327&gt;=RelDebut,$C327&lt;=RelFin),COUNTIFS($E$9:$E327,RelConducteur,$J$9:$J327,"Professionnel",$C$9:$C327,"&gt;="&amp;RelDebut,$C$9:$C327,"&lt;="&amp;RelFin),"")</f>
        <v/>
      </c>
    </row>
    <row r="328" spans="2:18" ht="18" customHeight="1" x14ac:dyDescent="0.25">
      <c r="B328" s="48">
        <f>IF(C328="","",COUNT($C$9:C328))</f>
        <v>320</v>
      </c>
      <c r="C328" s="49">
        <v>46688</v>
      </c>
      <c r="D328" s="50">
        <v>0.58333333333333337</v>
      </c>
      <c r="E328" s="51" t="s">
        <v>133</v>
      </c>
      <c r="F328" s="52" t="str">
        <f t="shared" si="16"/>
        <v>Service technique</v>
      </c>
      <c r="G328" s="51" t="s">
        <v>134</v>
      </c>
      <c r="H328" s="51" t="s">
        <v>142</v>
      </c>
      <c r="I328" s="51" t="s">
        <v>143</v>
      </c>
      <c r="J328" s="51" t="s">
        <v>8</v>
      </c>
      <c r="K328" s="53">
        <v>57920</v>
      </c>
      <c r="L328" s="53">
        <v>57936</v>
      </c>
      <c r="M328" s="54">
        <f t="shared" si="17"/>
        <v>16</v>
      </c>
      <c r="N328" s="55">
        <f t="shared" si="18"/>
        <v>0</v>
      </c>
      <c r="O328" s="56" t="str">
        <f t="shared" si="19"/>
        <v>Conforme</v>
      </c>
      <c r="P328" s="51"/>
      <c r="R328" s="57" t="str">
        <f>IF(AND($E328=RelConducteur,$J328="Professionnel",ISNUMBER($C328),$C328&gt;=RelDebut,$C328&lt;=RelFin),COUNTIFS($E$9:$E328,RelConducteur,$J$9:$J328,"Professionnel",$C$9:$C328,"&gt;="&amp;RelDebut,$C$9:$C328,"&lt;="&amp;RelFin),"")</f>
        <v/>
      </c>
    </row>
    <row r="329" spans="2:18" ht="18" customHeight="1" x14ac:dyDescent="0.25">
      <c r="B329" s="48">
        <f>IF(C329="","",COUNT($C$9:C329))</f>
        <v>321</v>
      </c>
      <c r="C329" s="49">
        <v>46688</v>
      </c>
      <c r="D329" s="50">
        <v>0.75</v>
      </c>
      <c r="E329" s="51" t="s">
        <v>139</v>
      </c>
      <c r="F329" s="52" t="str">
        <f t="shared" ref="F329:F392" si="20">IF(OR(C329="",E329=""),"",IFERROR(INDEX(CondService,MATCH(E329,CondNoms,0))&amp;"","Conducteur inconnu"))</f>
        <v>Service technique</v>
      </c>
      <c r="G329" s="51" t="s">
        <v>134</v>
      </c>
      <c r="H329" s="51" t="s">
        <v>155</v>
      </c>
      <c r="I329" s="51" t="s">
        <v>156</v>
      </c>
      <c r="J329" s="51" t="s">
        <v>9</v>
      </c>
      <c r="K329" s="53">
        <v>57936</v>
      </c>
      <c r="L329" s="53">
        <v>57960</v>
      </c>
      <c r="M329" s="54">
        <f t="shared" ref="M329:M392" si="21">IF(OR(K329="",L329=""),"",L329-K329)</f>
        <v>24</v>
      </c>
      <c r="N329" s="55">
        <f t="shared" si="18"/>
        <v>0</v>
      </c>
      <c r="O329" s="56" t="str">
        <f t="shared" si="19"/>
        <v>Conforme</v>
      </c>
      <c r="P329" s="51"/>
      <c r="R329" s="57" t="str">
        <f>IF(AND($E329=RelConducteur,$J329="Professionnel",ISNUMBER($C329),$C329&gt;=RelDebut,$C329&lt;=RelFin),COUNTIFS($E$9:$E329,RelConducteur,$J$9:$J329,"Professionnel",$C$9:$C329,"&gt;="&amp;RelDebut,$C$9:$C329,"&lt;="&amp;RelFin),"")</f>
        <v/>
      </c>
    </row>
    <row r="330" spans="2:18" ht="18" customHeight="1" x14ac:dyDescent="0.25">
      <c r="B330" s="48">
        <f>IF(C330="","",COUNT($C$9:C330))</f>
        <v>322</v>
      </c>
      <c r="C330" s="49">
        <v>46689</v>
      </c>
      <c r="D330" s="50">
        <v>0.33333333333333331</v>
      </c>
      <c r="E330" s="51" t="s">
        <v>133</v>
      </c>
      <c r="F330" s="52" t="str">
        <f t="shared" si="20"/>
        <v>Service technique</v>
      </c>
      <c r="G330" s="51" t="s">
        <v>134</v>
      </c>
      <c r="H330" s="51" t="s">
        <v>140</v>
      </c>
      <c r="I330" s="51" t="s">
        <v>141</v>
      </c>
      <c r="J330" s="51" t="s">
        <v>8</v>
      </c>
      <c r="K330" s="53">
        <v>57960</v>
      </c>
      <c r="L330" s="53">
        <v>57981</v>
      </c>
      <c r="M330" s="54">
        <f t="shared" si="21"/>
        <v>21</v>
      </c>
      <c r="N330" s="55">
        <f t="shared" ref="N330:N393" si="22">IF(OR(C330="",K330="",L329=""),"",K330-L329)</f>
        <v>0</v>
      </c>
      <c r="O330" s="56" t="str">
        <f t="shared" ref="O330:O393" si="23">IF(C330="","",IF(OR(E330="",G330="",H330="",J330="",K330="",L330="",AND(J330="Professionnel",I330="")),"Incomplet",IF(AND(ISNUMBER(C329),C330&lt;C329),"Ordre des dates",IF(L330&lt;K330,"Compteur incohérent",IF(AND(ISNUMBER(N330),N330&gt;ToleranceKm),"Km non enregistrés",IF(AND(ISNUMBER(N330),N330&lt;-ToleranceKm),"Chevauchement",IF(AND(J330="Personnel",UsagePrive="Non"),"Usage privé non autorisé","Conforme")))))))</f>
        <v>Conforme</v>
      </c>
      <c r="P330" s="51"/>
      <c r="R330" s="57" t="str">
        <f>IF(AND($E330=RelConducteur,$J330="Professionnel",ISNUMBER($C330),$C330&gt;=RelDebut,$C330&lt;=RelFin),COUNTIFS($E$9:$E330,RelConducteur,$J$9:$J330,"Professionnel",$C$9:$C330,"&gt;="&amp;RelDebut,$C$9:$C330,"&lt;="&amp;RelFin),"")</f>
        <v/>
      </c>
    </row>
    <row r="331" spans="2:18" ht="18" customHeight="1" x14ac:dyDescent="0.25">
      <c r="B331" s="48">
        <f>IF(C331="","",COUNT($C$9:C331))</f>
        <v>323</v>
      </c>
      <c r="C331" s="49">
        <v>46693</v>
      </c>
      <c r="D331" s="50">
        <v>0.33333333333333331</v>
      </c>
      <c r="E331" s="51" t="s">
        <v>133</v>
      </c>
      <c r="F331" s="52" t="str">
        <f t="shared" si="20"/>
        <v>Service technique</v>
      </c>
      <c r="G331" s="51" t="s">
        <v>134</v>
      </c>
      <c r="H331" s="51" t="s">
        <v>163</v>
      </c>
      <c r="I331" s="51" t="s">
        <v>164</v>
      </c>
      <c r="J331" s="51" t="s">
        <v>8</v>
      </c>
      <c r="K331" s="53">
        <v>57981</v>
      </c>
      <c r="L331" s="53">
        <v>58004</v>
      </c>
      <c r="M331" s="54">
        <f t="shared" si="21"/>
        <v>23</v>
      </c>
      <c r="N331" s="55">
        <f t="shared" si="22"/>
        <v>0</v>
      </c>
      <c r="O331" s="56" t="str">
        <f t="shared" si="23"/>
        <v>Conforme</v>
      </c>
      <c r="P331" s="51"/>
      <c r="R331" s="57" t="str">
        <f>IF(AND($E331=RelConducteur,$J331="Professionnel",ISNUMBER($C331),$C331&gt;=RelDebut,$C331&lt;=RelFin),COUNTIFS($E$9:$E331,RelConducteur,$J$9:$J331,"Professionnel",$C$9:$C331,"&gt;="&amp;RelDebut,$C$9:$C331,"&lt;="&amp;RelFin),"")</f>
        <v/>
      </c>
    </row>
    <row r="332" spans="2:18" ht="18" customHeight="1" x14ac:dyDescent="0.25">
      <c r="B332" s="48">
        <f>IF(C332="","",COUNT($C$9:C332))</f>
        <v>324</v>
      </c>
      <c r="C332" s="49">
        <v>46693</v>
      </c>
      <c r="D332" s="50">
        <v>0.60416666666666663</v>
      </c>
      <c r="E332" s="51" t="s">
        <v>139</v>
      </c>
      <c r="F332" s="52" t="str">
        <f t="shared" si="20"/>
        <v>Service technique</v>
      </c>
      <c r="G332" s="51" t="s">
        <v>134</v>
      </c>
      <c r="H332" s="51" t="s">
        <v>144</v>
      </c>
      <c r="I332" s="51" t="s">
        <v>145</v>
      </c>
      <c r="J332" s="51" t="s">
        <v>8</v>
      </c>
      <c r="K332" s="53">
        <v>58004</v>
      </c>
      <c r="L332" s="53">
        <v>58033</v>
      </c>
      <c r="M332" s="54">
        <f t="shared" si="21"/>
        <v>29</v>
      </c>
      <c r="N332" s="55">
        <f t="shared" si="22"/>
        <v>0</v>
      </c>
      <c r="O332" s="56" t="str">
        <f t="shared" si="23"/>
        <v>Conforme</v>
      </c>
      <c r="P332" s="51"/>
      <c r="R332" s="57" t="str">
        <f>IF(AND($E332=RelConducteur,$J332="Professionnel",ISNUMBER($C332),$C332&gt;=RelDebut,$C332&lt;=RelFin),COUNTIFS($E$9:$E332,RelConducteur,$J$9:$J332,"Professionnel",$C$9:$C332,"&gt;="&amp;RelDebut,$C$9:$C332,"&lt;="&amp;RelFin),"")</f>
        <v/>
      </c>
    </row>
    <row r="333" spans="2:18" ht="18" customHeight="1" x14ac:dyDescent="0.25">
      <c r="B333" s="48">
        <f>IF(C333="","",COUNT($C$9:C333))</f>
        <v>325</v>
      </c>
      <c r="C333" s="49">
        <v>46694</v>
      </c>
      <c r="D333" s="50">
        <v>0.3125</v>
      </c>
      <c r="E333" s="51" t="s">
        <v>139</v>
      </c>
      <c r="F333" s="52" t="str">
        <f t="shared" si="20"/>
        <v>Service technique</v>
      </c>
      <c r="G333" s="51" t="s">
        <v>134</v>
      </c>
      <c r="H333" s="51" t="s">
        <v>140</v>
      </c>
      <c r="I333" s="51" t="s">
        <v>141</v>
      </c>
      <c r="J333" s="51" t="s">
        <v>8</v>
      </c>
      <c r="K333" s="53">
        <v>58033</v>
      </c>
      <c r="L333" s="53">
        <v>58058</v>
      </c>
      <c r="M333" s="54">
        <f t="shared" si="21"/>
        <v>25</v>
      </c>
      <c r="N333" s="55">
        <f t="shared" si="22"/>
        <v>0</v>
      </c>
      <c r="O333" s="56" t="str">
        <f t="shared" si="23"/>
        <v>Conforme</v>
      </c>
      <c r="P333" s="51"/>
      <c r="R333" s="57" t="str">
        <f>IF(AND($E333=RelConducteur,$J333="Professionnel",ISNUMBER($C333),$C333&gt;=RelDebut,$C333&lt;=RelFin),COUNTIFS($E$9:$E333,RelConducteur,$J$9:$J333,"Professionnel",$C$9:$C333,"&gt;="&amp;RelDebut,$C$9:$C333,"&lt;="&amp;RelFin),"")</f>
        <v/>
      </c>
    </row>
    <row r="334" spans="2:18" ht="18" customHeight="1" x14ac:dyDescent="0.25">
      <c r="B334" s="48">
        <f>IF(C334="","",COUNT($C$9:C334))</f>
        <v>326</v>
      </c>
      <c r="C334" s="49">
        <v>46695</v>
      </c>
      <c r="D334" s="50">
        <v>0.33333333333333331</v>
      </c>
      <c r="E334" s="51" t="s">
        <v>133</v>
      </c>
      <c r="F334" s="52" t="str">
        <f t="shared" si="20"/>
        <v>Service technique</v>
      </c>
      <c r="G334" s="51" t="s">
        <v>134</v>
      </c>
      <c r="H334" s="51" t="s">
        <v>163</v>
      </c>
      <c r="I334" s="51" t="s">
        <v>164</v>
      </c>
      <c r="J334" s="51" t="s">
        <v>8</v>
      </c>
      <c r="K334" s="53">
        <v>58058</v>
      </c>
      <c r="L334" s="53">
        <v>58084</v>
      </c>
      <c r="M334" s="54">
        <f t="shared" si="21"/>
        <v>26</v>
      </c>
      <c r="N334" s="55">
        <f t="shared" si="22"/>
        <v>0</v>
      </c>
      <c r="O334" s="56" t="str">
        <f t="shared" si="23"/>
        <v>Conforme</v>
      </c>
      <c r="P334" s="51"/>
      <c r="R334" s="57" t="str">
        <f>IF(AND($E334=RelConducteur,$J334="Professionnel",ISNUMBER($C334),$C334&gt;=RelDebut,$C334&lt;=RelFin),COUNTIFS($E$9:$E334,RelConducteur,$J$9:$J334,"Professionnel",$C$9:$C334,"&gt;="&amp;RelDebut,$C$9:$C334,"&lt;="&amp;RelFin),"")</f>
        <v/>
      </c>
    </row>
    <row r="335" spans="2:18" ht="18" customHeight="1" x14ac:dyDescent="0.25">
      <c r="B335" s="48">
        <f>IF(C335="","",COUNT($C$9:C335))</f>
        <v>327</v>
      </c>
      <c r="C335" s="49">
        <v>46695</v>
      </c>
      <c r="D335" s="50">
        <v>0.60416666666666663</v>
      </c>
      <c r="E335" s="51" t="s">
        <v>139</v>
      </c>
      <c r="F335" s="52" t="str">
        <f t="shared" si="20"/>
        <v>Service technique</v>
      </c>
      <c r="G335" s="51" t="s">
        <v>134</v>
      </c>
      <c r="H335" s="51" t="s">
        <v>140</v>
      </c>
      <c r="I335" s="51" t="s">
        <v>141</v>
      </c>
      <c r="J335" s="51" t="s">
        <v>8</v>
      </c>
      <c r="K335" s="53">
        <v>58084</v>
      </c>
      <c r="L335" s="53">
        <v>58104</v>
      </c>
      <c r="M335" s="54">
        <f t="shared" si="21"/>
        <v>20</v>
      </c>
      <c r="N335" s="55">
        <f t="shared" si="22"/>
        <v>0</v>
      </c>
      <c r="O335" s="56" t="str">
        <f t="shared" si="23"/>
        <v>Conforme</v>
      </c>
      <c r="P335" s="51"/>
      <c r="R335" s="57" t="str">
        <f>IF(AND($E335=RelConducteur,$J335="Professionnel",ISNUMBER($C335),$C335&gt;=RelDebut,$C335&lt;=RelFin),COUNTIFS($E$9:$E335,RelConducteur,$J$9:$J335,"Professionnel",$C$9:$C335,"&gt;="&amp;RelDebut,$C$9:$C335,"&lt;="&amp;RelFin),"")</f>
        <v/>
      </c>
    </row>
    <row r="336" spans="2:18" ht="18" customHeight="1" x14ac:dyDescent="0.25">
      <c r="B336" s="48">
        <f>IF(C336="","",COUNT($C$9:C336))</f>
        <v>328</v>
      </c>
      <c r="C336" s="49">
        <v>46696</v>
      </c>
      <c r="D336" s="50">
        <v>0.33333333333333331</v>
      </c>
      <c r="E336" s="51" t="s">
        <v>139</v>
      </c>
      <c r="F336" s="52" t="str">
        <f t="shared" si="20"/>
        <v>Service technique</v>
      </c>
      <c r="G336" s="51" t="s">
        <v>134</v>
      </c>
      <c r="H336" s="51" t="s">
        <v>161</v>
      </c>
      <c r="I336" s="51" t="s">
        <v>162</v>
      </c>
      <c r="J336" s="51" t="s">
        <v>8</v>
      </c>
      <c r="K336" s="53">
        <v>58104</v>
      </c>
      <c r="L336" s="53">
        <v>58132</v>
      </c>
      <c r="M336" s="54">
        <f t="shared" si="21"/>
        <v>28</v>
      </c>
      <c r="N336" s="55">
        <f t="shared" si="22"/>
        <v>0</v>
      </c>
      <c r="O336" s="56" t="str">
        <f t="shared" si="23"/>
        <v>Conforme</v>
      </c>
      <c r="P336" s="51"/>
      <c r="R336" s="57" t="str">
        <f>IF(AND($E336=RelConducteur,$J336="Professionnel",ISNUMBER($C336),$C336&gt;=RelDebut,$C336&lt;=RelFin),COUNTIFS($E$9:$E336,RelConducteur,$J$9:$J336,"Professionnel",$C$9:$C336,"&gt;="&amp;RelDebut,$C$9:$C336,"&lt;="&amp;RelFin),"")</f>
        <v/>
      </c>
    </row>
    <row r="337" spans="2:18" ht="18" customHeight="1" x14ac:dyDescent="0.25">
      <c r="B337" s="48">
        <f>IF(C337="","",COUNT($C$9:C337))</f>
        <v>329</v>
      </c>
      <c r="C337" s="49">
        <v>46699</v>
      </c>
      <c r="D337" s="50">
        <v>0.3125</v>
      </c>
      <c r="E337" s="51" t="s">
        <v>133</v>
      </c>
      <c r="F337" s="52" t="str">
        <f t="shared" si="20"/>
        <v>Service technique</v>
      </c>
      <c r="G337" s="51" t="s">
        <v>134</v>
      </c>
      <c r="H337" s="51" t="s">
        <v>144</v>
      </c>
      <c r="I337" s="51" t="s">
        <v>145</v>
      </c>
      <c r="J337" s="51" t="s">
        <v>8</v>
      </c>
      <c r="K337" s="53">
        <v>58132</v>
      </c>
      <c r="L337" s="53">
        <v>58158</v>
      </c>
      <c r="M337" s="54">
        <f t="shared" si="21"/>
        <v>26</v>
      </c>
      <c r="N337" s="55">
        <f t="shared" si="22"/>
        <v>0</v>
      </c>
      <c r="O337" s="56" t="str">
        <f t="shared" si="23"/>
        <v>Conforme</v>
      </c>
      <c r="P337" s="51"/>
      <c r="R337" s="57" t="str">
        <f>IF(AND($E337=RelConducteur,$J337="Professionnel",ISNUMBER($C337),$C337&gt;=RelDebut,$C337&lt;=RelFin),COUNTIFS($E$9:$E337,RelConducteur,$J$9:$J337,"Professionnel",$C$9:$C337,"&gt;="&amp;RelDebut,$C$9:$C337,"&lt;="&amp;RelFin),"")</f>
        <v/>
      </c>
    </row>
    <row r="338" spans="2:18" ht="18" customHeight="1" x14ac:dyDescent="0.25">
      <c r="B338" s="48">
        <f>IF(C338="","",COUNT($C$9:C338))</f>
        <v>330</v>
      </c>
      <c r="C338" s="49">
        <v>46700</v>
      </c>
      <c r="D338" s="50">
        <v>0.33333333333333331</v>
      </c>
      <c r="E338" s="51" t="s">
        <v>139</v>
      </c>
      <c r="F338" s="52" t="str">
        <f t="shared" si="20"/>
        <v>Service technique</v>
      </c>
      <c r="G338" s="51" t="s">
        <v>134</v>
      </c>
      <c r="H338" s="51" t="s">
        <v>151</v>
      </c>
      <c r="I338" s="51" t="s">
        <v>152</v>
      </c>
      <c r="J338" s="51" t="s">
        <v>8</v>
      </c>
      <c r="K338" s="53">
        <v>58158</v>
      </c>
      <c r="L338" s="53">
        <v>58211</v>
      </c>
      <c r="M338" s="54">
        <f t="shared" si="21"/>
        <v>53</v>
      </c>
      <c r="N338" s="55">
        <f t="shared" si="22"/>
        <v>0</v>
      </c>
      <c r="O338" s="56" t="str">
        <f t="shared" si="23"/>
        <v>Conforme</v>
      </c>
      <c r="P338" s="51"/>
      <c r="R338" s="57" t="str">
        <f>IF(AND($E338=RelConducteur,$J338="Professionnel",ISNUMBER($C338),$C338&gt;=RelDebut,$C338&lt;=RelFin),COUNTIFS($E$9:$E338,RelConducteur,$J$9:$J338,"Professionnel",$C$9:$C338,"&gt;="&amp;RelDebut,$C$9:$C338,"&lt;="&amp;RelFin),"")</f>
        <v/>
      </c>
    </row>
    <row r="339" spans="2:18" ht="18" customHeight="1" x14ac:dyDescent="0.25">
      <c r="B339" s="48">
        <f>IF(C339="","",COUNT($C$9:C339))</f>
        <v>331</v>
      </c>
      <c r="C339" s="49">
        <v>46701</v>
      </c>
      <c r="D339" s="50">
        <v>0.35416666666666669</v>
      </c>
      <c r="E339" s="51" t="s">
        <v>133</v>
      </c>
      <c r="F339" s="52" t="str">
        <f t="shared" si="20"/>
        <v>Service technique</v>
      </c>
      <c r="G339" s="51" t="s">
        <v>134</v>
      </c>
      <c r="H339" s="51" t="s">
        <v>140</v>
      </c>
      <c r="I339" s="51" t="s">
        <v>141</v>
      </c>
      <c r="J339" s="51" t="s">
        <v>8</v>
      </c>
      <c r="K339" s="53">
        <v>58211</v>
      </c>
      <c r="L339" s="53">
        <v>58234</v>
      </c>
      <c r="M339" s="54">
        <f t="shared" si="21"/>
        <v>23</v>
      </c>
      <c r="N339" s="55">
        <f t="shared" si="22"/>
        <v>0</v>
      </c>
      <c r="O339" s="56" t="str">
        <f t="shared" si="23"/>
        <v>Conforme</v>
      </c>
      <c r="P339" s="51"/>
      <c r="R339" s="57" t="str">
        <f>IF(AND($E339=RelConducteur,$J339="Professionnel",ISNUMBER($C339),$C339&gt;=RelDebut,$C339&lt;=RelFin),COUNTIFS($E$9:$E339,RelConducteur,$J$9:$J339,"Professionnel",$C$9:$C339,"&gt;="&amp;RelDebut,$C$9:$C339,"&lt;="&amp;RelFin),"")</f>
        <v/>
      </c>
    </row>
    <row r="340" spans="2:18" ht="18" customHeight="1" x14ac:dyDescent="0.25">
      <c r="B340" s="48">
        <f>IF(C340="","",COUNT($C$9:C340))</f>
        <v>332</v>
      </c>
      <c r="C340" s="49">
        <v>46703</v>
      </c>
      <c r="D340" s="50">
        <v>0.3125</v>
      </c>
      <c r="E340" s="51" t="s">
        <v>133</v>
      </c>
      <c r="F340" s="52" t="str">
        <f t="shared" si="20"/>
        <v>Service technique</v>
      </c>
      <c r="G340" s="51" t="s">
        <v>134</v>
      </c>
      <c r="H340" s="51" t="s">
        <v>140</v>
      </c>
      <c r="I340" s="51" t="s">
        <v>141</v>
      </c>
      <c r="J340" s="51" t="s">
        <v>8</v>
      </c>
      <c r="K340" s="53">
        <v>58234</v>
      </c>
      <c r="L340" s="53">
        <v>58256</v>
      </c>
      <c r="M340" s="54">
        <f t="shared" si="21"/>
        <v>22</v>
      </c>
      <c r="N340" s="55">
        <f t="shared" si="22"/>
        <v>0</v>
      </c>
      <c r="O340" s="56" t="str">
        <f t="shared" si="23"/>
        <v>Conforme</v>
      </c>
      <c r="P340" s="51"/>
      <c r="R340" s="57" t="str">
        <f>IF(AND($E340=RelConducteur,$J340="Professionnel",ISNUMBER($C340),$C340&gt;=RelDebut,$C340&lt;=RelFin),COUNTIFS($E$9:$E340,RelConducteur,$J$9:$J340,"Professionnel",$C$9:$C340,"&gt;="&amp;RelDebut,$C$9:$C340,"&lt;="&amp;RelFin),"")</f>
        <v/>
      </c>
    </row>
    <row r="341" spans="2:18" ht="18" customHeight="1" x14ac:dyDescent="0.25">
      <c r="B341" s="48">
        <f>IF(C341="","",COUNT($C$9:C341))</f>
        <v>333</v>
      </c>
      <c r="C341" s="49">
        <v>46707</v>
      </c>
      <c r="D341" s="50">
        <v>0.33333333333333331</v>
      </c>
      <c r="E341" s="51" t="s">
        <v>133</v>
      </c>
      <c r="F341" s="52" t="str">
        <f t="shared" si="20"/>
        <v>Service technique</v>
      </c>
      <c r="G341" s="51" t="s">
        <v>134</v>
      </c>
      <c r="H341" s="51" t="s">
        <v>161</v>
      </c>
      <c r="I341" s="51" t="s">
        <v>162</v>
      </c>
      <c r="J341" s="51" t="s">
        <v>8</v>
      </c>
      <c r="K341" s="53">
        <v>58256</v>
      </c>
      <c r="L341" s="53">
        <v>58284</v>
      </c>
      <c r="M341" s="54">
        <f t="shared" si="21"/>
        <v>28</v>
      </c>
      <c r="N341" s="55">
        <f t="shared" si="22"/>
        <v>0</v>
      </c>
      <c r="O341" s="56" t="str">
        <f t="shared" si="23"/>
        <v>Conforme</v>
      </c>
      <c r="P341" s="51"/>
      <c r="R341" s="57" t="str">
        <f>IF(AND($E341=RelConducteur,$J341="Professionnel",ISNUMBER($C341),$C341&gt;=RelDebut,$C341&lt;=RelFin),COUNTIFS($E$9:$E341,RelConducteur,$J$9:$J341,"Professionnel",$C$9:$C341,"&gt;="&amp;RelDebut,$C$9:$C341,"&lt;="&amp;RelFin),"")</f>
        <v/>
      </c>
    </row>
    <row r="342" spans="2:18" ht="18" customHeight="1" x14ac:dyDescent="0.25">
      <c r="B342" s="48">
        <f>IF(C342="","",COUNT($C$9:C342))</f>
        <v>334</v>
      </c>
      <c r="C342" s="49">
        <v>46708</v>
      </c>
      <c r="D342" s="50">
        <v>0.33333333333333331</v>
      </c>
      <c r="E342" s="51" t="s">
        <v>139</v>
      </c>
      <c r="F342" s="52" t="str">
        <f t="shared" si="20"/>
        <v>Service technique</v>
      </c>
      <c r="G342" s="51" t="s">
        <v>134</v>
      </c>
      <c r="H342" s="51" t="s">
        <v>135</v>
      </c>
      <c r="I342" s="51" t="s">
        <v>136</v>
      </c>
      <c r="J342" s="51" t="s">
        <v>8</v>
      </c>
      <c r="K342" s="53">
        <v>58284</v>
      </c>
      <c r="L342" s="53">
        <v>58379</v>
      </c>
      <c r="M342" s="54">
        <f t="shared" si="21"/>
        <v>95</v>
      </c>
      <c r="N342" s="55">
        <f t="shared" si="22"/>
        <v>0</v>
      </c>
      <c r="O342" s="56" t="str">
        <f t="shared" si="23"/>
        <v>Conforme</v>
      </c>
      <c r="P342" s="51"/>
      <c r="R342" s="57" t="str">
        <f>IF(AND($E342=RelConducteur,$J342="Professionnel",ISNUMBER($C342),$C342&gt;=RelDebut,$C342&lt;=RelFin),COUNTIFS($E$9:$E342,RelConducteur,$J$9:$J342,"Professionnel",$C$9:$C342,"&gt;="&amp;RelDebut,$C$9:$C342,"&lt;="&amp;RelFin),"")</f>
        <v/>
      </c>
    </row>
    <row r="343" spans="2:18" ht="18" customHeight="1" x14ac:dyDescent="0.25">
      <c r="B343" s="48">
        <f>IF(C343="","",COUNT($C$9:C343))</f>
        <v>335</v>
      </c>
      <c r="C343" s="49">
        <v>46709</v>
      </c>
      <c r="D343" s="50">
        <v>0.33333333333333331</v>
      </c>
      <c r="E343" s="51" t="s">
        <v>133</v>
      </c>
      <c r="F343" s="52" t="str">
        <f t="shared" si="20"/>
        <v>Service technique</v>
      </c>
      <c r="G343" s="51" t="s">
        <v>134</v>
      </c>
      <c r="H343" s="51" t="s">
        <v>142</v>
      </c>
      <c r="I343" s="51" t="s">
        <v>143</v>
      </c>
      <c r="J343" s="51" t="s">
        <v>8</v>
      </c>
      <c r="K343" s="53">
        <v>58379</v>
      </c>
      <c r="L343" s="53">
        <v>58395</v>
      </c>
      <c r="M343" s="54">
        <f t="shared" si="21"/>
        <v>16</v>
      </c>
      <c r="N343" s="55">
        <f t="shared" si="22"/>
        <v>0</v>
      </c>
      <c r="O343" s="56" t="str">
        <f t="shared" si="23"/>
        <v>Conforme</v>
      </c>
      <c r="P343" s="51"/>
      <c r="R343" s="57" t="str">
        <f>IF(AND($E343=RelConducteur,$J343="Professionnel",ISNUMBER($C343),$C343&gt;=RelDebut,$C343&lt;=RelFin),COUNTIFS($E$9:$E343,RelConducteur,$J$9:$J343,"Professionnel",$C$9:$C343,"&gt;="&amp;RelDebut,$C$9:$C343,"&lt;="&amp;RelFin),"")</f>
        <v/>
      </c>
    </row>
    <row r="344" spans="2:18" ht="18" customHeight="1" x14ac:dyDescent="0.25">
      <c r="B344" s="48">
        <f>IF(C344="","",COUNT($C$9:C344))</f>
        <v>336</v>
      </c>
      <c r="C344" s="49">
        <v>46710</v>
      </c>
      <c r="D344" s="50">
        <v>0.3125</v>
      </c>
      <c r="E344" s="51" t="s">
        <v>139</v>
      </c>
      <c r="F344" s="52" t="str">
        <f t="shared" si="20"/>
        <v>Service technique</v>
      </c>
      <c r="G344" s="51" t="s">
        <v>134</v>
      </c>
      <c r="H344" s="51" t="s">
        <v>137</v>
      </c>
      <c r="I344" s="51" t="s">
        <v>138</v>
      </c>
      <c r="J344" s="51" t="s">
        <v>8</v>
      </c>
      <c r="K344" s="53">
        <v>58395</v>
      </c>
      <c r="L344" s="53">
        <v>58460</v>
      </c>
      <c r="M344" s="54">
        <f t="shared" si="21"/>
        <v>65</v>
      </c>
      <c r="N344" s="55">
        <f t="shared" si="22"/>
        <v>0</v>
      </c>
      <c r="O344" s="56" t="str">
        <f t="shared" si="23"/>
        <v>Conforme</v>
      </c>
      <c r="P344" s="51"/>
      <c r="R344" s="57" t="str">
        <f>IF(AND($E344=RelConducteur,$J344="Professionnel",ISNUMBER($C344),$C344&gt;=RelDebut,$C344&lt;=RelFin),COUNTIFS($E$9:$E344,RelConducteur,$J$9:$J344,"Professionnel",$C$9:$C344,"&gt;="&amp;RelDebut,$C$9:$C344,"&lt;="&amp;RelFin),"")</f>
        <v/>
      </c>
    </row>
    <row r="345" spans="2:18" ht="18" customHeight="1" x14ac:dyDescent="0.25">
      <c r="B345" s="48">
        <f>IF(C345="","",COUNT($C$9:C345))</f>
        <v>337</v>
      </c>
      <c r="C345" s="49">
        <v>46710</v>
      </c>
      <c r="D345" s="50">
        <v>0.4375</v>
      </c>
      <c r="E345" s="51" t="s">
        <v>148</v>
      </c>
      <c r="F345" s="52" t="str">
        <f t="shared" si="20"/>
        <v>Service commercial</v>
      </c>
      <c r="G345" s="51" t="s">
        <v>134</v>
      </c>
      <c r="H345" s="51" t="s">
        <v>157</v>
      </c>
      <c r="I345" s="51" t="s">
        <v>158</v>
      </c>
      <c r="J345" s="51" t="s">
        <v>8</v>
      </c>
      <c r="K345" s="53">
        <v>58460</v>
      </c>
      <c r="L345" s="53">
        <v>58679</v>
      </c>
      <c r="M345" s="54">
        <f t="shared" si="21"/>
        <v>219</v>
      </c>
      <c r="N345" s="55">
        <f t="shared" si="22"/>
        <v>0</v>
      </c>
      <c r="O345" s="56" t="str">
        <f t="shared" si="23"/>
        <v>Conforme</v>
      </c>
      <c r="P345" s="51"/>
      <c r="R345" s="57" t="str">
        <f>IF(AND($E345=RelConducteur,$J345="Professionnel",ISNUMBER($C345),$C345&gt;=RelDebut,$C345&lt;=RelFin),COUNTIFS($E$9:$E345,RelConducteur,$J$9:$J345,"Professionnel",$C$9:$C345,"&gt;="&amp;RelDebut,$C$9:$C345,"&lt;="&amp;RelFin),"")</f>
        <v/>
      </c>
    </row>
    <row r="346" spans="2:18" ht="18" customHeight="1" x14ac:dyDescent="0.25">
      <c r="B346" s="48">
        <f>IF(C346="","",COUNT($C$9:C346))</f>
        <v>338</v>
      </c>
      <c r="C346" s="49">
        <v>46713</v>
      </c>
      <c r="D346" s="50">
        <v>0.35416666666666669</v>
      </c>
      <c r="E346" s="51" t="s">
        <v>133</v>
      </c>
      <c r="F346" s="52" t="str">
        <f t="shared" si="20"/>
        <v>Service technique</v>
      </c>
      <c r="G346" s="51" t="s">
        <v>134</v>
      </c>
      <c r="H346" s="51" t="s">
        <v>144</v>
      </c>
      <c r="I346" s="51" t="s">
        <v>145</v>
      </c>
      <c r="J346" s="51" t="s">
        <v>8</v>
      </c>
      <c r="K346" s="53">
        <v>58679</v>
      </c>
      <c r="L346" s="53">
        <v>58705</v>
      </c>
      <c r="M346" s="54">
        <f t="shared" si="21"/>
        <v>26</v>
      </c>
      <c r="N346" s="55">
        <f t="shared" si="22"/>
        <v>0</v>
      </c>
      <c r="O346" s="56" t="str">
        <f t="shared" si="23"/>
        <v>Conforme</v>
      </c>
      <c r="P346" s="51"/>
      <c r="R346" s="57" t="str">
        <f>IF(AND($E346=RelConducteur,$J346="Professionnel",ISNUMBER($C346),$C346&gt;=RelDebut,$C346&lt;=RelFin),COUNTIFS($E$9:$E346,RelConducteur,$J$9:$J346,"Professionnel",$C$9:$C346,"&gt;="&amp;RelDebut,$C$9:$C346,"&lt;="&amp;RelFin),"")</f>
        <v/>
      </c>
    </row>
    <row r="347" spans="2:18" ht="18" customHeight="1" x14ac:dyDescent="0.25">
      <c r="B347" s="48">
        <f>IF(C347="","",COUNT($C$9:C347))</f>
        <v>339</v>
      </c>
      <c r="C347" s="49">
        <v>46713</v>
      </c>
      <c r="D347" s="50">
        <v>0.41666666666666669</v>
      </c>
      <c r="E347" s="51" t="s">
        <v>148</v>
      </c>
      <c r="F347" s="52" t="str">
        <f t="shared" si="20"/>
        <v>Service commercial</v>
      </c>
      <c r="G347" s="51" t="s">
        <v>134</v>
      </c>
      <c r="H347" s="51" t="s">
        <v>171</v>
      </c>
      <c r="I347" s="51" t="s">
        <v>172</v>
      </c>
      <c r="J347" s="51" t="s">
        <v>8</v>
      </c>
      <c r="K347" s="53">
        <v>58705</v>
      </c>
      <c r="L347" s="53">
        <v>58724</v>
      </c>
      <c r="M347" s="54">
        <f t="shared" si="21"/>
        <v>19</v>
      </c>
      <c r="N347" s="55">
        <f t="shared" si="22"/>
        <v>0</v>
      </c>
      <c r="O347" s="56" t="str">
        <f t="shared" si="23"/>
        <v>Conforme</v>
      </c>
      <c r="P347" s="51"/>
      <c r="R347" s="57" t="str">
        <f>IF(AND($E347=RelConducteur,$J347="Professionnel",ISNUMBER($C347),$C347&gt;=RelDebut,$C347&lt;=RelFin),COUNTIFS($E$9:$E347,RelConducteur,$J$9:$J347,"Professionnel",$C$9:$C347,"&gt;="&amp;RelDebut,$C$9:$C347,"&lt;="&amp;RelFin),"")</f>
        <v/>
      </c>
    </row>
    <row r="348" spans="2:18" ht="18" customHeight="1" x14ac:dyDescent="0.25">
      <c r="B348" s="48">
        <f>IF(C348="","",COUNT($C$9:C348))</f>
        <v>340</v>
      </c>
      <c r="C348" s="49">
        <v>46713</v>
      </c>
      <c r="D348" s="50">
        <v>0.60416666666666663</v>
      </c>
      <c r="E348" s="51" t="s">
        <v>139</v>
      </c>
      <c r="F348" s="52" t="str">
        <f t="shared" si="20"/>
        <v>Service technique</v>
      </c>
      <c r="G348" s="51" t="s">
        <v>134</v>
      </c>
      <c r="H348" s="51" t="s">
        <v>135</v>
      </c>
      <c r="I348" s="51" t="s">
        <v>136</v>
      </c>
      <c r="J348" s="51" t="s">
        <v>8</v>
      </c>
      <c r="K348" s="53">
        <v>58724</v>
      </c>
      <c r="L348" s="53">
        <v>58819</v>
      </c>
      <c r="M348" s="54">
        <f t="shared" si="21"/>
        <v>95</v>
      </c>
      <c r="N348" s="55">
        <f t="shared" si="22"/>
        <v>0</v>
      </c>
      <c r="O348" s="56" t="str">
        <f t="shared" si="23"/>
        <v>Conforme</v>
      </c>
      <c r="P348" s="51"/>
      <c r="R348" s="57" t="str">
        <f>IF(AND($E348=RelConducteur,$J348="Professionnel",ISNUMBER($C348),$C348&gt;=RelDebut,$C348&lt;=RelFin),COUNTIFS($E$9:$E348,RelConducteur,$J$9:$J348,"Professionnel",$C$9:$C348,"&gt;="&amp;RelDebut,$C$9:$C348,"&lt;="&amp;RelFin),"")</f>
        <v/>
      </c>
    </row>
    <row r="349" spans="2:18" ht="18" customHeight="1" x14ac:dyDescent="0.25">
      <c r="B349" s="48">
        <f>IF(C349="","",COUNT($C$9:C349))</f>
        <v>341</v>
      </c>
      <c r="C349" s="49">
        <v>46713</v>
      </c>
      <c r="D349" s="50">
        <v>0.75</v>
      </c>
      <c r="E349" s="51" t="s">
        <v>139</v>
      </c>
      <c r="F349" s="52" t="str">
        <f t="shared" si="20"/>
        <v>Service technique</v>
      </c>
      <c r="G349" s="51" t="s">
        <v>134</v>
      </c>
      <c r="H349" s="51" t="s">
        <v>155</v>
      </c>
      <c r="I349" s="51" t="s">
        <v>156</v>
      </c>
      <c r="J349" s="51" t="s">
        <v>9</v>
      </c>
      <c r="K349" s="53">
        <v>58819</v>
      </c>
      <c r="L349" s="53">
        <v>58843</v>
      </c>
      <c r="M349" s="54">
        <f t="shared" si="21"/>
        <v>24</v>
      </c>
      <c r="N349" s="55">
        <f t="shared" si="22"/>
        <v>0</v>
      </c>
      <c r="O349" s="56" t="str">
        <f t="shared" si="23"/>
        <v>Conforme</v>
      </c>
      <c r="P349" s="51"/>
      <c r="R349" s="57" t="str">
        <f>IF(AND($E349=RelConducteur,$J349="Professionnel",ISNUMBER($C349),$C349&gt;=RelDebut,$C349&lt;=RelFin),COUNTIFS($E$9:$E349,RelConducteur,$J$9:$J349,"Professionnel",$C$9:$C349,"&gt;="&amp;RelDebut,$C$9:$C349,"&lt;="&amp;RelFin),"")</f>
        <v/>
      </c>
    </row>
    <row r="350" spans="2:18" ht="18" customHeight="1" x14ac:dyDescent="0.25">
      <c r="B350" s="48">
        <f>IF(C350="","",COUNT($C$9:C350))</f>
        <v>342</v>
      </c>
      <c r="C350" s="49">
        <v>46714</v>
      </c>
      <c r="D350" s="50">
        <v>0.33333333333333331</v>
      </c>
      <c r="E350" s="51" t="s">
        <v>139</v>
      </c>
      <c r="F350" s="52" t="str">
        <f t="shared" si="20"/>
        <v>Service technique</v>
      </c>
      <c r="G350" s="51" t="s">
        <v>134</v>
      </c>
      <c r="H350" s="51" t="s">
        <v>144</v>
      </c>
      <c r="I350" s="51" t="s">
        <v>145</v>
      </c>
      <c r="J350" s="51" t="s">
        <v>8</v>
      </c>
      <c r="K350" s="53">
        <v>58843</v>
      </c>
      <c r="L350" s="53">
        <v>58871</v>
      </c>
      <c r="M350" s="54">
        <f t="shared" si="21"/>
        <v>28</v>
      </c>
      <c r="N350" s="55">
        <f t="shared" si="22"/>
        <v>0</v>
      </c>
      <c r="O350" s="56" t="str">
        <f t="shared" si="23"/>
        <v>Conforme</v>
      </c>
      <c r="P350" s="51"/>
      <c r="R350" s="57" t="str">
        <f>IF(AND($E350=RelConducteur,$J350="Professionnel",ISNUMBER($C350),$C350&gt;=RelDebut,$C350&lt;=RelFin),COUNTIFS($E$9:$E350,RelConducteur,$J$9:$J350,"Professionnel",$C$9:$C350,"&gt;="&amp;RelDebut,$C$9:$C350,"&lt;="&amp;RelFin),"")</f>
        <v/>
      </c>
    </row>
    <row r="351" spans="2:18" ht="18" customHeight="1" x14ac:dyDescent="0.25">
      <c r="B351" s="48">
        <f>IF(C351="","",COUNT($C$9:C351))</f>
        <v>343</v>
      </c>
      <c r="C351" s="49">
        <v>46714</v>
      </c>
      <c r="D351" s="50">
        <v>0.75</v>
      </c>
      <c r="E351" s="51" t="s">
        <v>139</v>
      </c>
      <c r="F351" s="52" t="str">
        <f t="shared" si="20"/>
        <v>Service technique</v>
      </c>
      <c r="G351" s="51" t="s">
        <v>134</v>
      </c>
      <c r="H351" s="51" t="s">
        <v>155</v>
      </c>
      <c r="I351" s="51" t="s">
        <v>156</v>
      </c>
      <c r="J351" s="51" t="s">
        <v>9</v>
      </c>
      <c r="K351" s="53">
        <v>58871</v>
      </c>
      <c r="L351" s="53">
        <v>58895</v>
      </c>
      <c r="M351" s="54">
        <f t="shared" si="21"/>
        <v>24</v>
      </c>
      <c r="N351" s="55">
        <f t="shared" si="22"/>
        <v>0</v>
      </c>
      <c r="O351" s="56" t="str">
        <f t="shared" si="23"/>
        <v>Conforme</v>
      </c>
      <c r="P351" s="51"/>
      <c r="R351" s="57" t="str">
        <f>IF(AND($E351=RelConducteur,$J351="Professionnel",ISNUMBER($C351),$C351&gt;=RelDebut,$C351&lt;=RelFin),COUNTIFS($E$9:$E351,RelConducteur,$J$9:$J351,"Professionnel",$C$9:$C351,"&gt;="&amp;RelDebut,$C$9:$C351,"&lt;="&amp;RelFin),"")</f>
        <v/>
      </c>
    </row>
    <row r="352" spans="2:18" ht="18" customHeight="1" x14ac:dyDescent="0.25">
      <c r="B352" s="48">
        <f>IF(C352="","",COUNT($C$9:C352))</f>
        <v>344</v>
      </c>
      <c r="C352" s="49">
        <v>46715</v>
      </c>
      <c r="D352" s="50">
        <v>0.60416666666666663</v>
      </c>
      <c r="E352" s="51" t="s">
        <v>139</v>
      </c>
      <c r="F352" s="52" t="str">
        <f t="shared" si="20"/>
        <v>Service technique</v>
      </c>
      <c r="G352" s="51" t="s">
        <v>134</v>
      </c>
      <c r="H352" s="51" t="s">
        <v>151</v>
      </c>
      <c r="I352" s="51" t="s">
        <v>152</v>
      </c>
      <c r="J352" s="51" t="s">
        <v>8</v>
      </c>
      <c r="K352" s="53">
        <v>58895</v>
      </c>
      <c r="L352" s="53">
        <v>58945</v>
      </c>
      <c r="M352" s="54">
        <f t="shared" si="21"/>
        <v>50</v>
      </c>
      <c r="N352" s="55">
        <f t="shared" si="22"/>
        <v>0</v>
      </c>
      <c r="O352" s="56" t="str">
        <f t="shared" si="23"/>
        <v>Conforme</v>
      </c>
      <c r="P352" s="51"/>
      <c r="R352" s="57" t="str">
        <f>IF(AND($E352=RelConducteur,$J352="Professionnel",ISNUMBER($C352),$C352&gt;=RelDebut,$C352&lt;=RelFin),COUNTIFS($E$9:$E352,RelConducteur,$J$9:$J352,"Professionnel",$C$9:$C352,"&gt;="&amp;RelDebut,$C$9:$C352,"&lt;="&amp;RelFin),"")</f>
        <v/>
      </c>
    </row>
    <row r="353" spans="2:18" ht="18" customHeight="1" x14ac:dyDescent="0.25">
      <c r="B353" s="48">
        <f>IF(C353="","",COUNT($C$9:C353))</f>
        <v>345</v>
      </c>
      <c r="C353" s="49">
        <v>46715</v>
      </c>
      <c r="D353" s="50">
        <v>0.75</v>
      </c>
      <c r="E353" s="51" t="s">
        <v>139</v>
      </c>
      <c r="F353" s="52" t="str">
        <f t="shared" si="20"/>
        <v>Service technique</v>
      </c>
      <c r="G353" s="51" t="s">
        <v>134</v>
      </c>
      <c r="H353" s="51" t="s">
        <v>155</v>
      </c>
      <c r="I353" s="51" t="s">
        <v>156</v>
      </c>
      <c r="J353" s="51" t="s">
        <v>9</v>
      </c>
      <c r="K353" s="53">
        <v>58945</v>
      </c>
      <c r="L353" s="53">
        <v>58969</v>
      </c>
      <c r="M353" s="54">
        <f t="shared" si="21"/>
        <v>24</v>
      </c>
      <c r="N353" s="55">
        <f t="shared" si="22"/>
        <v>0</v>
      </c>
      <c r="O353" s="56" t="str">
        <f t="shared" si="23"/>
        <v>Conforme</v>
      </c>
      <c r="P353" s="51"/>
      <c r="R353" s="57" t="str">
        <f>IF(AND($E353=RelConducteur,$J353="Professionnel",ISNUMBER($C353),$C353&gt;=RelDebut,$C353&lt;=RelFin),COUNTIFS($E$9:$E353,RelConducteur,$J$9:$J353,"Professionnel",$C$9:$C353,"&gt;="&amp;RelDebut,$C$9:$C353,"&lt;="&amp;RelFin),"")</f>
        <v/>
      </c>
    </row>
    <row r="354" spans="2:18" ht="18" customHeight="1" x14ac:dyDescent="0.25">
      <c r="B354" s="48">
        <f>IF(C354="","",COUNT($C$9:C354))</f>
        <v>346</v>
      </c>
      <c r="C354" s="49">
        <v>46716</v>
      </c>
      <c r="D354" s="50">
        <v>0.35416666666666669</v>
      </c>
      <c r="E354" s="51" t="s">
        <v>139</v>
      </c>
      <c r="F354" s="52" t="str">
        <f t="shared" si="20"/>
        <v>Service technique</v>
      </c>
      <c r="G354" s="51" t="s">
        <v>134</v>
      </c>
      <c r="H354" s="51" t="s">
        <v>144</v>
      </c>
      <c r="I354" s="51" t="s">
        <v>145</v>
      </c>
      <c r="J354" s="51" t="s">
        <v>8</v>
      </c>
      <c r="K354" s="53">
        <v>58969</v>
      </c>
      <c r="L354" s="53">
        <v>58999</v>
      </c>
      <c r="M354" s="54">
        <f t="shared" si="21"/>
        <v>30</v>
      </c>
      <c r="N354" s="55">
        <f t="shared" si="22"/>
        <v>0</v>
      </c>
      <c r="O354" s="56" t="str">
        <f t="shared" si="23"/>
        <v>Conforme</v>
      </c>
      <c r="P354" s="51"/>
      <c r="R354" s="57" t="str">
        <f>IF(AND($E354=RelConducteur,$J354="Professionnel",ISNUMBER($C354),$C354&gt;=RelDebut,$C354&lt;=RelFin),COUNTIFS($E$9:$E354,RelConducteur,$J$9:$J354,"Professionnel",$C$9:$C354,"&gt;="&amp;RelDebut,$C$9:$C354,"&lt;="&amp;RelFin),"")</f>
        <v/>
      </c>
    </row>
    <row r="355" spans="2:18" ht="18" customHeight="1" x14ac:dyDescent="0.25">
      <c r="B355" s="48">
        <f>IF(C355="","",COUNT($C$9:C355))</f>
        <v>347</v>
      </c>
      <c r="C355" s="49">
        <v>46716</v>
      </c>
      <c r="D355" s="50">
        <v>0.75</v>
      </c>
      <c r="E355" s="51" t="s">
        <v>139</v>
      </c>
      <c r="F355" s="52" t="str">
        <f t="shared" si="20"/>
        <v>Service technique</v>
      </c>
      <c r="G355" s="51" t="s">
        <v>134</v>
      </c>
      <c r="H355" s="51" t="s">
        <v>155</v>
      </c>
      <c r="I355" s="51" t="s">
        <v>156</v>
      </c>
      <c r="J355" s="51" t="s">
        <v>9</v>
      </c>
      <c r="K355" s="53">
        <v>58999</v>
      </c>
      <c r="L355" s="53">
        <v>59023</v>
      </c>
      <c r="M355" s="54">
        <f t="shared" si="21"/>
        <v>24</v>
      </c>
      <c r="N355" s="55">
        <f t="shared" si="22"/>
        <v>0</v>
      </c>
      <c r="O355" s="56" t="str">
        <f t="shared" si="23"/>
        <v>Conforme</v>
      </c>
      <c r="P355" s="51"/>
      <c r="R355" s="57" t="str">
        <f>IF(AND($E355=RelConducteur,$J355="Professionnel",ISNUMBER($C355),$C355&gt;=RelDebut,$C355&lt;=RelFin),COUNTIFS($E$9:$E355,RelConducteur,$J$9:$J355,"Professionnel",$C$9:$C355,"&gt;="&amp;RelDebut,$C$9:$C355,"&lt;="&amp;RelFin),"")</f>
        <v/>
      </c>
    </row>
    <row r="356" spans="2:18" ht="18" customHeight="1" x14ac:dyDescent="0.25">
      <c r="B356" s="48">
        <f>IF(C356="","",COUNT($C$9:C356))</f>
        <v>348</v>
      </c>
      <c r="C356" s="49">
        <v>46717</v>
      </c>
      <c r="D356" s="50">
        <v>0.33333333333333331</v>
      </c>
      <c r="E356" s="51" t="s">
        <v>133</v>
      </c>
      <c r="F356" s="52" t="str">
        <f t="shared" si="20"/>
        <v>Service technique</v>
      </c>
      <c r="G356" s="51" t="s">
        <v>134</v>
      </c>
      <c r="H356" s="51" t="s">
        <v>144</v>
      </c>
      <c r="I356" s="51" t="s">
        <v>145</v>
      </c>
      <c r="J356" s="51" t="s">
        <v>8</v>
      </c>
      <c r="K356" s="53">
        <v>59023</v>
      </c>
      <c r="L356" s="53">
        <v>59052</v>
      </c>
      <c r="M356" s="54">
        <f t="shared" si="21"/>
        <v>29</v>
      </c>
      <c r="N356" s="55">
        <f t="shared" si="22"/>
        <v>0</v>
      </c>
      <c r="O356" s="56" t="str">
        <f t="shared" si="23"/>
        <v>Conforme</v>
      </c>
      <c r="P356" s="51"/>
      <c r="R356" s="57" t="str">
        <f>IF(AND($E356=RelConducteur,$J356="Professionnel",ISNUMBER($C356),$C356&gt;=RelDebut,$C356&lt;=RelFin),COUNTIFS($E$9:$E356,RelConducteur,$J$9:$J356,"Professionnel",$C$9:$C356,"&gt;="&amp;RelDebut,$C$9:$C356,"&lt;="&amp;RelFin),"")</f>
        <v/>
      </c>
    </row>
    <row r="357" spans="2:18" ht="18" customHeight="1" x14ac:dyDescent="0.25">
      <c r="B357" s="48">
        <f>IF(C357="","",COUNT($C$9:C357))</f>
        <v>349</v>
      </c>
      <c r="C357" s="49">
        <v>46721</v>
      </c>
      <c r="D357" s="50">
        <v>0.3125</v>
      </c>
      <c r="E357" s="51" t="s">
        <v>133</v>
      </c>
      <c r="F357" s="52" t="str">
        <f t="shared" si="20"/>
        <v>Service technique</v>
      </c>
      <c r="G357" s="51" t="s">
        <v>134</v>
      </c>
      <c r="H357" s="51" t="s">
        <v>165</v>
      </c>
      <c r="I357" s="51" t="s">
        <v>166</v>
      </c>
      <c r="J357" s="51" t="s">
        <v>8</v>
      </c>
      <c r="K357" s="53">
        <v>59052</v>
      </c>
      <c r="L357" s="53">
        <v>59121</v>
      </c>
      <c r="M357" s="54">
        <f t="shared" si="21"/>
        <v>69</v>
      </c>
      <c r="N357" s="55">
        <f t="shared" si="22"/>
        <v>0</v>
      </c>
      <c r="O357" s="56" t="str">
        <f t="shared" si="23"/>
        <v>Conforme</v>
      </c>
      <c r="P357" s="51"/>
      <c r="R357" s="57" t="str">
        <f>IF(AND($E357=RelConducteur,$J357="Professionnel",ISNUMBER($C357),$C357&gt;=RelDebut,$C357&lt;=RelFin),COUNTIFS($E$9:$E357,RelConducteur,$J$9:$J357,"Professionnel",$C$9:$C357,"&gt;="&amp;RelDebut,$C$9:$C357,"&lt;="&amp;RelFin),"")</f>
        <v/>
      </c>
    </row>
    <row r="358" spans="2:18" ht="18" customHeight="1" x14ac:dyDescent="0.25">
      <c r="B358" s="48">
        <f>IF(C358="","",COUNT($C$9:C358))</f>
        <v>350</v>
      </c>
      <c r="C358" s="49">
        <v>46721</v>
      </c>
      <c r="D358" s="50">
        <v>0.58333333333333337</v>
      </c>
      <c r="E358" s="51" t="s">
        <v>139</v>
      </c>
      <c r="F358" s="52" t="str">
        <f t="shared" si="20"/>
        <v>Service technique</v>
      </c>
      <c r="G358" s="51" t="s">
        <v>134</v>
      </c>
      <c r="H358" s="51" t="s">
        <v>163</v>
      </c>
      <c r="I358" s="51" t="s">
        <v>164</v>
      </c>
      <c r="J358" s="51" t="s">
        <v>8</v>
      </c>
      <c r="K358" s="53">
        <v>59121</v>
      </c>
      <c r="L358" s="53">
        <v>59148</v>
      </c>
      <c r="M358" s="54">
        <f t="shared" si="21"/>
        <v>27</v>
      </c>
      <c r="N358" s="55">
        <f t="shared" si="22"/>
        <v>0</v>
      </c>
      <c r="O358" s="56" t="str">
        <f t="shared" si="23"/>
        <v>Conforme</v>
      </c>
      <c r="P358" s="51"/>
      <c r="R358" s="57" t="str">
        <f>IF(AND($E358=RelConducteur,$J358="Professionnel",ISNUMBER($C358),$C358&gt;=RelDebut,$C358&lt;=RelFin),COUNTIFS($E$9:$E358,RelConducteur,$J$9:$J358,"Professionnel",$C$9:$C358,"&gt;="&amp;RelDebut,$C$9:$C358,"&lt;="&amp;RelFin),"")</f>
        <v/>
      </c>
    </row>
    <row r="359" spans="2:18" ht="18" customHeight="1" x14ac:dyDescent="0.25">
      <c r="B359" s="48">
        <f>IF(C359="","",COUNT($C$9:C359))</f>
        <v>351</v>
      </c>
      <c r="C359" s="49">
        <v>46722</v>
      </c>
      <c r="D359" s="50">
        <v>0.33333333333333331</v>
      </c>
      <c r="E359" s="51" t="s">
        <v>139</v>
      </c>
      <c r="F359" s="52" t="str">
        <f t="shared" si="20"/>
        <v>Service technique</v>
      </c>
      <c r="G359" s="51" t="s">
        <v>134</v>
      </c>
      <c r="H359" s="51" t="s">
        <v>151</v>
      </c>
      <c r="I359" s="51" t="s">
        <v>152</v>
      </c>
      <c r="J359" s="51" t="s">
        <v>8</v>
      </c>
      <c r="K359" s="53">
        <v>59148</v>
      </c>
      <c r="L359" s="53">
        <v>59198</v>
      </c>
      <c r="M359" s="54">
        <f t="shared" si="21"/>
        <v>50</v>
      </c>
      <c r="N359" s="55">
        <f t="shared" si="22"/>
        <v>0</v>
      </c>
      <c r="O359" s="56" t="str">
        <f t="shared" si="23"/>
        <v>Conforme</v>
      </c>
      <c r="P359" s="51"/>
      <c r="R359" s="57" t="str">
        <f>IF(AND($E359=RelConducteur,$J359="Professionnel",ISNUMBER($C359),$C359&gt;=RelDebut,$C359&lt;=RelFin),COUNTIFS($E$9:$E359,RelConducteur,$J$9:$J359,"Professionnel",$C$9:$C359,"&gt;="&amp;RelDebut,$C$9:$C359,"&lt;="&amp;RelFin),"")</f>
        <v/>
      </c>
    </row>
    <row r="360" spans="2:18" ht="18" customHeight="1" x14ac:dyDescent="0.25">
      <c r="B360" s="48">
        <f>IF(C360="","",COUNT($C$9:C360))</f>
        <v>352</v>
      </c>
      <c r="C360" s="49">
        <v>46722</v>
      </c>
      <c r="D360" s="50">
        <v>0.58333333333333337</v>
      </c>
      <c r="E360" s="51" t="s">
        <v>133</v>
      </c>
      <c r="F360" s="52" t="str">
        <f t="shared" si="20"/>
        <v>Service technique</v>
      </c>
      <c r="G360" s="51" t="s">
        <v>134</v>
      </c>
      <c r="H360" s="51" t="s">
        <v>135</v>
      </c>
      <c r="I360" s="51" t="s">
        <v>136</v>
      </c>
      <c r="J360" s="51" t="s">
        <v>8</v>
      </c>
      <c r="K360" s="53">
        <v>59198</v>
      </c>
      <c r="L360" s="53">
        <v>59289</v>
      </c>
      <c r="M360" s="54">
        <f t="shared" si="21"/>
        <v>91</v>
      </c>
      <c r="N360" s="55">
        <f t="shared" si="22"/>
        <v>0</v>
      </c>
      <c r="O360" s="56" t="str">
        <f t="shared" si="23"/>
        <v>Conforme</v>
      </c>
      <c r="P360" s="51"/>
      <c r="R360" s="57" t="str">
        <f>IF(AND($E360=RelConducteur,$J360="Professionnel",ISNUMBER($C360),$C360&gt;=RelDebut,$C360&lt;=RelFin),COUNTIFS($E$9:$E360,RelConducteur,$J$9:$J360,"Professionnel",$C$9:$C360,"&gt;="&amp;RelDebut,$C$9:$C360,"&lt;="&amp;RelFin),"")</f>
        <v/>
      </c>
    </row>
    <row r="361" spans="2:18" ht="18" customHeight="1" x14ac:dyDescent="0.25">
      <c r="B361" s="48">
        <f>IF(C361="","",COUNT($C$9:C361))</f>
        <v>353</v>
      </c>
      <c r="C361" s="49">
        <v>46724</v>
      </c>
      <c r="D361" s="50">
        <v>0.33333333333333331</v>
      </c>
      <c r="E361" s="51" t="s">
        <v>139</v>
      </c>
      <c r="F361" s="52" t="str">
        <f t="shared" si="20"/>
        <v>Service technique</v>
      </c>
      <c r="G361" s="51" t="s">
        <v>134</v>
      </c>
      <c r="H361" s="51" t="s">
        <v>151</v>
      </c>
      <c r="I361" s="51" t="s">
        <v>152</v>
      </c>
      <c r="J361" s="51" t="s">
        <v>8</v>
      </c>
      <c r="K361" s="53">
        <v>59289</v>
      </c>
      <c r="L361" s="53">
        <v>59344</v>
      </c>
      <c r="M361" s="54">
        <f t="shared" si="21"/>
        <v>55</v>
      </c>
      <c r="N361" s="55">
        <f t="shared" si="22"/>
        <v>0</v>
      </c>
      <c r="O361" s="56" t="str">
        <f t="shared" si="23"/>
        <v>Conforme</v>
      </c>
      <c r="P361" s="51"/>
      <c r="R361" s="57" t="str">
        <f>IF(AND($E361=RelConducteur,$J361="Professionnel",ISNUMBER($C361),$C361&gt;=RelDebut,$C361&lt;=RelFin),COUNTIFS($E$9:$E361,RelConducteur,$J$9:$J361,"Professionnel",$C$9:$C361,"&gt;="&amp;RelDebut,$C$9:$C361,"&lt;="&amp;RelFin),"")</f>
        <v/>
      </c>
    </row>
    <row r="362" spans="2:18" ht="18" customHeight="1" x14ac:dyDescent="0.25">
      <c r="B362" s="48">
        <f>IF(C362="","",COUNT($C$9:C362))</f>
        <v>354</v>
      </c>
      <c r="C362" s="49">
        <v>46727</v>
      </c>
      <c r="D362" s="50">
        <v>0.35416666666666669</v>
      </c>
      <c r="E362" s="51" t="s">
        <v>133</v>
      </c>
      <c r="F362" s="52" t="str">
        <f t="shared" si="20"/>
        <v>Service technique</v>
      </c>
      <c r="G362" s="51" t="s">
        <v>134</v>
      </c>
      <c r="H362" s="51" t="s">
        <v>142</v>
      </c>
      <c r="I362" s="51" t="s">
        <v>143</v>
      </c>
      <c r="J362" s="51" t="s">
        <v>8</v>
      </c>
      <c r="K362" s="53">
        <v>59344</v>
      </c>
      <c r="L362" s="53">
        <v>59362</v>
      </c>
      <c r="M362" s="54">
        <f t="shared" si="21"/>
        <v>18</v>
      </c>
      <c r="N362" s="55">
        <f t="shared" si="22"/>
        <v>0</v>
      </c>
      <c r="O362" s="56" t="str">
        <f t="shared" si="23"/>
        <v>Conforme</v>
      </c>
      <c r="P362" s="51"/>
      <c r="R362" s="57" t="str">
        <f>IF(AND($E362=RelConducteur,$J362="Professionnel",ISNUMBER($C362),$C362&gt;=RelDebut,$C362&lt;=RelFin),COUNTIFS($E$9:$E362,RelConducteur,$J$9:$J362,"Professionnel",$C$9:$C362,"&gt;="&amp;RelDebut,$C$9:$C362,"&lt;="&amp;RelFin),"")</f>
        <v/>
      </c>
    </row>
    <row r="363" spans="2:18" ht="18" customHeight="1" x14ac:dyDescent="0.25">
      <c r="B363" s="48">
        <f>IF(C363="","",COUNT($C$9:C363))</f>
        <v>355</v>
      </c>
      <c r="C363" s="49">
        <v>46727</v>
      </c>
      <c r="D363" s="50">
        <v>0.58333333333333337</v>
      </c>
      <c r="E363" s="51" t="s">
        <v>139</v>
      </c>
      <c r="F363" s="52" t="str">
        <f t="shared" si="20"/>
        <v>Service technique</v>
      </c>
      <c r="G363" s="51" t="s">
        <v>134</v>
      </c>
      <c r="H363" s="51" t="s">
        <v>165</v>
      </c>
      <c r="I363" s="51" t="s">
        <v>166</v>
      </c>
      <c r="J363" s="51" t="s">
        <v>8</v>
      </c>
      <c r="K363" s="53">
        <v>59362</v>
      </c>
      <c r="L363" s="53">
        <v>59432</v>
      </c>
      <c r="M363" s="54">
        <f t="shared" si="21"/>
        <v>70</v>
      </c>
      <c r="N363" s="55">
        <f t="shared" si="22"/>
        <v>0</v>
      </c>
      <c r="O363" s="56" t="str">
        <f t="shared" si="23"/>
        <v>Conforme</v>
      </c>
      <c r="P363" s="51"/>
      <c r="R363" s="57" t="str">
        <f>IF(AND($E363=RelConducteur,$J363="Professionnel",ISNUMBER($C363),$C363&gt;=RelDebut,$C363&lt;=RelFin),COUNTIFS($E$9:$E363,RelConducteur,$J$9:$J363,"Professionnel",$C$9:$C363,"&gt;="&amp;RelDebut,$C$9:$C363,"&lt;="&amp;RelFin),"")</f>
        <v/>
      </c>
    </row>
    <row r="364" spans="2:18" ht="18" customHeight="1" x14ac:dyDescent="0.25">
      <c r="B364" s="48">
        <f>IF(C364="","",COUNT($C$9:C364))</f>
        <v>356</v>
      </c>
      <c r="C364" s="49">
        <v>46727</v>
      </c>
      <c r="D364" s="50">
        <v>0.66666666666666663</v>
      </c>
      <c r="E364" s="51" t="s">
        <v>169</v>
      </c>
      <c r="F364" s="52" t="str">
        <f t="shared" si="20"/>
        <v>Direction</v>
      </c>
      <c r="G364" s="51" t="s">
        <v>134</v>
      </c>
      <c r="H364" s="51" t="s">
        <v>140</v>
      </c>
      <c r="I364" s="51" t="s">
        <v>170</v>
      </c>
      <c r="J364" s="51" t="s">
        <v>8</v>
      </c>
      <c r="K364" s="53">
        <v>59432</v>
      </c>
      <c r="L364" s="53">
        <v>59453</v>
      </c>
      <c r="M364" s="54">
        <f t="shared" si="21"/>
        <v>21</v>
      </c>
      <c r="N364" s="55">
        <f t="shared" si="22"/>
        <v>0</v>
      </c>
      <c r="O364" s="56" t="str">
        <f t="shared" si="23"/>
        <v>Conforme</v>
      </c>
      <c r="P364" s="51"/>
      <c r="R364" s="57" t="str">
        <f>IF(AND($E364=RelConducteur,$J364="Professionnel",ISNUMBER($C364),$C364&gt;=RelDebut,$C364&lt;=RelFin),COUNTIFS($E$9:$E364,RelConducteur,$J$9:$J364,"Professionnel",$C$9:$C364,"&gt;="&amp;RelDebut,$C$9:$C364,"&lt;="&amp;RelFin),"")</f>
        <v/>
      </c>
    </row>
    <row r="365" spans="2:18" ht="18" customHeight="1" x14ac:dyDescent="0.25">
      <c r="B365" s="48">
        <f>IF(C365="","",COUNT($C$9:C365))</f>
        <v>357</v>
      </c>
      <c r="C365" s="49">
        <v>46729</v>
      </c>
      <c r="D365" s="50">
        <v>0.3125</v>
      </c>
      <c r="E365" s="51" t="s">
        <v>133</v>
      </c>
      <c r="F365" s="52" t="str">
        <f t="shared" si="20"/>
        <v>Service technique</v>
      </c>
      <c r="G365" s="51" t="s">
        <v>134</v>
      </c>
      <c r="H365" s="51" t="s">
        <v>140</v>
      </c>
      <c r="I365" s="51" t="s">
        <v>141</v>
      </c>
      <c r="J365" s="51" t="s">
        <v>8</v>
      </c>
      <c r="K365" s="53">
        <v>59453</v>
      </c>
      <c r="L365" s="53">
        <v>59478</v>
      </c>
      <c r="M365" s="54">
        <f t="shared" si="21"/>
        <v>25</v>
      </c>
      <c r="N365" s="55">
        <f t="shared" si="22"/>
        <v>0</v>
      </c>
      <c r="O365" s="56" t="str">
        <f t="shared" si="23"/>
        <v>Conforme</v>
      </c>
      <c r="P365" s="51"/>
      <c r="R365" s="57" t="str">
        <f>IF(AND($E365=RelConducteur,$J365="Professionnel",ISNUMBER($C365),$C365&gt;=RelDebut,$C365&lt;=RelFin),COUNTIFS($E$9:$E365,RelConducteur,$J$9:$J365,"Professionnel",$C$9:$C365,"&gt;="&amp;RelDebut,$C$9:$C365,"&lt;="&amp;RelFin),"")</f>
        <v/>
      </c>
    </row>
    <row r="366" spans="2:18" ht="18" customHeight="1" x14ac:dyDescent="0.25">
      <c r="B366" s="48">
        <f>IF(C366="","",COUNT($C$9:C366))</f>
        <v>358</v>
      </c>
      <c r="C366" s="49">
        <v>46729</v>
      </c>
      <c r="D366" s="50">
        <v>0.4375</v>
      </c>
      <c r="E366" s="51" t="s">
        <v>148</v>
      </c>
      <c r="F366" s="52" t="str">
        <f t="shared" si="20"/>
        <v>Service commercial</v>
      </c>
      <c r="G366" s="51" t="s">
        <v>134</v>
      </c>
      <c r="H366" s="51" t="s">
        <v>159</v>
      </c>
      <c r="I366" s="51" t="s">
        <v>160</v>
      </c>
      <c r="J366" s="51" t="s">
        <v>8</v>
      </c>
      <c r="K366" s="53">
        <v>59478</v>
      </c>
      <c r="L366" s="53">
        <v>59610</v>
      </c>
      <c r="M366" s="54">
        <f t="shared" si="21"/>
        <v>132</v>
      </c>
      <c r="N366" s="55">
        <f t="shared" si="22"/>
        <v>0</v>
      </c>
      <c r="O366" s="56" t="str">
        <f t="shared" si="23"/>
        <v>Conforme</v>
      </c>
      <c r="P366" s="51"/>
      <c r="R366" s="57" t="str">
        <f>IF(AND($E366=RelConducteur,$J366="Professionnel",ISNUMBER($C366),$C366&gt;=RelDebut,$C366&lt;=RelFin),COUNTIFS($E$9:$E366,RelConducteur,$J$9:$J366,"Professionnel",$C$9:$C366,"&gt;="&amp;RelDebut,$C$9:$C366,"&lt;="&amp;RelFin),"")</f>
        <v/>
      </c>
    </row>
    <row r="367" spans="2:18" ht="18" customHeight="1" x14ac:dyDescent="0.25">
      <c r="B367" s="48">
        <f>IF(C367="","",COUNT($C$9:C367))</f>
        <v>359</v>
      </c>
      <c r="C367" s="49">
        <v>46730</v>
      </c>
      <c r="D367" s="50">
        <v>0.3125</v>
      </c>
      <c r="E367" s="51" t="s">
        <v>139</v>
      </c>
      <c r="F367" s="52" t="str">
        <f t="shared" si="20"/>
        <v>Service technique</v>
      </c>
      <c r="G367" s="51" t="s">
        <v>134</v>
      </c>
      <c r="H367" s="51" t="s">
        <v>144</v>
      </c>
      <c r="I367" s="51" t="s">
        <v>145</v>
      </c>
      <c r="J367" s="51" t="s">
        <v>8</v>
      </c>
      <c r="K367" s="53">
        <v>59610</v>
      </c>
      <c r="L367" s="53">
        <v>59637</v>
      </c>
      <c r="M367" s="54">
        <f t="shared" si="21"/>
        <v>27</v>
      </c>
      <c r="N367" s="55">
        <f t="shared" si="22"/>
        <v>0</v>
      </c>
      <c r="O367" s="56" t="str">
        <f t="shared" si="23"/>
        <v>Conforme</v>
      </c>
      <c r="P367" s="51"/>
      <c r="R367" s="57" t="str">
        <f>IF(AND($E367=RelConducteur,$J367="Professionnel",ISNUMBER($C367),$C367&gt;=RelDebut,$C367&lt;=RelFin),COUNTIFS($E$9:$E367,RelConducteur,$J$9:$J367,"Professionnel",$C$9:$C367,"&gt;="&amp;RelDebut,$C$9:$C367,"&lt;="&amp;RelFin),"")</f>
        <v/>
      </c>
    </row>
    <row r="368" spans="2:18" ht="18" customHeight="1" x14ac:dyDescent="0.25">
      <c r="B368" s="48">
        <f>IF(C368="","",COUNT($C$9:C368))</f>
        <v>360</v>
      </c>
      <c r="C368" s="49">
        <v>46730</v>
      </c>
      <c r="D368" s="50">
        <v>0.41666666666666669</v>
      </c>
      <c r="E368" s="51" t="s">
        <v>148</v>
      </c>
      <c r="F368" s="52" t="str">
        <f t="shared" si="20"/>
        <v>Service commercial</v>
      </c>
      <c r="G368" s="51" t="s">
        <v>134</v>
      </c>
      <c r="H368" s="51" t="s">
        <v>159</v>
      </c>
      <c r="I368" s="51" t="s">
        <v>160</v>
      </c>
      <c r="J368" s="51" t="s">
        <v>8</v>
      </c>
      <c r="K368" s="53">
        <v>59637</v>
      </c>
      <c r="L368" s="53">
        <v>59764</v>
      </c>
      <c r="M368" s="54">
        <f t="shared" si="21"/>
        <v>127</v>
      </c>
      <c r="N368" s="55">
        <f t="shared" si="22"/>
        <v>0</v>
      </c>
      <c r="O368" s="56" t="str">
        <f t="shared" si="23"/>
        <v>Conforme</v>
      </c>
      <c r="P368" s="51"/>
      <c r="R368" s="57" t="str">
        <f>IF(AND($E368=RelConducteur,$J368="Professionnel",ISNUMBER($C368),$C368&gt;=RelDebut,$C368&lt;=RelFin),COUNTIFS($E$9:$E368,RelConducteur,$J$9:$J368,"Professionnel",$C$9:$C368,"&gt;="&amp;RelDebut,$C$9:$C368,"&lt;="&amp;RelFin),"")</f>
        <v/>
      </c>
    </row>
    <row r="369" spans="2:18" ht="18" customHeight="1" x14ac:dyDescent="0.25">
      <c r="B369" s="48">
        <f>IF(C369="","",COUNT($C$9:C369))</f>
        <v>361</v>
      </c>
      <c r="C369" s="49">
        <v>46731</v>
      </c>
      <c r="D369" s="50">
        <v>0.3125</v>
      </c>
      <c r="E369" s="51" t="s">
        <v>133</v>
      </c>
      <c r="F369" s="52" t="str">
        <f t="shared" si="20"/>
        <v>Service technique</v>
      </c>
      <c r="G369" s="51" t="s">
        <v>134</v>
      </c>
      <c r="H369" s="51" t="s">
        <v>144</v>
      </c>
      <c r="I369" s="51" t="s">
        <v>145</v>
      </c>
      <c r="J369" s="51" t="s">
        <v>8</v>
      </c>
      <c r="K369" s="53">
        <v>59764</v>
      </c>
      <c r="L369" s="53">
        <v>59796</v>
      </c>
      <c r="M369" s="54">
        <f t="shared" si="21"/>
        <v>32</v>
      </c>
      <c r="N369" s="55">
        <f t="shared" si="22"/>
        <v>0</v>
      </c>
      <c r="O369" s="56" t="str">
        <f t="shared" si="23"/>
        <v>Conforme</v>
      </c>
      <c r="P369" s="51"/>
      <c r="R369" s="57" t="str">
        <f>IF(AND($E369=RelConducteur,$J369="Professionnel",ISNUMBER($C369),$C369&gt;=RelDebut,$C369&lt;=RelFin),COUNTIFS($E$9:$E369,RelConducteur,$J$9:$J369,"Professionnel",$C$9:$C369,"&gt;="&amp;RelDebut,$C$9:$C369,"&lt;="&amp;RelFin),"")</f>
        <v/>
      </c>
    </row>
    <row r="370" spans="2:18" ht="18" customHeight="1" x14ac:dyDescent="0.25">
      <c r="B370" s="48">
        <f>IF(C370="","",COUNT($C$9:C370))</f>
        <v>362</v>
      </c>
      <c r="C370" s="49">
        <v>46731</v>
      </c>
      <c r="D370" s="50">
        <v>0.58333333333333337</v>
      </c>
      <c r="E370" s="51" t="s">
        <v>139</v>
      </c>
      <c r="F370" s="52" t="str">
        <f t="shared" si="20"/>
        <v>Service technique</v>
      </c>
      <c r="G370" s="51" t="s">
        <v>134</v>
      </c>
      <c r="H370" s="51" t="s">
        <v>146</v>
      </c>
      <c r="I370" s="51" t="s">
        <v>147</v>
      </c>
      <c r="J370" s="51" t="s">
        <v>8</v>
      </c>
      <c r="K370" s="53">
        <v>59796</v>
      </c>
      <c r="L370" s="53">
        <v>59830</v>
      </c>
      <c r="M370" s="54">
        <f t="shared" si="21"/>
        <v>34</v>
      </c>
      <c r="N370" s="55">
        <f t="shared" si="22"/>
        <v>0</v>
      </c>
      <c r="O370" s="56" t="str">
        <f t="shared" si="23"/>
        <v>Conforme</v>
      </c>
      <c r="P370" s="51"/>
      <c r="R370" s="57" t="str">
        <f>IF(AND($E370=RelConducteur,$J370="Professionnel",ISNUMBER($C370),$C370&gt;=RelDebut,$C370&lt;=RelFin),COUNTIFS($E$9:$E370,RelConducteur,$J$9:$J370,"Professionnel",$C$9:$C370,"&gt;="&amp;RelDebut,$C$9:$C370,"&lt;="&amp;RelFin),"")</f>
        <v/>
      </c>
    </row>
    <row r="371" spans="2:18" ht="18" customHeight="1" x14ac:dyDescent="0.25">
      <c r="B371" s="48">
        <f>IF(C371="","",COUNT($C$9:C371))</f>
        <v>363</v>
      </c>
      <c r="C371" s="49">
        <v>46734</v>
      </c>
      <c r="D371" s="50">
        <v>0.3125</v>
      </c>
      <c r="E371" s="51" t="s">
        <v>139</v>
      </c>
      <c r="F371" s="52" t="str">
        <f t="shared" si="20"/>
        <v>Service technique</v>
      </c>
      <c r="G371" s="51" t="s">
        <v>134</v>
      </c>
      <c r="H371" s="51" t="s">
        <v>137</v>
      </c>
      <c r="I371" s="51" t="s">
        <v>138</v>
      </c>
      <c r="J371" s="51" t="s">
        <v>8</v>
      </c>
      <c r="K371" s="53">
        <v>59830</v>
      </c>
      <c r="L371" s="53">
        <v>59896</v>
      </c>
      <c r="M371" s="54">
        <f t="shared" si="21"/>
        <v>66</v>
      </c>
      <c r="N371" s="55">
        <f t="shared" si="22"/>
        <v>0</v>
      </c>
      <c r="O371" s="56" t="str">
        <f t="shared" si="23"/>
        <v>Conforme</v>
      </c>
      <c r="P371" s="51"/>
      <c r="R371" s="57" t="str">
        <f>IF(AND($E371=RelConducteur,$J371="Professionnel",ISNUMBER($C371),$C371&gt;=RelDebut,$C371&lt;=RelFin),COUNTIFS($E$9:$E371,RelConducteur,$J$9:$J371,"Professionnel",$C$9:$C371,"&gt;="&amp;RelDebut,$C$9:$C371,"&lt;="&amp;RelFin),"")</f>
        <v/>
      </c>
    </row>
    <row r="372" spans="2:18" ht="18" customHeight="1" x14ac:dyDescent="0.25">
      <c r="B372" s="48">
        <f>IF(C372="","",COUNT($C$9:C372))</f>
        <v>364</v>
      </c>
      <c r="C372" s="49">
        <v>46736</v>
      </c>
      <c r="D372" s="50">
        <v>0.35416666666666669</v>
      </c>
      <c r="E372" s="51" t="s">
        <v>139</v>
      </c>
      <c r="F372" s="52" t="str">
        <f t="shared" si="20"/>
        <v>Service technique</v>
      </c>
      <c r="G372" s="51" t="s">
        <v>134</v>
      </c>
      <c r="H372" s="51" t="s">
        <v>151</v>
      </c>
      <c r="I372" s="51" t="s">
        <v>152</v>
      </c>
      <c r="J372" s="51" t="s">
        <v>8</v>
      </c>
      <c r="K372" s="53">
        <v>59896</v>
      </c>
      <c r="L372" s="53">
        <v>59946</v>
      </c>
      <c r="M372" s="54">
        <f t="shared" si="21"/>
        <v>50</v>
      </c>
      <c r="N372" s="55">
        <f t="shared" si="22"/>
        <v>0</v>
      </c>
      <c r="O372" s="56" t="str">
        <f t="shared" si="23"/>
        <v>Conforme</v>
      </c>
      <c r="P372" s="51"/>
      <c r="R372" s="57" t="str">
        <f>IF(AND($E372=RelConducteur,$J372="Professionnel",ISNUMBER($C372),$C372&gt;=RelDebut,$C372&lt;=RelFin),COUNTIFS($E$9:$E372,RelConducteur,$J$9:$J372,"Professionnel",$C$9:$C372,"&gt;="&amp;RelDebut,$C$9:$C372,"&lt;="&amp;RelFin),"")</f>
        <v/>
      </c>
    </row>
    <row r="373" spans="2:18" ht="18" customHeight="1" x14ac:dyDescent="0.25">
      <c r="B373" s="48">
        <f>IF(C373="","",COUNT($C$9:C373))</f>
        <v>365</v>
      </c>
      <c r="C373" s="49">
        <v>46736</v>
      </c>
      <c r="D373" s="50">
        <v>0.41666666666666669</v>
      </c>
      <c r="E373" s="51" t="s">
        <v>148</v>
      </c>
      <c r="F373" s="52" t="str">
        <f t="shared" si="20"/>
        <v>Service commercial</v>
      </c>
      <c r="G373" s="51" t="s">
        <v>134</v>
      </c>
      <c r="H373" s="51" t="s">
        <v>171</v>
      </c>
      <c r="I373" s="51" t="s">
        <v>172</v>
      </c>
      <c r="J373" s="51" t="s">
        <v>8</v>
      </c>
      <c r="K373" s="53">
        <v>59946</v>
      </c>
      <c r="L373" s="53">
        <v>59959</v>
      </c>
      <c r="M373" s="54">
        <f t="shared" si="21"/>
        <v>13</v>
      </c>
      <c r="N373" s="55">
        <f t="shared" si="22"/>
        <v>0</v>
      </c>
      <c r="O373" s="56" t="str">
        <f t="shared" si="23"/>
        <v>Conforme</v>
      </c>
      <c r="P373" s="51"/>
      <c r="R373" s="57" t="str">
        <f>IF(AND($E373=RelConducteur,$J373="Professionnel",ISNUMBER($C373),$C373&gt;=RelDebut,$C373&lt;=RelFin),COUNTIFS($E$9:$E373,RelConducteur,$J$9:$J373,"Professionnel",$C$9:$C373,"&gt;="&amp;RelDebut,$C$9:$C373,"&lt;="&amp;RelFin),"")</f>
        <v/>
      </c>
    </row>
    <row r="374" spans="2:18" ht="18" customHeight="1" x14ac:dyDescent="0.25">
      <c r="B374" s="48">
        <f>IF(C374="","",COUNT($C$9:C374))</f>
        <v>366</v>
      </c>
      <c r="C374" s="49">
        <v>46737</v>
      </c>
      <c r="D374" s="50">
        <v>0.35416666666666669</v>
      </c>
      <c r="E374" s="51" t="s">
        <v>133</v>
      </c>
      <c r="F374" s="52" t="str">
        <f t="shared" si="20"/>
        <v>Service technique</v>
      </c>
      <c r="G374" s="51" t="s">
        <v>134</v>
      </c>
      <c r="H374" s="51" t="s">
        <v>144</v>
      </c>
      <c r="I374" s="51" t="s">
        <v>145</v>
      </c>
      <c r="J374" s="51" t="s">
        <v>8</v>
      </c>
      <c r="K374" s="53">
        <v>59959</v>
      </c>
      <c r="L374" s="53">
        <v>59990</v>
      </c>
      <c r="M374" s="54">
        <f t="shared" si="21"/>
        <v>31</v>
      </c>
      <c r="N374" s="55">
        <f t="shared" si="22"/>
        <v>0</v>
      </c>
      <c r="O374" s="56" t="str">
        <f t="shared" si="23"/>
        <v>Conforme</v>
      </c>
      <c r="P374" s="51"/>
      <c r="R374" s="57" t="str">
        <f>IF(AND($E374=RelConducteur,$J374="Professionnel",ISNUMBER($C374),$C374&gt;=RelDebut,$C374&lt;=RelFin),COUNTIFS($E$9:$E374,RelConducteur,$J$9:$J374,"Professionnel",$C$9:$C374,"&gt;="&amp;RelDebut,$C$9:$C374,"&lt;="&amp;RelFin),"")</f>
        <v/>
      </c>
    </row>
    <row r="375" spans="2:18" ht="18" customHeight="1" x14ac:dyDescent="0.25">
      <c r="B375" s="48">
        <f>IF(C375="","",COUNT($C$9:C375))</f>
        <v>367</v>
      </c>
      <c r="C375" s="49">
        <v>46737</v>
      </c>
      <c r="D375" s="50">
        <v>0.4375</v>
      </c>
      <c r="E375" s="51" t="s">
        <v>148</v>
      </c>
      <c r="F375" s="52" t="str">
        <f t="shared" si="20"/>
        <v>Service commercial</v>
      </c>
      <c r="G375" s="51" t="s">
        <v>134</v>
      </c>
      <c r="H375" s="51" t="s">
        <v>153</v>
      </c>
      <c r="I375" s="51" t="s">
        <v>154</v>
      </c>
      <c r="J375" s="51" t="s">
        <v>8</v>
      </c>
      <c r="K375" s="53">
        <v>59990</v>
      </c>
      <c r="L375" s="53">
        <v>60133</v>
      </c>
      <c r="M375" s="54">
        <f t="shared" si="21"/>
        <v>143</v>
      </c>
      <c r="N375" s="55">
        <f t="shared" si="22"/>
        <v>0</v>
      </c>
      <c r="O375" s="56" t="str">
        <f t="shared" si="23"/>
        <v>Conforme</v>
      </c>
      <c r="P375" s="51"/>
      <c r="R375" s="57" t="str">
        <f>IF(AND($E375=RelConducteur,$J375="Professionnel",ISNUMBER($C375),$C375&gt;=RelDebut,$C375&lt;=RelFin),COUNTIFS($E$9:$E375,RelConducteur,$J$9:$J375,"Professionnel",$C$9:$C375,"&gt;="&amp;RelDebut,$C$9:$C375,"&lt;="&amp;RelFin),"")</f>
        <v/>
      </c>
    </row>
    <row r="376" spans="2:18" ht="18" customHeight="1" x14ac:dyDescent="0.25">
      <c r="B376" s="48">
        <f>IF(C376="","",COUNT($C$9:C376))</f>
        <v>368</v>
      </c>
      <c r="C376" s="49">
        <v>46738</v>
      </c>
      <c r="D376" s="50">
        <v>0.33333333333333331</v>
      </c>
      <c r="E376" s="51" t="s">
        <v>139</v>
      </c>
      <c r="F376" s="52" t="str">
        <f t="shared" si="20"/>
        <v>Service technique</v>
      </c>
      <c r="G376" s="51" t="s">
        <v>134</v>
      </c>
      <c r="H376" s="51" t="s">
        <v>137</v>
      </c>
      <c r="I376" s="51" t="s">
        <v>138</v>
      </c>
      <c r="J376" s="51" t="s">
        <v>8</v>
      </c>
      <c r="K376" s="53">
        <v>60133</v>
      </c>
      <c r="L376" s="53">
        <v>60196</v>
      </c>
      <c r="M376" s="54">
        <f t="shared" si="21"/>
        <v>63</v>
      </c>
      <c r="N376" s="55">
        <f t="shared" si="22"/>
        <v>0</v>
      </c>
      <c r="O376" s="56" t="str">
        <f t="shared" si="23"/>
        <v>Conforme</v>
      </c>
      <c r="P376" s="51"/>
      <c r="R376" s="57" t="str">
        <f>IF(AND($E376=RelConducteur,$J376="Professionnel",ISNUMBER($C376),$C376&gt;=RelDebut,$C376&lt;=RelFin),COUNTIFS($E$9:$E376,RelConducteur,$J$9:$J376,"Professionnel",$C$9:$C376,"&gt;="&amp;RelDebut,$C$9:$C376,"&lt;="&amp;RelFin),"")</f>
        <v/>
      </c>
    </row>
    <row r="377" spans="2:18" ht="18" customHeight="1" x14ac:dyDescent="0.25">
      <c r="B377" s="48">
        <f>IF(C377="","",COUNT($C$9:C377))</f>
        <v>369</v>
      </c>
      <c r="C377" s="49">
        <v>46738</v>
      </c>
      <c r="D377" s="50">
        <v>0.60416666666666663</v>
      </c>
      <c r="E377" s="51" t="s">
        <v>133</v>
      </c>
      <c r="F377" s="52" t="str">
        <f t="shared" si="20"/>
        <v>Service technique</v>
      </c>
      <c r="G377" s="51" t="s">
        <v>134</v>
      </c>
      <c r="H377" s="51" t="s">
        <v>142</v>
      </c>
      <c r="I377" s="51" t="s">
        <v>143</v>
      </c>
      <c r="J377" s="51" t="s">
        <v>8</v>
      </c>
      <c r="K377" s="53">
        <v>60196</v>
      </c>
      <c r="L377" s="53">
        <v>60216</v>
      </c>
      <c r="M377" s="54">
        <f t="shared" si="21"/>
        <v>20</v>
      </c>
      <c r="N377" s="55">
        <f t="shared" si="22"/>
        <v>0</v>
      </c>
      <c r="O377" s="56" t="str">
        <f t="shared" si="23"/>
        <v>Conforme</v>
      </c>
      <c r="P377" s="51"/>
      <c r="R377" s="57" t="str">
        <f>IF(AND($E377=RelConducteur,$J377="Professionnel",ISNUMBER($C377),$C377&gt;=RelDebut,$C377&lt;=RelFin),COUNTIFS($E$9:$E377,RelConducteur,$J$9:$J377,"Professionnel",$C$9:$C377,"&gt;="&amp;RelDebut,$C$9:$C377,"&lt;="&amp;RelFin),"")</f>
        <v/>
      </c>
    </row>
    <row r="378" spans="2:18" ht="18" customHeight="1" x14ac:dyDescent="0.25">
      <c r="B378" s="48">
        <f>IF(C378="","",COUNT($C$9:C378))</f>
        <v>370</v>
      </c>
      <c r="C378" s="49">
        <v>46741</v>
      </c>
      <c r="D378" s="50">
        <v>0.3125</v>
      </c>
      <c r="E378" s="51" t="s">
        <v>133</v>
      </c>
      <c r="F378" s="52" t="str">
        <f t="shared" si="20"/>
        <v>Service technique</v>
      </c>
      <c r="G378" s="51" t="s">
        <v>134</v>
      </c>
      <c r="H378" s="51" t="s">
        <v>140</v>
      </c>
      <c r="I378" s="51" t="s">
        <v>141</v>
      </c>
      <c r="J378" s="51" t="s">
        <v>8</v>
      </c>
      <c r="K378" s="53">
        <v>60216</v>
      </c>
      <c r="L378" s="53">
        <v>60238</v>
      </c>
      <c r="M378" s="54">
        <f t="shared" si="21"/>
        <v>22</v>
      </c>
      <c r="N378" s="55">
        <f t="shared" si="22"/>
        <v>0</v>
      </c>
      <c r="O378" s="56" t="str">
        <f t="shared" si="23"/>
        <v>Conforme</v>
      </c>
      <c r="P378" s="51"/>
      <c r="R378" s="57" t="str">
        <f>IF(AND($E378=RelConducteur,$J378="Professionnel",ISNUMBER($C378),$C378&gt;=RelDebut,$C378&lt;=RelFin),COUNTIFS($E$9:$E378,RelConducteur,$J$9:$J378,"Professionnel",$C$9:$C378,"&gt;="&amp;RelDebut,$C$9:$C378,"&lt;="&amp;RelFin),"")</f>
        <v/>
      </c>
    </row>
    <row r="379" spans="2:18" ht="18" customHeight="1" x14ac:dyDescent="0.25">
      <c r="B379" s="48">
        <f>IF(C379="","",COUNT($C$9:C379))</f>
        <v>371</v>
      </c>
      <c r="C379" s="49">
        <v>46741</v>
      </c>
      <c r="D379" s="50">
        <v>0.75</v>
      </c>
      <c r="E379" s="51" t="s">
        <v>139</v>
      </c>
      <c r="F379" s="52" t="str">
        <f t="shared" si="20"/>
        <v>Service technique</v>
      </c>
      <c r="G379" s="51" t="s">
        <v>134</v>
      </c>
      <c r="H379" s="51" t="s">
        <v>155</v>
      </c>
      <c r="I379" s="51" t="s">
        <v>156</v>
      </c>
      <c r="J379" s="51" t="s">
        <v>9</v>
      </c>
      <c r="K379" s="53">
        <v>60238</v>
      </c>
      <c r="L379" s="53">
        <v>60262</v>
      </c>
      <c r="M379" s="54">
        <f t="shared" si="21"/>
        <v>24</v>
      </c>
      <c r="N379" s="55">
        <f t="shared" si="22"/>
        <v>0</v>
      </c>
      <c r="O379" s="56" t="str">
        <f t="shared" si="23"/>
        <v>Conforme</v>
      </c>
      <c r="P379" s="51"/>
      <c r="R379" s="57" t="str">
        <f>IF(AND($E379=RelConducteur,$J379="Professionnel",ISNUMBER($C379),$C379&gt;=RelDebut,$C379&lt;=RelFin),COUNTIFS($E$9:$E379,RelConducteur,$J$9:$J379,"Professionnel",$C$9:$C379,"&gt;="&amp;RelDebut,$C$9:$C379,"&lt;="&amp;RelFin),"")</f>
        <v/>
      </c>
    </row>
    <row r="380" spans="2:18" ht="18" customHeight="1" x14ac:dyDescent="0.25">
      <c r="B380" s="48">
        <f>IF(C380="","",COUNT($C$9:C380))</f>
        <v>372</v>
      </c>
      <c r="C380" s="49">
        <v>46742</v>
      </c>
      <c r="D380" s="50">
        <v>0.35416666666666669</v>
      </c>
      <c r="E380" s="51" t="s">
        <v>139</v>
      </c>
      <c r="F380" s="52" t="str">
        <f t="shared" si="20"/>
        <v>Service technique</v>
      </c>
      <c r="G380" s="51" t="s">
        <v>134</v>
      </c>
      <c r="H380" s="51" t="s">
        <v>144</v>
      </c>
      <c r="I380" s="51" t="s">
        <v>145</v>
      </c>
      <c r="J380" s="51" t="s">
        <v>8</v>
      </c>
      <c r="K380" s="53">
        <v>60262</v>
      </c>
      <c r="L380" s="53">
        <v>60288</v>
      </c>
      <c r="M380" s="54">
        <f t="shared" si="21"/>
        <v>26</v>
      </c>
      <c r="N380" s="55">
        <f t="shared" si="22"/>
        <v>0</v>
      </c>
      <c r="O380" s="56" t="str">
        <f t="shared" si="23"/>
        <v>Conforme</v>
      </c>
      <c r="P380" s="51"/>
      <c r="R380" s="57" t="str">
        <f>IF(AND($E380=RelConducteur,$J380="Professionnel",ISNUMBER($C380),$C380&gt;=RelDebut,$C380&lt;=RelFin),COUNTIFS($E$9:$E380,RelConducteur,$J$9:$J380,"Professionnel",$C$9:$C380,"&gt;="&amp;RelDebut,$C$9:$C380,"&lt;="&amp;RelFin),"")</f>
        <v/>
      </c>
    </row>
    <row r="381" spans="2:18" ht="18" customHeight="1" x14ac:dyDescent="0.25">
      <c r="B381" s="48">
        <f>IF(C381="","",COUNT($C$9:C381))</f>
        <v>373</v>
      </c>
      <c r="C381" s="49">
        <v>46742</v>
      </c>
      <c r="D381" s="50">
        <v>0.75</v>
      </c>
      <c r="E381" s="51" t="s">
        <v>139</v>
      </c>
      <c r="F381" s="52" t="str">
        <f t="shared" si="20"/>
        <v>Service technique</v>
      </c>
      <c r="G381" s="51" t="s">
        <v>134</v>
      </c>
      <c r="H381" s="51" t="s">
        <v>155</v>
      </c>
      <c r="I381" s="51" t="s">
        <v>156</v>
      </c>
      <c r="J381" s="51" t="s">
        <v>9</v>
      </c>
      <c r="K381" s="53">
        <v>60288</v>
      </c>
      <c r="L381" s="53">
        <v>60312</v>
      </c>
      <c r="M381" s="54">
        <f t="shared" si="21"/>
        <v>24</v>
      </c>
      <c r="N381" s="55">
        <f t="shared" si="22"/>
        <v>0</v>
      </c>
      <c r="O381" s="56" t="str">
        <f t="shared" si="23"/>
        <v>Conforme</v>
      </c>
      <c r="P381" s="51"/>
      <c r="R381" s="57" t="str">
        <f>IF(AND($E381=RelConducteur,$J381="Professionnel",ISNUMBER($C381),$C381&gt;=RelDebut,$C381&lt;=RelFin),COUNTIFS($E$9:$E381,RelConducteur,$J$9:$J381,"Professionnel",$C$9:$C381,"&gt;="&amp;RelDebut,$C$9:$C381,"&lt;="&amp;RelFin),"")</f>
        <v/>
      </c>
    </row>
    <row r="382" spans="2:18" ht="18" customHeight="1" x14ac:dyDescent="0.25">
      <c r="B382" s="48">
        <f>IF(C382="","",COUNT($C$9:C382))</f>
        <v>374</v>
      </c>
      <c r="C382" s="49">
        <v>46743</v>
      </c>
      <c r="D382" s="50">
        <v>0.35416666666666669</v>
      </c>
      <c r="E382" s="51" t="s">
        <v>133</v>
      </c>
      <c r="F382" s="52" t="str">
        <f t="shared" si="20"/>
        <v>Service technique</v>
      </c>
      <c r="G382" s="51" t="s">
        <v>134</v>
      </c>
      <c r="H382" s="51" t="s">
        <v>142</v>
      </c>
      <c r="I382" s="51" t="s">
        <v>143</v>
      </c>
      <c r="J382" s="51" t="s">
        <v>8</v>
      </c>
      <c r="K382" s="53">
        <v>60312</v>
      </c>
      <c r="L382" s="53">
        <v>60329</v>
      </c>
      <c r="M382" s="54">
        <f t="shared" si="21"/>
        <v>17</v>
      </c>
      <c r="N382" s="55">
        <f t="shared" si="22"/>
        <v>0</v>
      </c>
      <c r="O382" s="56" t="str">
        <f t="shared" si="23"/>
        <v>Conforme</v>
      </c>
      <c r="P382" s="51"/>
      <c r="R382" s="57" t="str">
        <f>IF(AND($E382=RelConducteur,$J382="Professionnel",ISNUMBER($C382),$C382&gt;=RelDebut,$C382&lt;=RelFin),COUNTIFS($E$9:$E382,RelConducteur,$J$9:$J382,"Professionnel",$C$9:$C382,"&gt;="&amp;RelDebut,$C$9:$C382,"&lt;="&amp;RelFin),"")</f>
        <v/>
      </c>
    </row>
    <row r="383" spans="2:18" ht="18" customHeight="1" x14ac:dyDescent="0.25">
      <c r="B383" s="48">
        <f>IF(C383="","",COUNT($C$9:C383))</f>
        <v>375</v>
      </c>
      <c r="C383" s="49">
        <v>46743</v>
      </c>
      <c r="D383" s="50">
        <v>0.75</v>
      </c>
      <c r="E383" s="51" t="s">
        <v>139</v>
      </c>
      <c r="F383" s="52" t="str">
        <f t="shared" si="20"/>
        <v>Service technique</v>
      </c>
      <c r="G383" s="51" t="s">
        <v>134</v>
      </c>
      <c r="H383" s="51" t="s">
        <v>155</v>
      </c>
      <c r="I383" s="51" t="s">
        <v>156</v>
      </c>
      <c r="J383" s="51" t="s">
        <v>9</v>
      </c>
      <c r="K383" s="53">
        <v>60329</v>
      </c>
      <c r="L383" s="53">
        <v>60353</v>
      </c>
      <c r="M383" s="54">
        <f t="shared" si="21"/>
        <v>24</v>
      </c>
      <c r="N383" s="55">
        <f t="shared" si="22"/>
        <v>0</v>
      </c>
      <c r="O383" s="56" t="str">
        <f t="shared" si="23"/>
        <v>Conforme</v>
      </c>
      <c r="P383" s="51"/>
      <c r="R383" s="57" t="str">
        <f>IF(AND($E383=RelConducteur,$J383="Professionnel",ISNUMBER($C383),$C383&gt;=RelDebut,$C383&lt;=RelFin),COUNTIFS($E$9:$E383,RelConducteur,$J$9:$J383,"Professionnel",$C$9:$C383,"&gt;="&amp;RelDebut,$C$9:$C383,"&lt;="&amp;RelFin),"")</f>
        <v/>
      </c>
    </row>
    <row r="384" spans="2:18" ht="18" customHeight="1" x14ac:dyDescent="0.25">
      <c r="B384" s="48" t="str">
        <f>IF(C384="","",COUNT($C$9:C384))</f>
        <v/>
      </c>
      <c r="C384" s="49"/>
      <c r="D384" s="50"/>
      <c r="E384" s="51"/>
      <c r="F384" s="52" t="str">
        <f t="shared" si="20"/>
        <v/>
      </c>
      <c r="G384" s="51"/>
      <c r="H384" s="51"/>
      <c r="I384" s="51"/>
      <c r="J384" s="51"/>
      <c r="K384" s="53"/>
      <c r="L384" s="53"/>
      <c r="M384" s="54" t="str">
        <f t="shared" si="21"/>
        <v/>
      </c>
      <c r="N384" s="55" t="str">
        <f t="shared" si="22"/>
        <v/>
      </c>
      <c r="O384" s="56" t="str">
        <f t="shared" si="23"/>
        <v/>
      </c>
      <c r="P384" s="51"/>
      <c r="R384" s="57" t="str">
        <f>IF(AND($E384=RelConducteur,$J384="Professionnel",ISNUMBER($C384),$C384&gt;=RelDebut,$C384&lt;=RelFin),COUNTIFS($E$9:$E384,RelConducteur,$J$9:$J384,"Professionnel",$C$9:$C384,"&gt;="&amp;RelDebut,$C$9:$C384,"&lt;="&amp;RelFin),"")</f>
        <v/>
      </c>
    </row>
    <row r="385" spans="2:18" ht="18" customHeight="1" x14ac:dyDescent="0.25">
      <c r="B385" s="48" t="str">
        <f>IF(C385="","",COUNT($C$9:C385))</f>
        <v/>
      </c>
      <c r="C385" s="49"/>
      <c r="D385" s="50"/>
      <c r="E385" s="51"/>
      <c r="F385" s="52" t="str">
        <f t="shared" si="20"/>
        <v/>
      </c>
      <c r="G385" s="51"/>
      <c r="H385" s="51"/>
      <c r="I385" s="51"/>
      <c r="J385" s="51"/>
      <c r="K385" s="53"/>
      <c r="L385" s="53"/>
      <c r="M385" s="54" t="str">
        <f t="shared" si="21"/>
        <v/>
      </c>
      <c r="N385" s="55" t="str">
        <f t="shared" si="22"/>
        <v/>
      </c>
      <c r="O385" s="56" t="str">
        <f t="shared" si="23"/>
        <v/>
      </c>
      <c r="P385" s="51"/>
      <c r="R385" s="57" t="str">
        <f>IF(AND($E385=RelConducteur,$J385="Professionnel",ISNUMBER($C385),$C385&gt;=RelDebut,$C385&lt;=RelFin),COUNTIFS($E$9:$E385,RelConducteur,$J$9:$J385,"Professionnel",$C$9:$C385,"&gt;="&amp;RelDebut,$C$9:$C385,"&lt;="&amp;RelFin),"")</f>
        <v/>
      </c>
    </row>
    <row r="386" spans="2:18" ht="18" customHeight="1" x14ac:dyDescent="0.25">
      <c r="B386" s="48" t="str">
        <f>IF(C386="","",COUNT($C$9:C386))</f>
        <v/>
      </c>
      <c r="C386" s="49"/>
      <c r="D386" s="50"/>
      <c r="E386" s="51"/>
      <c r="F386" s="52" t="str">
        <f t="shared" si="20"/>
        <v/>
      </c>
      <c r="G386" s="51"/>
      <c r="H386" s="51"/>
      <c r="I386" s="51"/>
      <c r="J386" s="51"/>
      <c r="K386" s="53"/>
      <c r="L386" s="53"/>
      <c r="M386" s="54" t="str">
        <f t="shared" si="21"/>
        <v/>
      </c>
      <c r="N386" s="55" t="str">
        <f t="shared" si="22"/>
        <v/>
      </c>
      <c r="O386" s="56" t="str">
        <f t="shared" si="23"/>
        <v/>
      </c>
      <c r="P386" s="51"/>
      <c r="R386" s="57" t="str">
        <f>IF(AND($E386=RelConducteur,$J386="Professionnel",ISNUMBER($C386),$C386&gt;=RelDebut,$C386&lt;=RelFin),COUNTIFS($E$9:$E386,RelConducteur,$J$9:$J386,"Professionnel",$C$9:$C386,"&gt;="&amp;RelDebut,$C$9:$C386,"&lt;="&amp;RelFin),"")</f>
        <v/>
      </c>
    </row>
    <row r="387" spans="2:18" ht="18" customHeight="1" x14ac:dyDescent="0.25">
      <c r="B387" s="48" t="str">
        <f>IF(C387="","",COUNT($C$9:C387))</f>
        <v/>
      </c>
      <c r="C387" s="49"/>
      <c r="D387" s="50"/>
      <c r="E387" s="51"/>
      <c r="F387" s="52" t="str">
        <f t="shared" si="20"/>
        <v/>
      </c>
      <c r="G387" s="51"/>
      <c r="H387" s="51"/>
      <c r="I387" s="51"/>
      <c r="J387" s="51"/>
      <c r="K387" s="53"/>
      <c r="L387" s="53"/>
      <c r="M387" s="54" t="str">
        <f t="shared" si="21"/>
        <v/>
      </c>
      <c r="N387" s="55" t="str">
        <f t="shared" si="22"/>
        <v/>
      </c>
      <c r="O387" s="56" t="str">
        <f t="shared" si="23"/>
        <v/>
      </c>
      <c r="P387" s="51"/>
      <c r="R387" s="57" t="str">
        <f>IF(AND($E387=RelConducteur,$J387="Professionnel",ISNUMBER($C387),$C387&gt;=RelDebut,$C387&lt;=RelFin),COUNTIFS($E$9:$E387,RelConducteur,$J$9:$J387,"Professionnel",$C$9:$C387,"&gt;="&amp;RelDebut,$C$9:$C387,"&lt;="&amp;RelFin),"")</f>
        <v/>
      </c>
    </row>
    <row r="388" spans="2:18" ht="18" customHeight="1" x14ac:dyDescent="0.25">
      <c r="B388" s="48" t="str">
        <f>IF(C388="","",COUNT($C$9:C388))</f>
        <v/>
      </c>
      <c r="C388" s="49"/>
      <c r="D388" s="50"/>
      <c r="E388" s="51"/>
      <c r="F388" s="52" t="str">
        <f t="shared" si="20"/>
        <v/>
      </c>
      <c r="G388" s="51"/>
      <c r="H388" s="51"/>
      <c r="I388" s="51"/>
      <c r="J388" s="51"/>
      <c r="K388" s="53"/>
      <c r="L388" s="53"/>
      <c r="M388" s="54" t="str">
        <f t="shared" si="21"/>
        <v/>
      </c>
      <c r="N388" s="55" t="str">
        <f t="shared" si="22"/>
        <v/>
      </c>
      <c r="O388" s="56" t="str">
        <f t="shared" si="23"/>
        <v/>
      </c>
      <c r="P388" s="51"/>
      <c r="R388" s="57" t="str">
        <f>IF(AND($E388=RelConducteur,$J388="Professionnel",ISNUMBER($C388),$C388&gt;=RelDebut,$C388&lt;=RelFin),COUNTIFS($E$9:$E388,RelConducteur,$J$9:$J388,"Professionnel",$C$9:$C388,"&gt;="&amp;RelDebut,$C$9:$C388,"&lt;="&amp;RelFin),"")</f>
        <v/>
      </c>
    </row>
    <row r="389" spans="2:18" ht="18" customHeight="1" x14ac:dyDescent="0.25">
      <c r="B389" s="48" t="str">
        <f>IF(C389="","",COUNT($C$9:C389))</f>
        <v/>
      </c>
      <c r="C389" s="49"/>
      <c r="D389" s="50"/>
      <c r="E389" s="51"/>
      <c r="F389" s="52" t="str">
        <f t="shared" si="20"/>
        <v/>
      </c>
      <c r="G389" s="51"/>
      <c r="H389" s="51"/>
      <c r="I389" s="51"/>
      <c r="J389" s="51"/>
      <c r="K389" s="53"/>
      <c r="L389" s="53"/>
      <c r="M389" s="54" t="str">
        <f t="shared" si="21"/>
        <v/>
      </c>
      <c r="N389" s="55" t="str">
        <f t="shared" si="22"/>
        <v/>
      </c>
      <c r="O389" s="56" t="str">
        <f t="shared" si="23"/>
        <v/>
      </c>
      <c r="P389" s="51"/>
      <c r="R389" s="57" t="str">
        <f>IF(AND($E389=RelConducteur,$J389="Professionnel",ISNUMBER($C389),$C389&gt;=RelDebut,$C389&lt;=RelFin),COUNTIFS($E$9:$E389,RelConducteur,$J$9:$J389,"Professionnel",$C$9:$C389,"&gt;="&amp;RelDebut,$C$9:$C389,"&lt;="&amp;RelFin),"")</f>
        <v/>
      </c>
    </row>
    <row r="390" spans="2:18" ht="18" customHeight="1" x14ac:dyDescent="0.25">
      <c r="B390" s="48" t="str">
        <f>IF(C390="","",COUNT($C$9:C390))</f>
        <v/>
      </c>
      <c r="C390" s="49"/>
      <c r="D390" s="50"/>
      <c r="E390" s="51"/>
      <c r="F390" s="52" t="str">
        <f t="shared" si="20"/>
        <v/>
      </c>
      <c r="G390" s="51"/>
      <c r="H390" s="51"/>
      <c r="I390" s="51"/>
      <c r="J390" s="51"/>
      <c r="K390" s="53"/>
      <c r="L390" s="53"/>
      <c r="M390" s="54" t="str">
        <f t="shared" si="21"/>
        <v/>
      </c>
      <c r="N390" s="55" t="str">
        <f t="shared" si="22"/>
        <v/>
      </c>
      <c r="O390" s="56" t="str">
        <f t="shared" si="23"/>
        <v/>
      </c>
      <c r="P390" s="51"/>
      <c r="R390" s="57" t="str">
        <f>IF(AND($E390=RelConducteur,$J390="Professionnel",ISNUMBER($C390),$C390&gt;=RelDebut,$C390&lt;=RelFin),COUNTIFS($E$9:$E390,RelConducteur,$J$9:$J390,"Professionnel",$C$9:$C390,"&gt;="&amp;RelDebut,$C$9:$C390,"&lt;="&amp;RelFin),"")</f>
        <v/>
      </c>
    </row>
    <row r="391" spans="2:18" ht="18" customHeight="1" x14ac:dyDescent="0.25">
      <c r="B391" s="48" t="str">
        <f>IF(C391="","",COUNT($C$9:C391))</f>
        <v/>
      </c>
      <c r="C391" s="49"/>
      <c r="D391" s="50"/>
      <c r="E391" s="51"/>
      <c r="F391" s="52" t="str">
        <f t="shared" si="20"/>
        <v/>
      </c>
      <c r="G391" s="51"/>
      <c r="H391" s="51"/>
      <c r="I391" s="51"/>
      <c r="J391" s="51"/>
      <c r="K391" s="53"/>
      <c r="L391" s="53"/>
      <c r="M391" s="54" t="str">
        <f t="shared" si="21"/>
        <v/>
      </c>
      <c r="N391" s="55" t="str">
        <f t="shared" si="22"/>
        <v/>
      </c>
      <c r="O391" s="56" t="str">
        <f t="shared" si="23"/>
        <v/>
      </c>
      <c r="P391" s="51"/>
      <c r="R391" s="57" t="str">
        <f>IF(AND($E391=RelConducteur,$J391="Professionnel",ISNUMBER($C391),$C391&gt;=RelDebut,$C391&lt;=RelFin),COUNTIFS($E$9:$E391,RelConducteur,$J$9:$J391,"Professionnel",$C$9:$C391,"&gt;="&amp;RelDebut,$C$9:$C391,"&lt;="&amp;RelFin),"")</f>
        <v/>
      </c>
    </row>
    <row r="392" spans="2:18" ht="18" customHeight="1" x14ac:dyDescent="0.25">
      <c r="B392" s="48" t="str">
        <f>IF(C392="","",COUNT($C$9:C392))</f>
        <v/>
      </c>
      <c r="C392" s="49"/>
      <c r="D392" s="50"/>
      <c r="E392" s="51"/>
      <c r="F392" s="52" t="str">
        <f t="shared" si="20"/>
        <v/>
      </c>
      <c r="G392" s="51"/>
      <c r="H392" s="51"/>
      <c r="I392" s="51"/>
      <c r="J392" s="51"/>
      <c r="K392" s="53"/>
      <c r="L392" s="53"/>
      <c r="M392" s="54" t="str">
        <f t="shared" si="21"/>
        <v/>
      </c>
      <c r="N392" s="55" t="str">
        <f t="shared" si="22"/>
        <v/>
      </c>
      <c r="O392" s="56" t="str">
        <f t="shared" si="23"/>
        <v/>
      </c>
      <c r="P392" s="51"/>
      <c r="R392" s="57" t="str">
        <f>IF(AND($E392=RelConducteur,$J392="Professionnel",ISNUMBER($C392),$C392&gt;=RelDebut,$C392&lt;=RelFin),COUNTIFS($E$9:$E392,RelConducteur,$J$9:$J392,"Professionnel",$C$9:$C392,"&gt;="&amp;RelDebut,$C$9:$C392,"&lt;="&amp;RelFin),"")</f>
        <v/>
      </c>
    </row>
    <row r="393" spans="2:18" ht="18" customHeight="1" x14ac:dyDescent="0.25">
      <c r="B393" s="48" t="str">
        <f>IF(C393="","",COUNT($C$9:C393))</f>
        <v/>
      </c>
      <c r="C393" s="49"/>
      <c r="D393" s="50"/>
      <c r="E393" s="51"/>
      <c r="F393" s="52" t="str">
        <f t="shared" ref="F393:F456" si="24">IF(OR(C393="",E393=""),"",IFERROR(INDEX(CondService,MATCH(E393,CondNoms,0))&amp;"","Conducteur inconnu"))</f>
        <v/>
      </c>
      <c r="G393" s="51"/>
      <c r="H393" s="51"/>
      <c r="I393" s="51"/>
      <c r="J393" s="51"/>
      <c r="K393" s="53"/>
      <c r="L393" s="53"/>
      <c r="M393" s="54" t="str">
        <f t="shared" ref="M393:M456" si="25">IF(OR(K393="",L393=""),"",L393-K393)</f>
        <v/>
      </c>
      <c r="N393" s="55" t="str">
        <f t="shared" si="22"/>
        <v/>
      </c>
      <c r="O393" s="56" t="str">
        <f t="shared" si="23"/>
        <v/>
      </c>
      <c r="P393" s="51"/>
      <c r="R393" s="57" t="str">
        <f>IF(AND($E393=RelConducteur,$J393="Professionnel",ISNUMBER($C393),$C393&gt;=RelDebut,$C393&lt;=RelFin),COUNTIFS($E$9:$E393,RelConducteur,$J$9:$J393,"Professionnel",$C$9:$C393,"&gt;="&amp;RelDebut,$C$9:$C393,"&lt;="&amp;RelFin),"")</f>
        <v/>
      </c>
    </row>
    <row r="394" spans="2:18" ht="18" customHeight="1" x14ac:dyDescent="0.25">
      <c r="B394" s="48" t="str">
        <f>IF(C394="","",COUNT($C$9:C394))</f>
        <v/>
      </c>
      <c r="C394" s="49"/>
      <c r="D394" s="50"/>
      <c r="E394" s="51"/>
      <c r="F394" s="52" t="str">
        <f t="shared" si="24"/>
        <v/>
      </c>
      <c r="G394" s="51"/>
      <c r="H394" s="51"/>
      <c r="I394" s="51"/>
      <c r="J394" s="51"/>
      <c r="K394" s="53"/>
      <c r="L394" s="53"/>
      <c r="M394" s="54" t="str">
        <f t="shared" si="25"/>
        <v/>
      </c>
      <c r="N394" s="55" t="str">
        <f t="shared" ref="N394:N457" si="26">IF(OR(C394="",K394="",L393=""),"",K394-L393)</f>
        <v/>
      </c>
      <c r="O394" s="56" t="str">
        <f t="shared" ref="O394:O457" si="27">IF(C394="","",IF(OR(E394="",G394="",H394="",J394="",K394="",L394="",AND(J394="Professionnel",I394="")),"Incomplet",IF(AND(ISNUMBER(C393),C394&lt;C393),"Ordre des dates",IF(L394&lt;K394,"Compteur incohérent",IF(AND(ISNUMBER(N394),N394&gt;ToleranceKm),"Km non enregistrés",IF(AND(ISNUMBER(N394),N394&lt;-ToleranceKm),"Chevauchement",IF(AND(J394="Personnel",UsagePrive="Non"),"Usage privé non autorisé","Conforme")))))))</f>
        <v/>
      </c>
      <c r="P394" s="51"/>
      <c r="R394" s="57" t="str">
        <f>IF(AND($E394=RelConducteur,$J394="Professionnel",ISNUMBER($C394),$C394&gt;=RelDebut,$C394&lt;=RelFin),COUNTIFS($E$9:$E394,RelConducteur,$J$9:$J394,"Professionnel",$C$9:$C394,"&gt;="&amp;RelDebut,$C$9:$C394,"&lt;="&amp;RelFin),"")</f>
        <v/>
      </c>
    </row>
    <row r="395" spans="2:18" ht="18" customHeight="1" x14ac:dyDescent="0.25">
      <c r="B395" s="48" t="str">
        <f>IF(C395="","",COUNT($C$9:C395))</f>
        <v/>
      </c>
      <c r="C395" s="49"/>
      <c r="D395" s="50"/>
      <c r="E395" s="51"/>
      <c r="F395" s="52" t="str">
        <f t="shared" si="24"/>
        <v/>
      </c>
      <c r="G395" s="51"/>
      <c r="H395" s="51"/>
      <c r="I395" s="51"/>
      <c r="J395" s="51"/>
      <c r="K395" s="53"/>
      <c r="L395" s="53"/>
      <c r="M395" s="54" t="str">
        <f t="shared" si="25"/>
        <v/>
      </c>
      <c r="N395" s="55" t="str">
        <f t="shared" si="26"/>
        <v/>
      </c>
      <c r="O395" s="56" t="str">
        <f t="shared" si="27"/>
        <v/>
      </c>
      <c r="P395" s="51"/>
      <c r="R395" s="57" t="str">
        <f>IF(AND($E395=RelConducteur,$J395="Professionnel",ISNUMBER($C395),$C395&gt;=RelDebut,$C395&lt;=RelFin),COUNTIFS($E$9:$E395,RelConducteur,$J$9:$J395,"Professionnel",$C$9:$C395,"&gt;="&amp;RelDebut,$C$9:$C395,"&lt;="&amp;RelFin),"")</f>
        <v/>
      </c>
    </row>
    <row r="396" spans="2:18" ht="18" customHeight="1" x14ac:dyDescent="0.25">
      <c r="B396" s="48" t="str">
        <f>IF(C396="","",COUNT($C$9:C396))</f>
        <v/>
      </c>
      <c r="C396" s="49"/>
      <c r="D396" s="50"/>
      <c r="E396" s="51"/>
      <c r="F396" s="52" t="str">
        <f t="shared" si="24"/>
        <v/>
      </c>
      <c r="G396" s="51"/>
      <c r="H396" s="51"/>
      <c r="I396" s="51"/>
      <c r="J396" s="51"/>
      <c r="K396" s="53"/>
      <c r="L396" s="53"/>
      <c r="M396" s="54" t="str">
        <f t="shared" si="25"/>
        <v/>
      </c>
      <c r="N396" s="55" t="str">
        <f t="shared" si="26"/>
        <v/>
      </c>
      <c r="O396" s="56" t="str">
        <f t="shared" si="27"/>
        <v/>
      </c>
      <c r="P396" s="51"/>
      <c r="R396" s="57" t="str">
        <f>IF(AND($E396=RelConducteur,$J396="Professionnel",ISNUMBER($C396),$C396&gt;=RelDebut,$C396&lt;=RelFin),COUNTIFS($E$9:$E396,RelConducteur,$J$9:$J396,"Professionnel",$C$9:$C396,"&gt;="&amp;RelDebut,$C$9:$C396,"&lt;="&amp;RelFin),"")</f>
        <v/>
      </c>
    </row>
    <row r="397" spans="2:18" ht="18" customHeight="1" x14ac:dyDescent="0.25">
      <c r="B397" s="48" t="str">
        <f>IF(C397="","",COUNT($C$9:C397))</f>
        <v/>
      </c>
      <c r="C397" s="49"/>
      <c r="D397" s="50"/>
      <c r="E397" s="51"/>
      <c r="F397" s="52" t="str">
        <f t="shared" si="24"/>
        <v/>
      </c>
      <c r="G397" s="51"/>
      <c r="H397" s="51"/>
      <c r="I397" s="51"/>
      <c r="J397" s="51"/>
      <c r="K397" s="53"/>
      <c r="L397" s="53"/>
      <c r="M397" s="54" t="str">
        <f t="shared" si="25"/>
        <v/>
      </c>
      <c r="N397" s="55" t="str">
        <f t="shared" si="26"/>
        <v/>
      </c>
      <c r="O397" s="56" t="str">
        <f t="shared" si="27"/>
        <v/>
      </c>
      <c r="P397" s="51"/>
      <c r="R397" s="57" t="str">
        <f>IF(AND($E397=RelConducteur,$J397="Professionnel",ISNUMBER($C397),$C397&gt;=RelDebut,$C397&lt;=RelFin),COUNTIFS($E$9:$E397,RelConducteur,$J$9:$J397,"Professionnel",$C$9:$C397,"&gt;="&amp;RelDebut,$C$9:$C397,"&lt;="&amp;RelFin),"")</f>
        <v/>
      </c>
    </row>
    <row r="398" spans="2:18" ht="18" customHeight="1" x14ac:dyDescent="0.25">
      <c r="B398" s="48" t="str">
        <f>IF(C398="","",COUNT($C$9:C398))</f>
        <v/>
      </c>
      <c r="C398" s="49"/>
      <c r="D398" s="50"/>
      <c r="E398" s="51"/>
      <c r="F398" s="52" t="str">
        <f t="shared" si="24"/>
        <v/>
      </c>
      <c r="G398" s="51"/>
      <c r="H398" s="51"/>
      <c r="I398" s="51"/>
      <c r="J398" s="51"/>
      <c r="K398" s="53"/>
      <c r="L398" s="53"/>
      <c r="M398" s="54" t="str">
        <f t="shared" si="25"/>
        <v/>
      </c>
      <c r="N398" s="55" t="str">
        <f t="shared" si="26"/>
        <v/>
      </c>
      <c r="O398" s="56" t="str">
        <f t="shared" si="27"/>
        <v/>
      </c>
      <c r="P398" s="51"/>
      <c r="R398" s="57" t="str">
        <f>IF(AND($E398=RelConducteur,$J398="Professionnel",ISNUMBER($C398),$C398&gt;=RelDebut,$C398&lt;=RelFin),COUNTIFS($E$9:$E398,RelConducteur,$J$9:$J398,"Professionnel",$C$9:$C398,"&gt;="&amp;RelDebut,$C$9:$C398,"&lt;="&amp;RelFin),"")</f>
        <v/>
      </c>
    </row>
    <row r="399" spans="2:18" ht="18" customHeight="1" x14ac:dyDescent="0.25">
      <c r="B399" s="48" t="str">
        <f>IF(C399="","",COUNT($C$9:C399))</f>
        <v/>
      </c>
      <c r="C399" s="49"/>
      <c r="D399" s="50"/>
      <c r="E399" s="51"/>
      <c r="F399" s="52" t="str">
        <f t="shared" si="24"/>
        <v/>
      </c>
      <c r="G399" s="51"/>
      <c r="H399" s="51"/>
      <c r="I399" s="51"/>
      <c r="J399" s="51"/>
      <c r="K399" s="53"/>
      <c r="L399" s="53"/>
      <c r="M399" s="54" t="str">
        <f t="shared" si="25"/>
        <v/>
      </c>
      <c r="N399" s="55" t="str">
        <f t="shared" si="26"/>
        <v/>
      </c>
      <c r="O399" s="56" t="str">
        <f t="shared" si="27"/>
        <v/>
      </c>
      <c r="P399" s="51"/>
      <c r="R399" s="57" t="str">
        <f>IF(AND($E399=RelConducteur,$J399="Professionnel",ISNUMBER($C399),$C399&gt;=RelDebut,$C399&lt;=RelFin),COUNTIFS($E$9:$E399,RelConducteur,$J$9:$J399,"Professionnel",$C$9:$C399,"&gt;="&amp;RelDebut,$C$9:$C399,"&lt;="&amp;RelFin),"")</f>
        <v/>
      </c>
    </row>
    <row r="400" spans="2:18" ht="18" customHeight="1" x14ac:dyDescent="0.25">
      <c r="B400" s="48" t="str">
        <f>IF(C400="","",COUNT($C$9:C400))</f>
        <v/>
      </c>
      <c r="C400" s="49"/>
      <c r="D400" s="50"/>
      <c r="E400" s="51"/>
      <c r="F400" s="52" t="str">
        <f t="shared" si="24"/>
        <v/>
      </c>
      <c r="G400" s="51"/>
      <c r="H400" s="51"/>
      <c r="I400" s="51"/>
      <c r="J400" s="51"/>
      <c r="K400" s="53"/>
      <c r="L400" s="53"/>
      <c r="M400" s="54" t="str">
        <f t="shared" si="25"/>
        <v/>
      </c>
      <c r="N400" s="55" t="str">
        <f t="shared" si="26"/>
        <v/>
      </c>
      <c r="O400" s="56" t="str">
        <f t="shared" si="27"/>
        <v/>
      </c>
      <c r="P400" s="51"/>
      <c r="R400" s="57" t="str">
        <f>IF(AND($E400=RelConducteur,$J400="Professionnel",ISNUMBER($C400),$C400&gt;=RelDebut,$C400&lt;=RelFin),COUNTIFS($E$9:$E400,RelConducteur,$J$9:$J400,"Professionnel",$C$9:$C400,"&gt;="&amp;RelDebut,$C$9:$C400,"&lt;="&amp;RelFin),"")</f>
        <v/>
      </c>
    </row>
    <row r="401" spans="2:18" ht="18" customHeight="1" x14ac:dyDescent="0.25">
      <c r="B401" s="48" t="str">
        <f>IF(C401="","",COUNT($C$9:C401))</f>
        <v/>
      </c>
      <c r="C401" s="49"/>
      <c r="D401" s="50"/>
      <c r="E401" s="51"/>
      <c r="F401" s="52" t="str">
        <f t="shared" si="24"/>
        <v/>
      </c>
      <c r="G401" s="51"/>
      <c r="H401" s="51"/>
      <c r="I401" s="51"/>
      <c r="J401" s="51"/>
      <c r="K401" s="53"/>
      <c r="L401" s="53"/>
      <c r="M401" s="54" t="str">
        <f t="shared" si="25"/>
        <v/>
      </c>
      <c r="N401" s="55" t="str">
        <f t="shared" si="26"/>
        <v/>
      </c>
      <c r="O401" s="56" t="str">
        <f t="shared" si="27"/>
        <v/>
      </c>
      <c r="P401" s="51"/>
      <c r="R401" s="57" t="str">
        <f>IF(AND($E401=RelConducteur,$J401="Professionnel",ISNUMBER($C401),$C401&gt;=RelDebut,$C401&lt;=RelFin),COUNTIFS($E$9:$E401,RelConducteur,$J$9:$J401,"Professionnel",$C$9:$C401,"&gt;="&amp;RelDebut,$C$9:$C401,"&lt;="&amp;RelFin),"")</f>
        <v/>
      </c>
    </row>
    <row r="402" spans="2:18" ht="18" customHeight="1" x14ac:dyDescent="0.25">
      <c r="B402" s="48" t="str">
        <f>IF(C402="","",COUNT($C$9:C402))</f>
        <v/>
      </c>
      <c r="C402" s="49"/>
      <c r="D402" s="50"/>
      <c r="E402" s="51"/>
      <c r="F402" s="52" t="str">
        <f t="shared" si="24"/>
        <v/>
      </c>
      <c r="G402" s="51"/>
      <c r="H402" s="51"/>
      <c r="I402" s="51"/>
      <c r="J402" s="51"/>
      <c r="K402" s="53"/>
      <c r="L402" s="53"/>
      <c r="M402" s="54" t="str">
        <f t="shared" si="25"/>
        <v/>
      </c>
      <c r="N402" s="55" t="str">
        <f t="shared" si="26"/>
        <v/>
      </c>
      <c r="O402" s="56" t="str">
        <f t="shared" si="27"/>
        <v/>
      </c>
      <c r="P402" s="51"/>
      <c r="R402" s="57" t="str">
        <f>IF(AND($E402=RelConducteur,$J402="Professionnel",ISNUMBER($C402),$C402&gt;=RelDebut,$C402&lt;=RelFin),COUNTIFS($E$9:$E402,RelConducteur,$J$9:$J402,"Professionnel",$C$9:$C402,"&gt;="&amp;RelDebut,$C$9:$C402,"&lt;="&amp;RelFin),"")</f>
        <v/>
      </c>
    </row>
    <row r="403" spans="2:18" ht="18" customHeight="1" x14ac:dyDescent="0.25">
      <c r="B403" s="48" t="str">
        <f>IF(C403="","",COUNT($C$9:C403))</f>
        <v/>
      </c>
      <c r="C403" s="49"/>
      <c r="D403" s="50"/>
      <c r="E403" s="51"/>
      <c r="F403" s="52" t="str">
        <f t="shared" si="24"/>
        <v/>
      </c>
      <c r="G403" s="51"/>
      <c r="H403" s="51"/>
      <c r="I403" s="51"/>
      <c r="J403" s="51"/>
      <c r="K403" s="53"/>
      <c r="L403" s="53"/>
      <c r="M403" s="54" t="str">
        <f t="shared" si="25"/>
        <v/>
      </c>
      <c r="N403" s="55" t="str">
        <f t="shared" si="26"/>
        <v/>
      </c>
      <c r="O403" s="56" t="str">
        <f t="shared" si="27"/>
        <v/>
      </c>
      <c r="P403" s="51"/>
      <c r="R403" s="57" t="str">
        <f>IF(AND($E403=RelConducteur,$J403="Professionnel",ISNUMBER($C403),$C403&gt;=RelDebut,$C403&lt;=RelFin),COUNTIFS($E$9:$E403,RelConducteur,$J$9:$J403,"Professionnel",$C$9:$C403,"&gt;="&amp;RelDebut,$C$9:$C403,"&lt;="&amp;RelFin),"")</f>
        <v/>
      </c>
    </row>
    <row r="404" spans="2:18" ht="18" customHeight="1" x14ac:dyDescent="0.25">
      <c r="B404" s="48" t="str">
        <f>IF(C404="","",COUNT($C$9:C404))</f>
        <v/>
      </c>
      <c r="C404" s="49"/>
      <c r="D404" s="50"/>
      <c r="E404" s="51"/>
      <c r="F404" s="52" t="str">
        <f t="shared" si="24"/>
        <v/>
      </c>
      <c r="G404" s="51"/>
      <c r="H404" s="51"/>
      <c r="I404" s="51"/>
      <c r="J404" s="51"/>
      <c r="K404" s="53"/>
      <c r="L404" s="53"/>
      <c r="M404" s="54" t="str">
        <f t="shared" si="25"/>
        <v/>
      </c>
      <c r="N404" s="55" t="str">
        <f t="shared" si="26"/>
        <v/>
      </c>
      <c r="O404" s="56" t="str">
        <f t="shared" si="27"/>
        <v/>
      </c>
      <c r="P404" s="51"/>
      <c r="R404" s="57" t="str">
        <f>IF(AND($E404=RelConducteur,$J404="Professionnel",ISNUMBER($C404),$C404&gt;=RelDebut,$C404&lt;=RelFin),COUNTIFS($E$9:$E404,RelConducteur,$J$9:$J404,"Professionnel",$C$9:$C404,"&gt;="&amp;RelDebut,$C$9:$C404,"&lt;="&amp;RelFin),"")</f>
        <v/>
      </c>
    </row>
    <row r="405" spans="2:18" ht="18" customHeight="1" x14ac:dyDescent="0.25">
      <c r="B405" s="48" t="str">
        <f>IF(C405="","",COUNT($C$9:C405))</f>
        <v/>
      </c>
      <c r="C405" s="49"/>
      <c r="D405" s="50"/>
      <c r="E405" s="51"/>
      <c r="F405" s="52" t="str">
        <f t="shared" si="24"/>
        <v/>
      </c>
      <c r="G405" s="51"/>
      <c r="H405" s="51"/>
      <c r="I405" s="51"/>
      <c r="J405" s="51"/>
      <c r="K405" s="53"/>
      <c r="L405" s="53"/>
      <c r="M405" s="54" t="str">
        <f t="shared" si="25"/>
        <v/>
      </c>
      <c r="N405" s="55" t="str">
        <f t="shared" si="26"/>
        <v/>
      </c>
      <c r="O405" s="56" t="str">
        <f t="shared" si="27"/>
        <v/>
      </c>
      <c r="P405" s="51"/>
      <c r="R405" s="57" t="str">
        <f>IF(AND($E405=RelConducteur,$J405="Professionnel",ISNUMBER($C405),$C405&gt;=RelDebut,$C405&lt;=RelFin),COUNTIFS($E$9:$E405,RelConducteur,$J$9:$J405,"Professionnel",$C$9:$C405,"&gt;="&amp;RelDebut,$C$9:$C405,"&lt;="&amp;RelFin),"")</f>
        <v/>
      </c>
    </row>
    <row r="406" spans="2:18" ht="18" customHeight="1" x14ac:dyDescent="0.25">
      <c r="B406" s="48" t="str">
        <f>IF(C406="","",COUNT($C$9:C406))</f>
        <v/>
      </c>
      <c r="C406" s="49"/>
      <c r="D406" s="50"/>
      <c r="E406" s="51"/>
      <c r="F406" s="52" t="str">
        <f t="shared" si="24"/>
        <v/>
      </c>
      <c r="G406" s="51"/>
      <c r="H406" s="51"/>
      <c r="I406" s="51"/>
      <c r="J406" s="51"/>
      <c r="K406" s="53"/>
      <c r="L406" s="53"/>
      <c r="M406" s="54" t="str">
        <f t="shared" si="25"/>
        <v/>
      </c>
      <c r="N406" s="55" t="str">
        <f t="shared" si="26"/>
        <v/>
      </c>
      <c r="O406" s="56" t="str">
        <f t="shared" si="27"/>
        <v/>
      </c>
      <c r="P406" s="51"/>
      <c r="R406" s="57" t="str">
        <f>IF(AND($E406=RelConducteur,$J406="Professionnel",ISNUMBER($C406),$C406&gt;=RelDebut,$C406&lt;=RelFin),COUNTIFS($E$9:$E406,RelConducteur,$J$9:$J406,"Professionnel",$C$9:$C406,"&gt;="&amp;RelDebut,$C$9:$C406,"&lt;="&amp;RelFin),"")</f>
        <v/>
      </c>
    </row>
    <row r="407" spans="2:18" ht="18" customHeight="1" x14ac:dyDescent="0.25">
      <c r="B407" s="48" t="str">
        <f>IF(C407="","",COUNT($C$9:C407))</f>
        <v/>
      </c>
      <c r="C407" s="49"/>
      <c r="D407" s="50"/>
      <c r="E407" s="51"/>
      <c r="F407" s="52" t="str">
        <f t="shared" si="24"/>
        <v/>
      </c>
      <c r="G407" s="51"/>
      <c r="H407" s="51"/>
      <c r="I407" s="51"/>
      <c r="J407" s="51"/>
      <c r="K407" s="53"/>
      <c r="L407" s="53"/>
      <c r="M407" s="54" t="str">
        <f t="shared" si="25"/>
        <v/>
      </c>
      <c r="N407" s="55" t="str">
        <f t="shared" si="26"/>
        <v/>
      </c>
      <c r="O407" s="56" t="str">
        <f t="shared" si="27"/>
        <v/>
      </c>
      <c r="P407" s="51"/>
      <c r="R407" s="57" t="str">
        <f>IF(AND($E407=RelConducteur,$J407="Professionnel",ISNUMBER($C407),$C407&gt;=RelDebut,$C407&lt;=RelFin),COUNTIFS($E$9:$E407,RelConducteur,$J$9:$J407,"Professionnel",$C$9:$C407,"&gt;="&amp;RelDebut,$C$9:$C407,"&lt;="&amp;RelFin),"")</f>
        <v/>
      </c>
    </row>
    <row r="408" spans="2:18" ht="18" customHeight="1" x14ac:dyDescent="0.25">
      <c r="B408" s="48" t="str">
        <f>IF(C408="","",COUNT($C$9:C408))</f>
        <v/>
      </c>
      <c r="C408" s="49"/>
      <c r="D408" s="50"/>
      <c r="E408" s="51"/>
      <c r="F408" s="52" t="str">
        <f t="shared" si="24"/>
        <v/>
      </c>
      <c r="G408" s="51"/>
      <c r="H408" s="51"/>
      <c r="I408" s="51"/>
      <c r="J408" s="51"/>
      <c r="K408" s="53"/>
      <c r="L408" s="53"/>
      <c r="M408" s="54" t="str">
        <f t="shared" si="25"/>
        <v/>
      </c>
      <c r="N408" s="55" t="str">
        <f t="shared" si="26"/>
        <v/>
      </c>
      <c r="O408" s="56" t="str">
        <f t="shared" si="27"/>
        <v/>
      </c>
      <c r="P408" s="51"/>
      <c r="R408" s="57" t="str">
        <f>IF(AND($E408=RelConducteur,$J408="Professionnel",ISNUMBER($C408),$C408&gt;=RelDebut,$C408&lt;=RelFin),COUNTIFS($E$9:$E408,RelConducteur,$J$9:$J408,"Professionnel",$C$9:$C408,"&gt;="&amp;RelDebut,$C$9:$C408,"&lt;="&amp;RelFin),"")</f>
        <v/>
      </c>
    </row>
    <row r="409" spans="2:18" ht="18" customHeight="1" x14ac:dyDescent="0.25">
      <c r="B409" s="48" t="str">
        <f>IF(C409="","",COUNT($C$9:C409))</f>
        <v/>
      </c>
      <c r="C409" s="49"/>
      <c r="D409" s="50"/>
      <c r="E409" s="51"/>
      <c r="F409" s="52" t="str">
        <f t="shared" si="24"/>
        <v/>
      </c>
      <c r="G409" s="51"/>
      <c r="H409" s="51"/>
      <c r="I409" s="51"/>
      <c r="J409" s="51"/>
      <c r="K409" s="53"/>
      <c r="L409" s="53"/>
      <c r="M409" s="54" t="str">
        <f t="shared" si="25"/>
        <v/>
      </c>
      <c r="N409" s="55" t="str">
        <f t="shared" si="26"/>
        <v/>
      </c>
      <c r="O409" s="56" t="str">
        <f t="shared" si="27"/>
        <v/>
      </c>
      <c r="P409" s="51"/>
      <c r="R409" s="57" t="str">
        <f>IF(AND($E409=RelConducteur,$J409="Professionnel",ISNUMBER($C409),$C409&gt;=RelDebut,$C409&lt;=RelFin),COUNTIFS($E$9:$E409,RelConducteur,$J$9:$J409,"Professionnel",$C$9:$C409,"&gt;="&amp;RelDebut,$C$9:$C409,"&lt;="&amp;RelFin),"")</f>
        <v/>
      </c>
    </row>
    <row r="410" spans="2:18" ht="18" customHeight="1" x14ac:dyDescent="0.25">
      <c r="B410" s="48" t="str">
        <f>IF(C410="","",COUNT($C$9:C410))</f>
        <v/>
      </c>
      <c r="C410" s="49"/>
      <c r="D410" s="50"/>
      <c r="E410" s="51"/>
      <c r="F410" s="52" t="str">
        <f t="shared" si="24"/>
        <v/>
      </c>
      <c r="G410" s="51"/>
      <c r="H410" s="51"/>
      <c r="I410" s="51"/>
      <c r="J410" s="51"/>
      <c r="K410" s="53"/>
      <c r="L410" s="53"/>
      <c r="M410" s="54" t="str">
        <f t="shared" si="25"/>
        <v/>
      </c>
      <c r="N410" s="55" t="str">
        <f t="shared" si="26"/>
        <v/>
      </c>
      <c r="O410" s="56" t="str">
        <f t="shared" si="27"/>
        <v/>
      </c>
      <c r="P410" s="51"/>
      <c r="R410" s="57" t="str">
        <f>IF(AND($E410=RelConducteur,$J410="Professionnel",ISNUMBER($C410),$C410&gt;=RelDebut,$C410&lt;=RelFin),COUNTIFS($E$9:$E410,RelConducteur,$J$9:$J410,"Professionnel",$C$9:$C410,"&gt;="&amp;RelDebut,$C$9:$C410,"&lt;="&amp;RelFin),"")</f>
        <v/>
      </c>
    </row>
    <row r="411" spans="2:18" ht="18" customHeight="1" x14ac:dyDescent="0.25">
      <c r="B411" s="48" t="str">
        <f>IF(C411="","",COUNT($C$9:C411))</f>
        <v/>
      </c>
      <c r="C411" s="49"/>
      <c r="D411" s="50"/>
      <c r="E411" s="51"/>
      <c r="F411" s="52" t="str">
        <f t="shared" si="24"/>
        <v/>
      </c>
      <c r="G411" s="51"/>
      <c r="H411" s="51"/>
      <c r="I411" s="51"/>
      <c r="J411" s="51"/>
      <c r="K411" s="53"/>
      <c r="L411" s="53"/>
      <c r="M411" s="54" t="str">
        <f t="shared" si="25"/>
        <v/>
      </c>
      <c r="N411" s="55" t="str">
        <f t="shared" si="26"/>
        <v/>
      </c>
      <c r="O411" s="56" t="str">
        <f t="shared" si="27"/>
        <v/>
      </c>
      <c r="P411" s="51"/>
      <c r="R411" s="57" t="str">
        <f>IF(AND($E411=RelConducteur,$J411="Professionnel",ISNUMBER($C411),$C411&gt;=RelDebut,$C411&lt;=RelFin),COUNTIFS($E$9:$E411,RelConducteur,$J$9:$J411,"Professionnel",$C$9:$C411,"&gt;="&amp;RelDebut,$C$9:$C411,"&lt;="&amp;RelFin),"")</f>
        <v/>
      </c>
    </row>
    <row r="412" spans="2:18" ht="18" customHeight="1" x14ac:dyDescent="0.25">
      <c r="B412" s="48" t="str">
        <f>IF(C412="","",COUNT($C$9:C412))</f>
        <v/>
      </c>
      <c r="C412" s="49"/>
      <c r="D412" s="50"/>
      <c r="E412" s="51"/>
      <c r="F412" s="52" t="str">
        <f t="shared" si="24"/>
        <v/>
      </c>
      <c r="G412" s="51"/>
      <c r="H412" s="51"/>
      <c r="I412" s="51"/>
      <c r="J412" s="51"/>
      <c r="K412" s="53"/>
      <c r="L412" s="53"/>
      <c r="M412" s="54" t="str">
        <f t="shared" si="25"/>
        <v/>
      </c>
      <c r="N412" s="55" t="str">
        <f t="shared" si="26"/>
        <v/>
      </c>
      <c r="O412" s="56" t="str">
        <f t="shared" si="27"/>
        <v/>
      </c>
      <c r="P412" s="51"/>
      <c r="R412" s="57" t="str">
        <f>IF(AND($E412=RelConducteur,$J412="Professionnel",ISNUMBER($C412),$C412&gt;=RelDebut,$C412&lt;=RelFin),COUNTIFS($E$9:$E412,RelConducteur,$J$9:$J412,"Professionnel",$C$9:$C412,"&gt;="&amp;RelDebut,$C$9:$C412,"&lt;="&amp;RelFin),"")</f>
        <v/>
      </c>
    </row>
    <row r="413" spans="2:18" ht="18" customHeight="1" x14ac:dyDescent="0.25">
      <c r="B413" s="48" t="str">
        <f>IF(C413="","",COUNT($C$9:C413))</f>
        <v/>
      </c>
      <c r="C413" s="49"/>
      <c r="D413" s="50"/>
      <c r="E413" s="51"/>
      <c r="F413" s="52" t="str">
        <f t="shared" si="24"/>
        <v/>
      </c>
      <c r="G413" s="51"/>
      <c r="H413" s="51"/>
      <c r="I413" s="51"/>
      <c r="J413" s="51"/>
      <c r="K413" s="53"/>
      <c r="L413" s="53"/>
      <c r="M413" s="54" t="str">
        <f t="shared" si="25"/>
        <v/>
      </c>
      <c r="N413" s="55" t="str">
        <f t="shared" si="26"/>
        <v/>
      </c>
      <c r="O413" s="56" t="str">
        <f t="shared" si="27"/>
        <v/>
      </c>
      <c r="P413" s="51"/>
      <c r="R413" s="57" t="str">
        <f>IF(AND($E413=RelConducteur,$J413="Professionnel",ISNUMBER($C413),$C413&gt;=RelDebut,$C413&lt;=RelFin),COUNTIFS($E$9:$E413,RelConducteur,$J$9:$J413,"Professionnel",$C$9:$C413,"&gt;="&amp;RelDebut,$C$9:$C413,"&lt;="&amp;RelFin),"")</f>
        <v/>
      </c>
    </row>
    <row r="414" spans="2:18" ht="18" customHeight="1" x14ac:dyDescent="0.25">
      <c r="B414" s="48" t="str">
        <f>IF(C414="","",COUNT($C$9:C414))</f>
        <v/>
      </c>
      <c r="C414" s="49"/>
      <c r="D414" s="50"/>
      <c r="E414" s="51"/>
      <c r="F414" s="52" t="str">
        <f t="shared" si="24"/>
        <v/>
      </c>
      <c r="G414" s="51"/>
      <c r="H414" s="51"/>
      <c r="I414" s="51"/>
      <c r="J414" s="51"/>
      <c r="K414" s="53"/>
      <c r="L414" s="53"/>
      <c r="M414" s="54" t="str">
        <f t="shared" si="25"/>
        <v/>
      </c>
      <c r="N414" s="55" t="str">
        <f t="shared" si="26"/>
        <v/>
      </c>
      <c r="O414" s="56" t="str">
        <f t="shared" si="27"/>
        <v/>
      </c>
      <c r="P414" s="51"/>
      <c r="R414" s="57" t="str">
        <f>IF(AND($E414=RelConducteur,$J414="Professionnel",ISNUMBER($C414),$C414&gt;=RelDebut,$C414&lt;=RelFin),COUNTIFS($E$9:$E414,RelConducteur,$J$9:$J414,"Professionnel",$C$9:$C414,"&gt;="&amp;RelDebut,$C$9:$C414,"&lt;="&amp;RelFin),"")</f>
        <v/>
      </c>
    </row>
    <row r="415" spans="2:18" ht="18" customHeight="1" x14ac:dyDescent="0.25">
      <c r="B415" s="48" t="str">
        <f>IF(C415="","",COUNT($C$9:C415))</f>
        <v/>
      </c>
      <c r="C415" s="49"/>
      <c r="D415" s="50"/>
      <c r="E415" s="51"/>
      <c r="F415" s="52" t="str">
        <f t="shared" si="24"/>
        <v/>
      </c>
      <c r="G415" s="51"/>
      <c r="H415" s="51"/>
      <c r="I415" s="51"/>
      <c r="J415" s="51"/>
      <c r="K415" s="53"/>
      <c r="L415" s="53"/>
      <c r="M415" s="54" t="str">
        <f t="shared" si="25"/>
        <v/>
      </c>
      <c r="N415" s="55" t="str">
        <f t="shared" si="26"/>
        <v/>
      </c>
      <c r="O415" s="56" t="str">
        <f t="shared" si="27"/>
        <v/>
      </c>
      <c r="P415" s="51"/>
      <c r="R415" s="57" t="str">
        <f>IF(AND($E415=RelConducteur,$J415="Professionnel",ISNUMBER($C415),$C415&gt;=RelDebut,$C415&lt;=RelFin),COUNTIFS($E$9:$E415,RelConducteur,$J$9:$J415,"Professionnel",$C$9:$C415,"&gt;="&amp;RelDebut,$C$9:$C415,"&lt;="&amp;RelFin),"")</f>
        <v/>
      </c>
    </row>
    <row r="416" spans="2:18" ht="18" customHeight="1" x14ac:dyDescent="0.25">
      <c r="B416" s="48" t="str">
        <f>IF(C416="","",COUNT($C$9:C416))</f>
        <v/>
      </c>
      <c r="C416" s="49"/>
      <c r="D416" s="50"/>
      <c r="E416" s="51"/>
      <c r="F416" s="52" t="str">
        <f t="shared" si="24"/>
        <v/>
      </c>
      <c r="G416" s="51"/>
      <c r="H416" s="51"/>
      <c r="I416" s="51"/>
      <c r="J416" s="51"/>
      <c r="K416" s="53"/>
      <c r="L416" s="53"/>
      <c r="M416" s="54" t="str">
        <f t="shared" si="25"/>
        <v/>
      </c>
      <c r="N416" s="55" t="str">
        <f t="shared" si="26"/>
        <v/>
      </c>
      <c r="O416" s="56" t="str">
        <f t="shared" si="27"/>
        <v/>
      </c>
      <c r="P416" s="51"/>
      <c r="R416" s="57" t="str">
        <f>IF(AND($E416=RelConducteur,$J416="Professionnel",ISNUMBER($C416),$C416&gt;=RelDebut,$C416&lt;=RelFin),COUNTIFS($E$9:$E416,RelConducteur,$J$9:$J416,"Professionnel",$C$9:$C416,"&gt;="&amp;RelDebut,$C$9:$C416,"&lt;="&amp;RelFin),"")</f>
        <v/>
      </c>
    </row>
    <row r="417" spans="2:18" ht="18" customHeight="1" x14ac:dyDescent="0.25">
      <c r="B417" s="48" t="str">
        <f>IF(C417="","",COUNT($C$9:C417))</f>
        <v/>
      </c>
      <c r="C417" s="49"/>
      <c r="D417" s="50"/>
      <c r="E417" s="51"/>
      <c r="F417" s="52" t="str">
        <f t="shared" si="24"/>
        <v/>
      </c>
      <c r="G417" s="51"/>
      <c r="H417" s="51"/>
      <c r="I417" s="51"/>
      <c r="J417" s="51"/>
      <c r="K417" s="53"/>
      <c r="L417" s="53"/>
      <c r="M417" s="54" t="str">
        <f t="shared" si="25"/>
        <v/>
      </c>
      <c r="N417" s="55" t="str">
        <f t="shared" si="26"/>
        <v/>
      </c>
      <c r="O417" s="56" t="str">
        <f t="shared" si="27"/>
        <v/>
      </c>
      <c r="P417" s="51"/>
      <c r="R417" s="57" t="str">
        <f>IF(AND($E417=RelConducteur,$J417="Professionnel",ISNUMBER($C417),$C417&gt;=RelDebut,$C417&lt;=RelFin),COUNTIFS($E$9:$E417,RelConducteur,$J$9:$J417,"Professionnel",$C$9:$C417,"&gt;="&amp;RelDebut,$C$9:$C417,"&lt;="&amp;RelFin),"")</f>
        <v/>
      </c>
    </row>
    <row r="418" spans="2:18" ht="18" customHeight="1" x14ac:dyDescent="0.25">
      <c r="B418" s="48" t="str">
        <f>IF(C418="","",COUNT($C$9:C418))</f>
        <v/>
      </c>
      <c r="C418" s="49"/>
      <c r="D418" s="50"/>
      <c r="E418" s="51"/>
      <c r="F418" s="52" t="str">
        <f t="shared" si="24"/>
        <v/>
      </c>
      <c r="G418" s="51"/>
      <c r="H418" s="51"/>
      <c r="I418" s="51"/>
      <c r="J418" s="51"/>
      <c r="K418" s="53"/>
      <c r="L418" s="53"/>
      <c r="M418" s="54" t="str">
        <f t="shared" si="25"/>
        <v/>
      </c>
      <c r="N418" s="55" t="str">
        <f t="shared" si="26"/>
        <v/>
      </c>
      <c r="O418" s="56" t="str">
        <f t="shared" si="27"/>
        <v/>
      </c>
      <c r="P418" s="51"/>
      <c r="R418" s="57" t="str">
        <f>IF(AND($E418=RelConducteur,$J418="Professionnel",ISNUMBER($C418),$C418&gt;=RelDebut,$C418&lt;=RelFin),COUNTIFS($E$9:$E418,RelConducteur,$J$9:$J418,"Professionnel",$C$9:$C418,"&gt;="&amp;RelDebut,$C$9:$C418,"&lt;="&amp;RelFin),"")</f>
        <v/>
      </c>
    </row>
    <row r="419" spans="2:18" ht="18" customHeight="1" x14ac:dyDescent="0.25">
      <c r="B419" s="48" t="str">
        <f>IF(C419="","",COUNT($C$9:C419))</f>
        <v/>
      </c>
      <c r="C419" s="49"/>
      <c r="D419" s="50"/>
      <c r="E419" s="51"/>
      <c r="F419" s="52" t="str">
        <f t="shared" si="24"/>
        <v/>
      </c>
      <c r="G419" s="51"/>
      <c r="H419" s="51"/>
      <c r="I419" s="51"/>
      <c r="J419" s="51"/>
      <c r="K419" s="53"/>
      <c r="L419" s="53"/>
      <c r="M419" s="54" t="str">
        <f t="shared" si="25"/>
        <v/>
      </c>
      <c r="N419" s="55" t="str">
        <f t="shared" si="26"/>
        <v/>
      </c>
      <c r="O419" s="56" t="str">
        <f t="shared" si="27"/>
        <v/>
      </c>
      <c r="P419" s="51"/>
      <c r="R419" s="57" t="str">
        <f>IF(AND($E419=RelConducteur,$J419="Professionnel",ISNUMBER($C419),$C419&gt;=RelDebut,$C419&lt;=RelFin),COUNTIFS($E$9:$E419,RelConducteur,$J$9:$J419,"Professionnel",$C$9:$C419,"&gt;="&amp;RelDebut,$C$9:$C419,"&lt;="&amp;RelFin),"")</f>
        <v/>
      </c>
    </row>
    <row r="420" spans="2:18" ht="18" customHeight="1" x14ac:dyDescent="0.25">
      <c r="B420" s="48" t="str">
        <f>IF(C420="","",COUNT($C$9:C420))</f>
        <v/>
      </c>
      <c r="C420" s="49"/>
      <c r="D420" s="50"/>
      <c r="E420" s="51"/>
      <c r="F420" s="52" t="str">
        <f t="shared" si="24"/>
        <v/>
      </c>
      <c r="G420" s="51"/>
      <c r="H420" s="51"/>
      <c r="I420" s="51"/>
      <c r="J420" s="51"/>
      <c r="K420" s="53"/>
      <c r="L420" s="53"/>
      <c r="M420" s="54" t="str">
        <f t="shared" si="25"/>
        <v/>
      </c>
      <c r="N420" s="55" t="str">
        <f t="shared" si="26"/>
        <v/>
      </c>
      <c r="O420" s="56" t="str">
        <f t="shared" si="27"/>
        <v/>
      </c>
      <c r="P420" s="51"/>
      <c r="R420" s="57" t="str">
        <f>IF(AND($E420=RelConducteur,$J420="Professionnel",ISNUMBER($C420),$C420&gt;=RelDebut,$C420&lt;=RelFin),COUNTIFS($E$9:$E420,RelConducteur,$J$9:$J420,"Professionnel",$C$9:$C420,"&gt;="&amp;RelDebut,$C$9:$C420,"&lt;="&amp;RelFin),"")</f>
        <v/>
      </c>
    </row>
    <row r="421" spans="2:18" ht="18" customHeight="1" x14ac:dyDescent="0.25">
      <c r="B421" s="48" t="str">
        <f>IF(C421="","",COUNT($C$9:C421))</f>
        <v/>
      </c>
      <c r="C421" s="49"/>
      <c r="D421" s="50"/>
      <c r="E421" s="51"/>
      <c r="F421" s="52" t="str">
        <f t="shared" si="24"/>
        <v/>
      </c>
      <c r="G421" s="51"/>
      <c r="H421" s="51"/>
      <c r="I421" s="51"/>
      <c r="J421" s="51"/>
      <c r="K421" s="53"/>
      <c r="L421" s="53"/>
      <c r="M421" s="54" t="str">
        <f t="shared" si="25"/>
        <v/>
      </c>
      <c r="N421" s="55" t="str">
        <f t="shared" si="26"/>
        <v/>
      </c>
      <c r="O421" s="56" t="str">
        <f t="shared" si="27"/>
        <v/>
      </c>
      <c r="P421" s="51"/>
      <c r="R421" s="57" t="str">
        <f>IF(AND($E421=RelConducteur,$J421="Professionnel",ISNUMBER($C421),$C421&gt;=RelDebut,$C421&lt;=RelFin),COUNTIFS($E$9:$E421,RelConducteur,$J$9:$J421,"Professionnel",$C$9:$C421,"&gt;="&amp;RelDebut,$C$9:$C421,"&lt;="&amp;RelFin),"")</f>
        <v/>
      </c>
    </row>
    <row r="422" spans="2:18" ht="18" customHeight="1" x14ac:dyDescent="0.25">
      <c r="B422" s="48" t="str">
        <f>IF(C422="","",COUNT($C$9:C422))</f>
        <v/>
      </c>
      <c r="C422" s="49"/>
      <c r="D422" s="50"/>
      <c r="E422" s="51"/>
      <c r="F422" s="52" t="str">
        <f t="shared" si="24"/>
        <v/>
      </c>
      <c r="G422" s="51"/>
      <c r="H422" s="51"/>
      <c r="I422" s="51"/>
      <c r="J422" s="51"/>
      <c r="K422" s="53"/>
      <c r="L422" s="53"/>
      <c r="M422" s="54" t="str">
        <f t="shared" si="25"/>
        <v/>
      </c>
      <c r="N422" s="55" t="str">
        <f t="shared" si="26"/>
        <v/>
      </c>
      <c r="O422" s="56" t="str">
        <f t="shared" si="27"/>
        <v/>
      </c>
      <c r="P422" s="51"/>
      <c r="R422" s="57" t="str">
        <f>IF(AND($E422=RelConducteur,$J422="Professionnel",ISNUMBER($C422),$C422&gt;=RelDebut,$C422&lt;=RelFin),COUNTIFS($E$9:$E422,RelConducteur,$J$9:$J422,"Professionnel",$C$9:$C422,"&gt;="&amp;RelDebut,$C$9:$C422,"&lt;="&amp;RelFin),"")</f>
        <v/>
      </c>
    </row>
    <row r="423" spans="2:18" ht="18" customHeight="1" x14ac:dyDescent="0.25">
      <c r="B423" s="48" t="str">
        <f>IF(C423="","",COUNT($C$9:C423))</f>
        <v/>
      </c>
      <c r="C423" s="49"/>
      <c r="D423" s="50"/>
      <c r="E423" s="51"/>
      <c r="F423" s="52" t="str">
        <f t="shared" si="24"/>
        <v/>
      </c>
      <c r="G423" s="51"/>
      <c r="H423" s="51"/>
      <c r="I423" s="51"/>
      <c r="J423" s="51"/>
      <c r="K423" s="53"/>
      <c r="L423" s="53"/>
      <c r="M423" s="54" t="str">
        <f t="shared" si="25"/>
        <v/>
      </c>
      <c r="N423" s="55" t="str">
        <f t="shared" si="26"/>
        <v/>
      </c>
      <c r="O423" s="56" t="str">
        <f t="shared" si="27"/>
        <v/>
      </c>
      <c r="P423" s="51"/>
      <c r="R423" s="57" t="str">
        <f>IF(AND($E423=RelConducteur,$J423="Professionnel",ISNUMBER($C423),$C423&gt;=RelDebut,$C423&lt;=RelFin),COUNTIFS($E$9:$E423,RelConducteur,$J$9:$J423,"Professionnel",$C$9:$C423,"&gt;="&amp;RelDebut,$C$9:$C423,"&lt;="&amp;RelFin),"")</f>
        <v/>
      </c>
    </row>
    <row r="424" spans="2:18" ht="18" customHeight="1" x14ac:dyDescent="0.25">
      <c r="B424" s="48" t="str">
        <f>IF(C424="","",COUNT($C$9:C424))</f>
        <v/>
      </c>
      <c r="C424" s="49"/>
      <c r="D424" s="50"/>
      <c r="E424" s="51"/>
      <c r="F424" s="52" t="str">
        <f t="shared" si="24"/>
        <v/>
      </c>
      <c r="G424" s="51"/>
      <c r="H424" s="51"/>
      <c r="I424" s="51"/>
      <c r="J424" s="51"/>
      <c r="K424" s="53"/>
      <c r="L424" s="53"/>
      <c r="M424" s="54" t="str">
        <f t="shared" si="25"/>
        <v/>
      </c>
      <c r="N424" s="55" t="str">
        <f t="shared" si="26"/>
        <v/>
      </c>
      <c r="O424" s="56" t="str">
        <f t="shared" si="27"/>
        <v/>
      </c>
      <c r="P424" s="51"/>
      <c r="R424" s="57" t="str">
        <f>IF(AND($E424=RelConducteur,$J424="Professionnel",ISNUMBER($C424),$C424&gt;=RelDebut,$C424&lt;=RelFin),COUNTIFS($E$9:$E424,RelConducteur,$J$9:$J424,"Professionnel",$C$9:$C424,"&gt;="&amp;RelDebut,$C$9:$C424,"&lt;="&amp;RelFin),"")</f>
        <v/>
      </c>
    </row>
    <row r="425" spans="2:18" ht="18" customHeight="1" x14ac:dyDescent="0.25">
      <c r="B425" s="48" t="str">
        <f>IF(C425="","",COUNT($C$9:C425))</f>
        <v/>
      </c>
      <c r="C425" s="49"/>
      <c r="D425" s="50"/>
      <c r="E425" s="51"/>
      <c r="F425" s="52" t="str">
        <f t="shared" si="24"/>
        <v/>
      </c>
      <c r="G425" s="51"/>
      <c r="H425" s="51"/>
      <c r="I425" s="51"/>
      <c r="J425" s="51"/>
      <c r="K425" s="53"/>
      <c r="L425" s="53"/>
      <c r="M425" s="54" t="str">
        <f t="shared" si="25"/>
        <v/>
      </c>
      <c r="N425" s="55" t="str">
        <f t="shared" si="26"/>
        <v/>
      </c>
      <c r="O425" s="56" t="str">
        <f t="shared" si="27"/>
        <v/>
      </c>
      <c r="P425" s="51"/>
      <c r="R425" s="57" t="str">
        <f>IF(AND($E425=RelConducteur,$J425="Professionnel",ISNUMBER($C425),$C425&gt;=RelDebut,$C425&lt;=RelFin),COUNTIFS($E$9:$E425,RelConducteur,$J$9:$J425,"Professionnel",$C$9:$C425,"&gt;="&amp;RelDebut,$C$9:$C425,"&lt;="&amp;RelFin),"")</f>
        <v/>
      </c>
    </row>
    <row r="426" spans="2:18" ht="18" customHeight="1" x14ac:dyDescent="0.25">
      <c r="B426" s="48" t="str">
        <f>IF(C426="","",COUNT($C$9:C426))</f>
        <v/>
      </c>
      <c r="C426" s="49"/>
      <c r="D426" s="50"/>
      <c r="E426" s="51"/>
      <c r="F426" s="52" t="str">
        <f t="shared" si="24"/>
        <v/>
      </c>
      <c r="G426" s="51"/>
      <c r="H426" s="51"/>
      <c r="I426" s="51"/>
      <c r="J426" s="51"/>
      <c r="K426" s="53"/>
      <c r="L426" s="53"/>
      <c r="M426" s="54" t="str">
        <f t="shared" si="25"/>
        <v/>
      </c>
      <c r="N426" s="55" t="str">
        <f t="shared" si="26"/>
        <v/>
      </c>
      <c r="O426" s="56" t="str">
        <f t="shared" si="27"/>
        <v/>
      </c>
      <c r="P426" s="51"/>
      <c r="R426" s="57" t="str">
        <f>IF(AND($E426=RelConducteur,$J426="Professionnel",ISNUMBER($C426),$C426&gt;=RelDebut,$C426&lt;=RelFin),COUNTIFS($E$9:$E426,RelConducteur,$J$9:$J426,"Professionnel",$C$9:$C426,"&gt;="&amp;RelDebut,$C$9:$C426,"&lt;="&amp;RelFin),"")</f>
        <v/>
      </c>
    </row>
    <row r="427" spans="2:18" ht="18" customHeight="1" x14ac:dyDescent="0.25">
      <c r="B427" s="48" t="str">
        <f>IF(C427="","",COUNT($C$9:C427))</f>
        <v/>
      </c>
      <c r="C427" s="49"/>
      <c r="D427" s="50"/>
      <c r="E427" s="51"/>
      <c r="F427" s="52" t="str">
        <f t="shared" si="24"/>
        <v/>
      </c>
      <c r="G427" s="51"/>
      <c r="H427" s="51"/>
      <c r="I427" s="51"/>
      <c r="J427" s="51"/>
      <c r="K427" s="53"/>
      <c r="L427" s="53"/>
      <c r="M427" s="54" t="str">
        <f t="shared" si="25"/>
        <v/>
      </c>
      <c r="N427" s="55" t="str">
        <f t="shared" si="26"/>
        <v/>
      </c>
      <c r="O427" s="56" t="str">
        <f t="shared" si="27"/>
        <v/>
      </c>
      <c r="P427" s="51"/>
      <c r="R427" s="57" t="str">
        <f>IF(AND($E427=RelConducteur,$J427="Professionnel",ISNUMBER($C427),$C427&gt;=RelDebut,$C427&lt;=RelFin),COUNTIFS($E$9:$E427,RelConducteur,$J$9:$J427,"Professionnel",$C$9:$C427,"&gt;="&amp;RelDebut,$C$9:$C427,"&lt;="&amp;RelFin),"")</f>
        <v/>
      </c>
    </row>
    <row r="428" spans="2:18" ht="18" customHeight="1" x14ac:dyDescent="0.25">
      <c r="B428" s="48" t="str">
        <f>IF(C428="","",COUNT($C$9:C428))</f>
        <v/>
      </c>
      <c r="C428" s="49"/>
      <c r="D428" s="50"/>
      <c r="E428" s="51"/>
      <c r="F428" s="52" t="str">
        <f t="shared" si="24"/>
        <v/>
      </c>
      <c r="G428" s="51"/>
      <c r="H428" s="51"/>
      <c r="I428" s="51"/>
      <c r="J428" s="51"/>
      <c r="K428" s="53"/>
      <c r="L428" s="53"/>
      <c r="M428" s="54" t="str">
        <f t="shared" si="25"/>
        <v/>
      </c>
      <c r="N428" s="55" t="str">
        <f t="shared" si="26"/>
        <v/>
      </c>
      <c r="O428" s="56" t="str">
        <f t="shared" si="27"/>
        <v/>
      </c>
      <c r="P428" s="51"/>
      <c r="R428" s="57" t="str">
        <f>IF(AND($E428=RelConducteur,$J428="Professionnel",ISNUMBER($C428),$C428&gt;=RelDebut,$C428&lt;=RelFin),COUNTIFS($E$9:$E428,RelConducteur,$J$9:$J428,"Professionnel",$C$9:$C428,"&gt;="&amp;RelDebut,$C$9:$C428,"&lt;="&amp;RelFin),"")</f>
        <v/>
      </c>
    </row>
    <row r="429" spans="2:18" ht="18" customHeight="1" x14ac:dyDescent="0.25">
      <c r="B429" s="48" t="str">
        <f>IF(C429="","",COUNT($C$9:C429))</f>
        <v/>
      </c>
      <c r="C429" s="49"/>
      <c r="D429" s="50"/>
      <c r="E429" s="51"/>
      <c r="F429" s="52" t="str">
        <f t="shared" si="24"/>
        <v/>
      </c>
      <c r="G429" s="51"/>
      <c r="H429" s="51"/>
      <c r="I429" s="51"/>
      <c r="J429" s="51"/>
      <c r="K429" s="53"/>
      <c r="L429" s="53"/>
      <c r="M429" s="54" t="str">
        <f t="shared" si="25"/>
        <v/>
      </c>
      <c r="N429" s="55" t="str">
        <f t="shared" si="26"/>
        <v/>
      </c>
      <c r="O429" s="56" t="str">
        <f t="shared" si="27"/>
        <v/>
      </c>
      <c r="P429" s="51"/>
      <c r="R429" s="57" t="str">
        <f>IF(AND($E429=RelConducteur,$J429="Professionnel",ISNUMBER($C429),$C429&gt;=RelDebut,$C429&lt;=RelFin),COUNTIFS($E$9:$E429,RelConducteur,$J$9:$J429,"Professionnel",$C$9:$C429,"&gt;="&amp;RelDebut,$C$9:$C429,"&lt;="&amp;RelFin),"")</f>
        <v/>
      </c>
    </row>
    <row r="430" spans="2:18" ht="18" customHeight="1" x14ac:dyDescent="0.25">
      <c r="B430" s="48" t="str">
        <f>IF(C430="","",COUNT($C$9:C430))</f>
        <v/>
      </c>
      <c r="C430" s="49"/>
      <c r="D430" s="50"/>
      <c r="E430" s="51"/>
      <c r="F430" s="52" t="str">
        <f t="shared" si="24"/>
        <v/>
      </c>
      <c r="G430" s="51"/>
      <c r="H430" s="51"/>
      <c r="I430" s="51"/>
      <c r="J430" s="51"/>
      <c r="K430" s="53"/>
      <c r="L430" s="53"/>
      <c r="M430" s="54" t="str">
        <f t="shared" si="25"/>
        <v/>
      </c>
      <c r="N430" s="55" t="str">
        <f t="shared" si="26"/>
        <v/>
      </c>
      <c r="O430" s="56" t="str">
        <f t="shared" si="27"/>
        <v/>
      </c>
      <c r="P430" s="51"/>
      <c r="R430" s="57" t="str">
        <f>IF(AND($E430=RelConducteur,$J430="Professionnel",ISNUMBER($C430),$C430&gt;=RelDebut,$C430&lt;=RelFin),COUNTIFS($E$9:$E430,RelConducteur,$J$9:$J430,"Professionnel",$C$9:$C430,"&gt;="&amp;RelDebut,$C$9:$C430,"&lt;="&amp;RelFin),"")</f>
        <v/>
      </c>
    </row>
    <row r="431" spans="2:18" ht="18" customHeight="1" x14ac:dyDescent="0.25">
      <c r="B431" s="48" t="str">
        <f>IF(C431="","",COUNT($C$9:C431))</f>
        <v/>
      </c>
      <c r="C431" s="49"/>
      <c r="D431" s="50"/>
      <c r="E431" s="51"/>
      <c r="F431" s="52" t="str">
        <f t="shared" si="24"/>
        <v/>
      </c>
      <c r="G431" s="51"/>
      <c r="H431" s="51"/>
      <c r="I431" s="51"/>
      <c r="J431" s="51"/>
      <c r="K431" s="53"/>
      <c r="L431" s="53"/>
      <c r="M431" s="54" t="str">
        <f t="shared" si="25"/>
        <v/>
      </c>
      <c r="N431" s="55" t="str">
        <f t="shared" si="26"/>
        <v/>
      </c>
      <c r="O431" s="56" t="str">
        <f t="shared" si="27"/>
        <v/>
      </c>
      <c r="P431" s="51"/>
      <c r="R431" s="57" t="str">
        <f>IF(AND($E431=RelConducteur,$J431="Professionnel",ISNUMBER($C431),$C431&gt;=RelDebut,$C431&lt;=RelFin),COUNTIFS($E$9:$E431,RelConducteur,$J$9:$J431,"Professionnel",$C$9:$C431,"&gt;="&amp;RelDebut,$C$9:$C431,"&lt;="&amp;RelFin),"")</f>
        <v/>
      </c>
    </row>
    <row r="432" spans="2:18" ht="18" customHeight="1" x14ac:dyDescent="0.25">
      <c r="B432" s="48" t="str">
        <f>IF(C432="","",COUNT($C$9:C432))</f>
        <v/>
      </c>
      <c r="C432" s="49"/>
      <c r="D432" s="50"/>
      <c r="E432" s="51"/>
      <c r="F432" s="52" t="str">
        <f t="shared" si="24"/>
        <v/>
      </c>
      <c r="G432" s="51"/>
      <c r="H432" s="51"/>
      <c r="I432" s="51"/>
      <c r="J432" s="51"/>
      <c r="K432" s="53"/>
      <c r="L432" s="53"/>
      <c r="M432" s="54" t="str">
        <f t="shared" si="25"/>
        <v/>
      </c>
      <c r="N432" s="55" t="str">
        <f t="shared" si="26"/>
        <v/>
      </c>
      <c r="O432" s="56" t="str">
        <f t="shared" si="27"/>
        <v/>
      </c>
      <c r="P432" s="51"/>
      <c r="R432" s="57" t="str">
        <f>IF(AND($E432=RelConducteur,$J432="Professionnel",ISNUMBER($C432),$C432&gt;=RelDebut,$C432&lt;=RelFin),COUNTIFS($E$9:$E432,RelConducteur,$J$9:$J432,"Professionnel",$C$9:$C432,"&gt;="&amp;RelDebut,$C$9:$C432,"&lt;="&amp;RelFin),"")</f>
        <v/>
      </c>
    </row>
    <row r="433" spans="2:18" ht="18" customHeight="1" x14ac:dyDescent="0.25">
      <c r="B433" s="48" t="str">
        <f>IF(C433="","",COUNT($C$9:C433))</f>
        <v/>
      </c>
      <c r="C433" s="49"/>
      <c r="D433" s="50"/>
      <c r="E433" s="51"/>
      <c r="F433" s="52" t="str">
        <f t="shared" si="24"/>
        <v/>
      </c>
      <c r="G433" s="51"/>
      <c r="H433" s="51"/>
      <c r="I433" s="51"/>
      <c r="J433" s="51"/>
      <c r="K433" s="53"/>
      <c r="L433" s="53"/>
      <c r="M433" s="54" t="str">
        <f t="shared" si="25"/>
        <v/>
      </c>
      <c r="N433" s="55" t="str">
        <f t="shared" si="26"/>
        <v/>
      </c>
      <c r="O433" s="56" t="str">
        <f t="shared" si="27"/>
        <v/>
      </c>
      <c r="P433" s="51"/>
      <c r="R433" s="57" t="str">
        <f>IF(AND($E433=RelConducteur,$J433="Professionnel",ISNUMBER($C433),$C433&gt;=RelDebut,$C433&lt;=RelFin),COUNTIFS($E$9:$E433,RelConducteur,$J$9:$J433,"Professionnel",$C$9:$C433,"&gt;="&amp;RelDebut,$C$9:$C433,"&lt;="&amp;RelFin),"")</f>
        <v/>
      </c>
    </row>
    <row r="434" spans="2:18" ht="18" customHeight="1" x14ac:dyDescent="0.25">
      <c r="B434" s="48" t="str">
        <f>IF(C434="","",COUNT($C$9:C434))</f>
        <v/>
      </c>
      <c r="C434" s="49"/>
      <c r="D434" s="50"/>
      <c r="E434" s="51"/>
      <c r="F434" s="52" t="str">
        <f t="shared" si="24"/>
        <v/>
      </c>
      <c r="G434" s="51"/>
      <c r="H434" s="51"/>
      <c r="I434" s="51"/>
      <c r="J434" s="51"/>
      <c r="K434" s="53"/>
      <c r="L434" s="53"/>
      <c r="M434" s="54" t="str">
        <f t="shared" si="25"/>
        <v/>
      </c>
      <c r="N434" s="55" t="str">
        <f t="shared" si="26"/>
        <v/>
      </c>
      <c r="O434" s="56" t="str">
        <f t="shared" si="27"/>
        <v/>
      </c>
      <c r="P434" s="51"/>
      <c r="R434" s="57" t="str">
        <f>IF(AND($E434=RelConducteur,$J434="Professionnel",ISNUMBER($C434),$C434&gt;=RelDebut,$C434&lt;=RelFin),COUNTIFS($E$9:$E434,RelConducteur,$J$9:$J434,"Professionnel",$C$9:$C434,"&gt;="&amp;RelDebut,$C$9:$C434,"&lt;="&amp;RelFin),"")</f>
        <v/>
      </c>
    </row>
    <row r="435" spans="2:18" ht="18" customHeight="1" x14ac:dyDescent="0.25">
      <c r="B435" s="48" t="str">
        <f>IF(C435="","",COUNT($C$9:C435))</f>
        <v/>
      </c>
      <c r="C435" s="49"/>
      <c r="D435" s="50"/>
      <c r="E435" s="51"/>
      <c r="F435" s="52" t="str">
        <f t="shared" si="24"/>
        <v/>
      </c>
      <c r="G435" s="51"/>
      <c r="H435" s="51"/>
      <c r="I435" s="51"/>
      <c r="J435" s="51"/>
      <c r="K435" s="53"/>
      <c r="L435" s="53"/>
      <c r="M435" s="54" t="str">
        <f t="shared" si="25"/>
        <v/>
      </c>
      <c r="N435" s="55" t="str">
        <f t="shared" si="26"/>
        <v/>
      </c>
      <c r="O435" s="56" t="str">
        <f t="shared" si="27"/>
        <v/>
      </c>
      <c r="P435" s="51"/>
      <c r="R435" s="57" t="str">
        <f>IF(AND($E435=RelConducteur,$J435="Professionnel",ISNUMBER($C435),$C435&gt;=RelDebut,$C435&lt;=RelFin),COUNTIFS($E$9:$E435,RelConducteur,$J$9:$J435,"Professionnel",$C$9:$C435,"&gt;="&amp;RelDebut,$C$9:$C435,"&lt;="&amp;RelFin),"")</f>
        <v/>
      </c>
    </row>
    <row r="436" spans="2:18" ht="18" customHeight="1" x14ac:dyDescent="0.25">
      <c r="B436" s="48" t="str">
        <f>IF(C436="","",COUNT($C$9:C436))</f>
        <v/>
      </c>
      <c r="C436" s="49"/>
      <c r="D436" s="50"/>
      <c r="E436" s="51"/>
      <c r="F436" s="52" t="str">
        <f t="shared" si="24"/>
        <v/>
      </c>
      <c r="G436" s="51"/>
      <c r="H436" s="51"/>
      <c r="I436" s="51"/>
      <c r="J436" s="51"/>
      <c r="K436" s="53"/>
      <c r="L436" s="53"/>
      <c r="M436" s="54" t="str">
        <f t="shared" si="25"/>
        <v/>
      </c>
      <c r="N436" s="55" t="str">
        <f t="shared" si="26"/>
        <v/>
      </c>
      <c r="O436" s="56" t="str">
        <f t="shared" si="27"/>
        <v/>
      </c>
      <c r="P436" s="51"/>
      <c r="R436" s="57" t="str">
        <f>IF(AND($E436=RelConducteur,$J436="Professionnel",ISNUMBER($C436),$C436&gt;=RelDebut,$C436&lt;=RelFin),COUNTIFS($E$9:$E436,RelConducteur,$J$9:$J436,"Professionnel",$C$9:$C436,"&gt;="&amp;RelDebut,$C$9:$C436,"&lt;="&amp;RelFin),"")</f>
        <v/>
      </c>
    </row>
    <row r="437" spans="2:18" ht="18" customHeight="1" x14ac:dyDescent="0.25">
      <c r="B437" s="48" t="str">
        <f>IF(C437="","",COUNT($C$9:C437))</f>
        <v/>
      </c>
      <c r="C437" s="49"/>
      <c r="D437" s="50"/>
      <c r="E437" s="51"/>
      <c r="F437" s="52" t="str">
        <f t="shared" si="24"/>
        <v/>
      </c>
      <c r="G437" s="51"/>
      <c r="H437" s="51"/>
      <c r="I437" s="51"/>
      <c r="J437" s="51"/>
      <c r="K437" s="53"/>
      <c r="L437" s="53"/>
      <c r="M437" s="54" t="str">
        <f t="shared" si="25"/>
        <v/>
      </c>
      <c r="N437" s="55" t="str">
        <f t="shared" si="26"/>
        <v/>
      </c>
      <c r="O437" s="56" t="str">
        <f t="shared" si="27"/>
        <v/>
      </c>
      <c r="P437" s="51"/>
      <c r="R437" s="57" t="str">
        <f>IF(AND($E437=RelConducteur,$J437="Professionnel",ISNUMBER($C437),$C437&gt;=RelDebut,$C437&lt;=RelFin),COUNTIFS($E$9:$E437,RelConducteur,$J$9:$J437,"Professionnel",$C$9:$C437,"&gt;="&amp;RelDebut,$C$9:$C437,"&lt;="&amp;RelFin),"")</f>
        <v/>
      </c>
    </row>
    <row r="438" spans="2:18" ht="18" customHeight="1" x14ac:dyDescent="0.25">
      <c r="B438" s="48" t="str">
        <f>IF(C438="","",COUNT($C$9:C438))</f>
        <v/>
      </c>
      <c r="C438" s="49"/>
      <c r="D438" s="50"/>
      <c r="E438" s="51"/>
      <c r="F438" s="52" t="str">
        <f t="shared" si="24"/>
        <v/>
      </c>
      <c r="G438" s="51"/>
      <c r="H438" s="51"/>
      <c r="I438" s="51"/>
      <c r="J438" s="51"/>
      <c r="K438" s="53"/>
      <c r="L438" s="53"/>
      <c r="M438" s="54" t="str">
        <f t="shared" si="25"/>
        <v/>
      </c>
      <c r="N438" s="55" t="str">
        <f t="shared" si="26"/>
        <v/>
      </c>
      <c r="O438" s="56" t="str">
        <f t="shared" si="27"/>
        <v/>
      </c>
      <c r="P438" s="51"/>
      <c r="R438" s="57" t="str">
        <f>IF(AND($E438=RelConducteur,$J438="Professionnel",ISNUMBER($C438),$C438&gt;=RelDebut,$C438&lt;=RelFin),COUNTIFS($E$9:$E438,RelConducteur,$J$9:$J438,"Professionnel",$C$9:$C438,"&gt;="&amp;RelDebut,$C$9:$C438,"&lt;="&amp;RelFin),"")</f>
        <v/>
      </c>
    </row>
    <row r="439" spans="2:18" ht="18" customHeight="1" x14ac:dyDescent="0.25">
      <c r="B439" s="48" t="str">
        <f>IF(C439="","",COUNT($C$9:C439))</f>
        <v/>
      </c>
      <c r="C439" s="49"/>
      <c r="D439" s="50"/>
      <c r="E439" s="51"/>
      <c r="F439" s="52" t="str">
        <f t="shared" si="24"/>
        <v/>
      </c>
      <c r="G439" s="51"/>
      <c r="H439" s="51"/>
      <c r="I439" s="51"/>
      <c r="J439" s="51"/>
      <c r="K439" s="53"/>
      <c r="L439" s="53"/>
      <c r="M439" s="54" t="str">
        <f t="shared" si="25"/>
        <v/>
      </c>
      <c r="N439" s="55" t="str">
        <f t="shared" si="26"/>
        <v/>
      </c>
      <c r="O439" s="56" t="str">
        <f t="shared" si="27"/>
        <v/>
      </c>
      <c r="P439" s="51"/>
      <c r="R439" s="57" t="str">
        <f>IF(AND($E439=RelConducteur,$J439="Professionnel",ISNUMBER($C439),$C439&gt;=RelDebut,$C439&lt;=RelFin),COUNTIFS($E$9:$E439,RelConducteur,$J$9:$J439,"Professionnel",$C$9:$C439,"&gt;="&amp;RelDebut,$C$9:$C439,"&lt;="&amp;RelFin),"")</f>
        <v/>
      </c>
    </row>
    <row r="440" spans="2:18" ht="18" customHeight="1" x14ac:dyDescent="0.25">
      <c r="B440" s="48" t="str">
        <f>IF(C440="","",COUNT($C$9:C440))</f>
        <v/>
      </c>
      <c r="C440" s="49"/>
      <c r="D440" s="50"/>
      <c r="E440" s="51"/>
      <c r="F440" s="52" t="str">
        <f t="shared" si="24"/>
        <v/>
      </c>
      <c r="G440" s="51"/>
      <c r="H440" s="51"/>
      <c r="I440" s="51"/>
      <c r="J440" s="51"/>
      <c r="K440" s="53"/>
      <c r="L440" s="53"/>
      <c r="M440" s="54" t="str">
        <f t="shared" si="25"/>
        <v/>
      </c>
      <c r="N440" s="55" t="str">
        <f t="shared" si="26"/>
        <v/>
      </c>
      <c r="O440" s="56" t="str">
        <f t="shared" si="27"/>
        <v/>
      </c>
      <c r="P440" s="51"/>
      <c r="R440" s="57" t="str">
        <f>IF(AND($E440=RelConducteur,$J440="Professionnel",ISNUMBER($C440),$C440&gt;=RelDebut,$C440&lt;=RelFin),COUNTIFS($E$9:$E440,RelConducteur,$J$9:$J440,"Professionnel",$C$9:$C440,"&gt;="&amp;RelDebut,$C$9:$C440,"&lt;="&amp;RelFin),"")</f>
        <v/>
      </c>
    </row>
    <row r="441" spans="2:18" ht="18" customHeight="1" x14ac:dyDescent="0.25">
      <c r="B441" s="48" t="str">
        <f>IF(C441="","",COUNT($C$9:C441))</f>
        <v/>
      </c>
      <c r="C441" s="49"/>
      <c r="D441" s="50"/>
      <c r="E441" s="51"/>
      <c r="F441" s="52" t="str">
        <f t="shared" si="24"/>
        <v/>
      </c>
      <c r="G441" s="51"/>
      <c r="H441" s="51"/>
      <c r="I441" s="51"/>
      <c r="J441" s="51"/>
      <c r="K441" s="53"/>
      <c r="L441" s="53"/>
      <c r="M441" s="54" t="str">
        <f t="shared" si="25"/>
        <v/>
      </c>
      <c r="N441" s="55" t="str">
        <f t="shared" si="26"/>
        <v/>
      </c>
      <c r="O441" s="56" t="str">
        <f t="shared" si="27"/>
        <v/>
      </c>
      <c r="P441" s="51"/>
      <c r="R441" s="57" t="str">
        <f>IF(AND($E441=RelConducteur,$J441="Professionnel",ISNUMBER($C441),$C441&gt;=RelDebut,$C441&lt;=RelFin),COUNTIFS($E$9:$E441,RelConducteur,$J$9:$J441,"Professionnel",$C$9:$C441,"&gt;="&amp;RelDebut,$C$9:$C441,"&lt;="&amp;RelFin),"")</f>
        <v/>
      </c>
    </row>
    <row r="442" spans="2:18" ht="18" customHeight="1" x14ac:dyDescent="0.25">
      <c r="B442" s="48" t="str">
        <f>IF(C442="","",COUNT($C$9:C442))</f>
        <v/>
      </c>
      <c r="C442" s="49"/>
      <c r="D442" s="50"/>
      <c r="E442" s="51"/>
      <c r="F442" s="52" t="str">
        <f t="shared" si="24"/>
        <v/>
      </c>
      <c r="G442" s="51"/>
      <c r="H442" s="51"/>
      <c r="I442" s="51"/>
      <c r="J442" s="51"/>
      <c r="K442" s="53"/>
      <c r="L442" s="53"/>
      <c r="M442" s="54" t="str">
        <f t="shared" si="25"/>
        <v/>
      </c>
      <c r="N442" s="55" t="str">
        <f t="shared" si="26"/>
        <v/>
      </c>
      <c r="O442" s="56" t="str">
        <f t="shared" si="27"/>
        <v/>
      </c>
      <c r="P442" s="51"/>
      <c r="R442" s="57" t="str">
        <f>IF(AND($E442=RelConducteur,$J442="Professionnel",ISNUMBER($C442),$C442&gt;=RelDebut,$C442&lt;=RelFin),COUNTIFS($E$9:$E442,RelConducteur,$J$9:$J442,"Professionnel",$C$9:$C442,"&gt;="&amp;RelDebut,$C$9:$C442,"&lt;="&amp;RelFin),"")</f>
        <v/>
      </c>
    </row>
    <row r="443" spans="2:18" ht="18" customHeight="1" x14ac:dyDescent="0.25">
      <c r="B443" s="48" t="str">
        <f>IF(C443="","",COUNT($C$9:C443))</f>
        <v/>
      </c>
      <c r="C443" s="49"/>
      <c r="D443" s="50"/>
      <c r="E443" s="51"/>
      <c r="F443" s="52" t="str">
        <f t="shared" si="24"/>
        <v/>
      </c>
      <c r="G443" s="51"/>
      <c r="H443" s="51"/>
      <c r="I443" s="51"/>
      <c r="J443" s="51"/>
      <c r="K443" s="53"/>
      <c r="L443" s="53"/>
      <c r="M443" s="54" t="str">
        <f t="shared" si="25"/>
        <v/>
      </c>
      <c r="N443" s="55" t="str">
        <f t="shared" si="26"/>
        <v/>
      </c>
      <c r="O443" s="56" t="str">
        <f t="shared" si="27"/>
        <v/>
      </c>
      <c r="P443" s="51"/>
      <c r="R443" s="57" t="str">
        <f>IF(AND($E443=RelConducteur,$J443="Professionnel",ISNUMBER($C443),$C443&gt;=RelDebut,$C443&lt;=RelFin),COUNTIFS($E$9:$E443,RelConducteur,$J$9:$J443,"Professionnel",$C$9:$C443,"&gt;="&amp;RelDebut,$C$9:$C443,"&lt;="&amp;RelFin),"")</f>
        <v/>
      </c>
    </row>
    <row r="444" spans="2:18" ht="18" customHeight="1" x14ac:dyDescent="0.25">
      <c r="B444" s="48" t="str">
        <f>IF(C444="","",COUNT($C$9:C444))</f>
        <v/>
      </c>
      <c r="C444" s="49"/>
      <c r="D444" s="50"/>
      <c r="E444" s="51"/>
      <c r="F444" s="52" t="str">
        <f t="shared" si="24"/>
        <v/>
      </c>
      <c r="G444" s="51"/>
      <c r="H444" s="51"/>
      <c r="I444" s="51"/>
      <c r="J444" s="51"/>
      <c r="K444" s="53"/>
      <c r="L444" s="53"/>
      <c r="M444" s="54" t="str">
        <f t="shared" si="25"/>
        <v/>
      </c>
      <c r="N444" s="55" t="str">
        <f t="shared" si="26"/>
        <v/>
      </c>
      <c r="O444" s="56" t="str">
        <f t="shared" si="27"/>
        <v/>
      </c>
      <c r="P444" s="51"/>
      <c r="R444" s="57" t="str">
        <f>IF(AND($E444=RelConducteur,$J444="Professionnel",ISNUMBER($C444),$C444&gt;=RelDebut,$C444&lt;=RelFin),COUNTIFS($E$9:$E444,RelConducteur,$J$9:$J444,"Professionnel",$C$9:$C444,"&gt;="&amp;RelDebut,$C$9:$C444,"&lt;="&amp;RelFin),"")</f>
        <v/>
      </c>
    </row>
    <row r="445" spans="2:18" ht="18" customHeight="1" x14ac:dyDescent="0.25">
      <c r="B445" s="48" t="str">
        <f>IF(C445="","",COUNT($C$9:C445))</f>
        <v/>
      </c>
      <c r="C445" s="49"/>
      <c r="D445" s="50"/>
      <c r="E445" s="51"/>
      <c r="F445" s="52" t="str">
        <f t="shared" si="24"/>
        <v/>
      </c>
      <c r="G445" s="51"/>
      <c r="H445" s="51"/>
      <c r="I445" s="51"/>
      <c r="J445" s="51"/>
      <c r="K445" s="53"/>
      <c r="L445" s="53"/>
      <c r="M445" s="54" t="str">
        <f t="shared" si="25"/>
        <v/>
      </c>
      <c r="N445" s="55" t="str">
        <f t="shared" si="26"/>
        <v/>
      </c>
      <c r="O445" s="56" t="str">
        <f t="shared" si="27"/>
        <v/>
      </c>
      <c r="P445" s="51"/>
      <c r="R445" s="57" t="str">
        <f>IF(AND($E445=RelConducteur,$J445="Professionnel",ISNUMBER($C445),$C445&gt;=RelDebut,$C445&lt;=RelFin),COUNTIFS($E$9:$E445,RelConducteur,$J$9:$J445,"Professionnel",$C$9:$C445,"&gt;="&amp;RelDebut,$C$9:$C445,"&lt;="&amp;RelFin),"")</f>
        <v/>
      </c>
    </row>
    <row r="446" spans="2:18" ht="18" customHeight="1" x14ac:dyDescent="0.25">
      <c r="B446" s="48" t="str">
        <f>IF(C446="","",COUNT($C$9:C446))</f>
        <v/>
      </c>
      <c r="C446" s="49"/>
      <c r="D446" s="50"/>
      <c r="E446" s="51"/>
      <c r="F446" s="52" t="str">
        <f t="shared" si="24"/>
        <v/>
      </c>
      <c r="G446" s="51"/>
      <c r="H446" s="51"/>
      <c r="I446" s="51"/>
      <c r="J446" s="51"/>
      <c r="K446" s="53"/>
      <c r="L446" s="53"/>
      <c r="M446" s="54" t="str">
        <f t="shared" si="25"/>
        <v/>
      </c>
      <c r="N446" s="55" t="str">
        <f t="shared" si="26"/>
        <v/>
      </c>
      <c r="O446" s="56" t="str">
        <f t="shared" si="27"/>
        <v/>
      </c>
      <c r="P446" s="51"/>
      <c r="R446" s="57" t="str">
        <f>IF(AND($E446=RelConducteur,$J446="Professionnel",ISNUMBER($C446),$C446&gt;=RelDebut,$C446&lt;=RelFin),COUNTIFS($E$9:$E446,RelConducteur,$J$9:$J446,"Professionnel",$C$9:$C446,"&gt;="&amp;RelDebut,$C$9:$C446,"&lt;="&amp;RelFin),"")</f>
        <v/>
      </c>
    </row>
    <row r="447" spans="2:18" ht="18" customHeight="1" x14ac:dyDescent="0.25">
      <c r="B447" s="48" t="str">
        <f>IF(C447="","",COUNT($C$9:C447))</f>
        <v/>
      </c>
      <c r="C447" s="49"/>
      <c r="D447" s="50"/>
      <c r="E447" s="51"/>
      <c r="F447" s="52" t="str">
        <f t="shared" si="24"/>
        <v/>
      </c>
      <c r="G447" s="51"/>
      <c r="H447" s="51"/>
      <c r="I447" s="51"/>
      <c r="J447" s="51"/>
      <c r="K447" s="53"/>
      <c r="L447" s="53"/>
      <c r="M447" s="54" t="str">
        <f t="shared" si="25"/>
        <v/>
      </c>
      <c r="N447" s="55" t="str">
        <f t="shared" si="26"/>
        <v/>
      </c>
      <c r="O447" s="56" t="str">
        <f t="shared" si="27"/>
        <v/>
      </c>
      <c r="P447" s="51"/>
      <c r="R447" s="57" t="str">
        <f>IF(AND($E447=RelConducteur,$J447="Professionnel",ISNUMBER($C447),$C447&gt;=RelDebut,$C447&lt;=RelFin),COUNTIFS($E$9:$E447,RelConducteur,$J$9:$J447,"Professionnel",$C$9:$C447,"&gt;="&amp;RelDebut,$C$9:$C447,"&lt;="&amp;RelFin),"")</f>
        <v/>
      </c>
    </row>
    <row r="448" spans="2:18" ht="18" customHeight="1" x14ac:dyDescent="0.25">
      <c r="B448" s="48" t="str">
        <f>IF(C448="","",COUNT($C$9:C448))</f>
        <v/>
      </c>
      <c r="C448" s="49"/>
      <c r="D448" s="50"/>
      <c r="E448" s="51"/>
      <c r="F448" s="52" t="str">
        <f t="shared" si="24"/>
        <v/>
      </c>
      <c r="G448" s="51"/>
      <c r="H448" s="51"/>
      <c r="I448" s="51"/>
      <c r="J448" s="51"/>
      <c r="K448" s="53"/>
      <c r="L448" s="53"/>
      <c r="M448" s="54" t="str">
        <f t="shared" si="25"/>
        <v/>
      </c>
      <c r="N448" s="55" t="str">
        <f t="shared" si="26"/>
        <v/>
      </c>
      <c r="O448" s="56" t="str">
        <f t="shared" si="27"/>
        <v/>
      </c>
      <c r="P448" s="51"/>
      <c r="R448" s="57" t="str">
        <f>IF(AND($E448=RelConducteur,$J448="Professionnel",ISNUMBER($C448),$C448&gt;=RelDebut,$C448&lt;=RelFin),COUNTIFS($E$9:$E448,RelConducteur,$J$9:$J448,"Professionnel",$C$9:$C448,"&gt;="&amp;RelDebut,$C$9:$C448,"&lt;="&amp;RelFin),"")</f>
        <v/>
      </c>
    </row>
    <row r="449" spans="2:18" ht="18" customHeight="1" x14ac:dyDescent="0.25">
      <c r="B449" s="48" t="str">
        <f>IF(C449="","",COUNT($C$9:C449))</f>
        <v/>
      </c>
      <c r="C449" s="49"/>
      <c r="D449" s="50"/>
      <c r="E449" s="51"/>
      <c r="F449" s="52" t="str">
        <f t="shared" si="24"/>
        <v/>
      </c>
      <c r="G449" s="51"/>
      <c r="H449" s="51"/>
      <c r="I449" s="51"/>
      <c r="J449" s="51"/>
      <c r="K449" s="53"/>
      <c r="L449" s="53"/>
      <c r="M449" s="54" t="str">
        <f t="shared" si="25"/>
        <v/>
      </c>
      <c r="N449" s="55" t="str">
        <f t="shared" si="26"/>
        <v/>
      </c>
      <c r="O449" s="56" t="str">
        <f t="shared" si="27"/>
        <v/>
      </c>
      <c r="P449" s="51"/>
      <c r="R449" s="57" t="str">
        <f>IF(AND($E449=RelConducteur,$J449="Professionnel",ISNUMBER($C449),$C449&gt;=RelDebut,$C449&lt;=RelFin),COUNTIFS($E$9:$E449,RelConducteur,$J$9:$J449,"Professionnel",$C$9:$C449,"&gt;="&amp;RelDebut,$C$9:$C449,"&lt;="&amp;RelFin),"")</f>
        <v/>
      </c>
    </row>
    <row r="450" spans="2:18" ht="18" customHeight="1" x14ac:dyDescent="0.25">
      <c r="B450" s="48" t="str">
        <f>IF(C450="","",COUNT($C$9:C450))</f>
        <v/>
      </c>
      <c r="C450" s="49"/>
      <c r="D450" s="50"/>
      <c r="E450" s="51"/>
      <c r="F450" s="52" t="str">
        <f t="shared" si="24"/>
        <v/>
      </c>
      <c r="G450" s="51"/>
      <c r="H450" s="51"/>
      <c r="I450" s="51"/>
      <c r="J450" s="51"/>
      <c r="K450" s="53"/>
      <c r="L450" s="53"/>
      <c r="M450" s="54" t="str">
        <f t="shared" si="25"/>
        <v/>
      </c>
      <c r="N450" s="55" t="str">
        <f t="shared" si="26"/>
        <v/>
      </c>
      <c r="O450" s="56" t="str">
        <f t="shared" si="27"/>
        <v/>
      </c>
      <c r="P450" s="51"/>
      <c r="R450" s="57" t="str">
        <f>IF(AND($E450=RelConducteur,$J450="Professionnel",ISNUMBER($C450),$C450&gt;=RelDebut,$C450&lt;=RelFin),COUNTIFS($E$9:$E450,RelConducteur,$J$9:$J450,"Professionnel",$C$9:$C450,"&gt;="&amp;RelDebut,$C$9:$C450,"&lt;="&amp;RelFin),"")</f>
        <v/>
      </c>
    </row>
    <row r="451" spans="2:18" ht="18" customHeight="1" x14ac:dyDescent="0.25">
      <c r="B451" s="48" t="str">
        <f>IF(C451="","",COUNT($C$9:C451))</f>
        <v/>
      </c>
      <c r="C451" s="49"/>
      <c r="D451" s="50"/>
      <c r="E451" s="51"/>
      <c r="F451" s="52" t="str">
        <f t="shared" si="24"/>
        <v/>
      </c>
      <c r="G451" s="51"/>
      <c r="H451" s="51"/>
      <c r="I451" s="51"/>
      <c r="J451" s="51"/>
      <c r="K451" s="53"/>
      <c r="L451" s="53"/>
      <c r="M451" s="54" t="str">
        <f t="shared" si="25"/>
        <v/>
      </c>
      <c r="N451" s="55" t="str">
        <f t="shared" si="26"/>
        <v/>
      </c>
      <c r="O451" s="56" t="str">
        <f t="shared" si="27"/>
        <v/>
      </c>
      <c r="P451" s="51"/>
      <c r="R451" s="57" t="str">
        <f>IF(AND($E451=RelConducteur,$J451="Professionnel",ISNUMBER($C451),$C451&gt;=RelDebut,$C451&lt;=RelFin),COUNTIFS($E$9:$E451,RelConducteur,$J$9:$J451,"Professionnel",$C$9:$C451,"&gt;="&amp;RelDebut,$C$9:$C451,"&lt;="&amp;RelFin),"")</f>
        <v/>
      </c>
    </row>
    <row r="452" spans="2:18" ht="18" customHeight="1" x14ac:dyDescent="0.25">
      <c r="B452" s="48" t="str">
        <f>IF(C452="","",COUNT($C$9:C452))</f>
        <v/>
      </c>
      <c r="C452" s="49"/>
      <c r="D452" s="50"/>
      <c r="E452" s="51"/>
      <c r="F452" s="52" t="str">
        <f t="shared" si="24"/>
        <v/>
      </c>
      <c r="G452" s="51"/>
      <c r="H452" s="51"/>
      <c r="I452" s="51"/>
      <c r="J452" s="51"/>
      <c r="K452" s="53"/>
      <c r="L452" s="53"/>
      <c r="M452" s="54" t="str">
        <f t="shared" si="25"/>
        <v/>
      </c>
      <c r="N452" s="55" t="str">
        <f t="shared" si="26"/>
        <v/>
      </c>
      <c r="O452" s="56" t="str">
        <f t="shared" si="27"/>
        <v/>
      </c>
      <c r="P452" s="51"/>
      <c r="R452" s="57" t="str">
        <f>IF(AND($E452=RelConducteur,$J452="Professionnel",ISNUMBER($C452),$C452&gt;=RelDebut,$C452&lt;=RelFin),COUNTIFS($E$9:$E452,RelConducteur,$J$9:$J452,"Professionnel",$C$9:$C452,"&gt;="&amp;RelDebut,$C$9:$C452,"&lt;="&amp;RelFin),"")</f>
        <v/>
      </c>
    </row>
    <row r="453" spans="2:18" ht="18" customHeight="1" x14ac:dyDescent="0.25">
      <c r="B453" s="48" t="str">
        <f>IF(C453="","",COUNT($C$9:C453))</f>
        <v/>
      </c>
      <c r="C453" s="49"/>
      <c r="D453" s="50"/>
      <c r="E453" s="51"/>
      <c r="F453" s="52" t="str">
        <f t="shared" si="24"/>
        <v/>
      </c>
      <c r="G453" s="51"/>
      <c r="H453" s="51"/>
      <c r="I453" s="51"/>
      <c r="J453" s="51"/>
      <c r="K453" s="53"/>
      <c r="L453" s="53"/>
      <c r="M453" s="54" t="str">
        <f t="shared" si="25"/>
        <v/>
      </c>
      <c r="N453" s="55" t="str">
        <f t="shared" si="26"/>
        <v/>
      </c>
      <c r="O453" s="56" t="str">
        <f t="shared" si="27"/>
        <v/>
      </c>
      <c r="P453" s="51"/>
      <c r="R453" s="57" t="str">
        <f>IF(AND($E453=RelConducteur,$J453="Professionnel",ISNUMBER($C453),$C453&gt;=RelDebut,$C453&lt;=RelFin),COUNTIFS($E$9:$E453,RelConducteur,$J$9:$J453,"Professionnel",$C$9:$C453,"&gt;="&amp;RelDebut,$C$9:$C453,"&lt;="&amp;RelFin),"")</f>
        <v/>
      </c>
    </row>
    <row r="454" spans="2:18" ht="18" customHeight="1" x14ac:dyDescent="0.25">
      <c r="B454" s="48" t="str">
        <f>IF(C454="","",COUNT($C$9:C454))</f>
        <v/>
      </c>
      <c r="C454" s="49"/>
      <c r="D454" s="50"/>
      <c r="E454" s="51"/>
      <c r="F454" s="52" t="str">
        <f t="shared" si="24"/>
        <v/>
      </c>
      <c r="G454" s="51"/>
      <c r="H454" s="51"/>
      <c r="I454" s="51"/>
      <c r="J454" s="51"/>
      <c r="K454" s="53"/>
      <c r="L454" s="53"/>
      <c r="M454" s="54" t="str">
        <f t="shared" si="25"/>
        <v/>
      </c>
      <c r="N454" s="55" t="str">
        <f t="shared" si="26"/>
        <v/>
      </c>
      <c r="O454" s="56" t="str">
        <f t="shared" si="27"/>
        <v/>
      </c>
      <c r="P454" s="51"/>
      <c r="R454" s="57" t="str">
        <f>IF(AND($E454=RelConducteur,$J454="Professionnel",ISNUMBER($C454),$C454&gt;=RelDebut,$C454&lt;=RelFin),COUNTIFS($E$9:$E454,RelConducteur,$J$9:$J454,"Professionnel",$C$9:$C454,"&gt;="&amp;RelDebut,$C$9:$C454,"&lt;="&amp;RelFin),"")</f>
        <v/>
      </c>
    </row>
    <row r="455" spans="2:18" ht="18" customHeight="1" x14ac:dyDescent="0.25">
      <c r="B455" s="48" t="str">
        <f>IF(C455="","",COUNT($C$9:C455))</f>
        <v/>
      </c>
      <c r="C455" s="49"/>
      <c r="D455" s="50"/>
      <c r="E455" s="51"/>
      <c r="F455" s="52" t="str">
        <f t="shared" si="24"/>
        <v/>
      </c>
      <c r="G455" s="51"/>
      <c r="H455" s="51"/>
      <c r="I455" s="51"/>
      <c r="J455" s="51"/>
      <c r="K455" s="53"/>
      <c r="L455" s="53"/>
      <c r="M455" s="54" t="str">
        <f t="shared" si="25"/>
        <v/>
      </c>
      <c r="N455" s="55" t="str">
        <f t="shared" si="26"/>
        <v/>
      </c>
      <c r="O455" s="56" t="str">
        <f t="shared" si="27"/>
        <v/>
      </c>
      <c r="P455" s="51"/>
      <c r="R455" s="57" t="str">
        <f>IF(AND($E455=RelConducteur,$J455="Professionnel",ISNUMBER($C455),$C455&gt;=RelDebut,$C455&lt;=RelFin),COUNTIFS($E$9:$E455,RelConducteur,$J$9:$J455,"Professionnel",$C$9:$C455,"&gt;="&amp;RelDebut,$C$9:$C455,"&lt;="&amp;RelFin),"")</f>
        <v/>
      </c>
    </row>
    <row r="456" spans="2:18" ht="18" customHeight="1" x14ac:dyDescent="0.25">
      <c r="B456" s="48" t="str">
        <f>IF(C456="","",COUNT($C$9:C456))</f>
        <v/>
      </c>
      <c r="C456" s="49"/>
      <c r="D456" s="50"/>
      <c r="E456" s="51"/>
      <c r="F456" s="52" t="str">
        <f t="shared" si="24"/>
        <v/>
      </c>
      <c r="G456" s="51"/>
      <c r="H456" s="51"/>
      <c r="I456" s="51"/>
      <c r="J456" s="51"/>
      <c r="K456" s="53"/>
      <c r="L456" s="53"/>
      <c r="M456" s="54" t="str">
        <f t="shared" si="25"/>
        <v/>
      </c>
      <c r="N456" s="55" t="str">
        <f t="shared" si="26"/>
        <v/>
      </c>
      <c r="O456" s="56" t="str">
        <f t="shared" si="27"/>
        <v/>
      </c>
      <c r="P456" s="51"/>
      <c r="R456" s="57" t="str">
        <f>IF(AND($E456=RelConducteur,$J456="Professionnel",ISNUMBER($C456),$C456&gt;=RelDebut,$C456&lt;=RelFin),COUNTIFS($E$9:$E456,RelConducteur,$J$9:$J456,"Professionnel",$C$9:$C456,"&gt;="&amp;RelDebut,$C$9:$C456,"&lt;="&amp;RelFin),"")</f>
        <v/>
      </c>
    </row>
    <row r="457" spans="2:18" ht="18" customHeight="1" x14ac:dyDescent="0.25">
      <c r="B457" s="48" t="str">
        <f>IF(C457="","",COUNT($C$9:C457))</f>
        <v/>
      </c>
      <c r="C457" s="49"/>
      <c r="D457" s="50"/>
      <c r="E457" s="51"/>
      <c r="F457" s="52" t="str">
        <f t="shared" ref="F457:F520" si="28">IF(OR(C457="",E457=""),"",IFERROR(INDEX(CondService,MATCH(E457,CondNoms,0))&amp;"","Conducteur inconnu"))</f>
        <v/>
      </c>
      <c r="G457" s="51"/>
      <c r="H457" s="51"/>
      <c r="I457" s="51"/>
      <c r="J457" s="51"/>
      <c r="K457" s="53"/>
      <c r="L457" s="53"/>
      <c r="M457" s="54" t="str">
        <f t="shared" ref="M457:M520" si="29">IF(OR(K457="",L457=""),"",L457-K457)</f>
        <v/>
      </c>
      <c r="N457" s="55" t="str">
        <f t="shared" si="26"/>
        <v/>
      </c>
      <c r="O457" s="56" t="str">
        <f t="shared" si="27"/>
        <v/>
      </c>
      <c r="P457" s="51"/>
      <c r="R457" s="57" t="str">
        <f>IF(AND($E457=RelConducteur,$J457="Professionnel",ISNUMBER($C457),$C457&gt;=RelDebut,$C457&lt;=RelFin),COUNTIFS($E$9:$E457,RelConducteur,$J$9:$J457,"Professionnel",$C$9:$C457,"&gt;="&amp;RelDebut,$C$9:$C457,"&lt;="&amp;RelFin),"")</f>
        <v/>
      </c>
    </row>
    <row r="458" spans="2:18" ht="18" customHeight="1" x14ac:dyDescent="0.25">
      <c r="B458" s="48" t="str">
        <f>IF(C458="","",COUNT($C$9:C458))</f>
        <v/>
      </c>
      <c r="C458" s="49"/>
      <c r="D458" s="50"/>
      <c r="E458" s="51"/>
      <c r="F458" s="52" t="str">
        <f t="shared" si="28"/>
        <v/>
      </c>
      <c r="G458" s="51"/>
      <c r="H458" s="51"/>
      <c r="I458" s="51"/>
      <c r="J458" s="51"/>
      <c r="K458" s="53"/>
      <c r="L458" s="53"/>
      <c r="M458" s="54" t="str">
        <f t="shared" si="29"/>
        <v/>
      </c>
      <c r="N458" s="55" t="str">
        <f t="shared" ref="N458:N521" si="30">IF(OR(C458="",K458="",L457=""),"",K458-L457)</f>
        <v/>
      </c>
      <c r="O458" s="56" t="str">
        <f t="shared" ref="O458:O521" si="31">IF(C458="","",IF(OR(E458="",G458="",H458="",J458="",K458="",L458="",AND(J458="Professionnel",I458="")),"Incomplet",IF(AND(ISNUMBER(C457),C458&lt;C457),"Ordre des dates",IF(L458&lt;K458,"Compteur incohérent",IF(AND(ISNUMBER(N458),N458&gt;ToleranceKm),"Km non enregistrés",IF(AND(ISNUMBER(N458),N458&lt;-ToleranceKm),"Chevauchement",IF(AND(J458="Personnel",UsagePrive="Non"),"Usage privé non autorisé","Conforme")))))))</f>
        <v/>
      </c>
      <c r="P458" s="51"/>
      <c r="R458" s="57" t="str">
        <f>IF(AND($E458=RelConducteur,$J458="Professionnel",ISNUMBER($C458),$C458&gt;=RelDebut,$C458&lt;=RelFin),COUNTIFS($E$9:$E458,RelConducteur,$J$9:$J458,"Professionnel",$C$9:$C458,"&gt;="&amp;RelDebut,$C$9:$C458,"&lt;="&amp;RelFin),"")</f>
        <v/>
      </c>
    </row>
    <row r="459" spans="2:18" ht="18" customHeight="1" x14ac:dyDescent="0.25">
      <c r="B459" s="48" t="str">
        <f>IF(C459="","",COUNT($C$9:C459))</f>
        <v/>
      </c>
      <c r="C459" s="49"/>
      <c r="D459" s="50"/>
      <c r="E459" s="51"/>
      <c r="F459" s="52" t="str">
        <f t="shared" si="28"/>
        <v/>
      </c>
      <c r="G459" s="51"/>
      <c r="H459" s="51"/>
      <c r="I459" s="51"/>
      <c r="J459" s="51"/>
      <c r="K459" s="53"/>
      <c r="L459" s="53"/>
      <c r="M459" s="54" t="str">
        <f t="shared" si="29"/>
        <v/>
      </c>
      <c r="N459" s="55" t="str">
        <f t="shared" si="30"/>
        <v/>
      </c>
      <c r="O459" s="56" t="str">
        <f t="shared" si="31"/>
        <v/>
      </c>
      <c r="P459" s="51"/>
      <c r="R459" s="57" t="str">
        <f>IF(AND($E459=RelConducteur,$J459="Professionnel",ISNUMBER($C459),$C459&gt;=RelDebut,$C459&lt;=RelFin),COUNTIFS($E$9:$E459,RelConducteur,$J$9:$J459,"Professionnel",$C$9:$C459,"&gt;="&amp;RelDebut,$C$9:$C459,"&lt;="&amp;RelFin),"")</f>
        <v/>
      </c>
    </row>
    <row r="460" spans="2:18" ht="18" customHeight="1" x14ac:dyDescent="0.25">
      <c r="B460" s="48" t="str">
        <f>IF(C460="","",COUNT($C$9:C460))</f>
        <v/>
      </c>
      <c r="C460" s="49"/>
      <c r="D460" s="50"/>
      <c r="E460" s="51"/>
      <c r="F460" s="52" t="str">
        <f t="shared" si="28"/>
        <v/>
      </c>
      <c r="G460" s="51"/>
      <c r="H460" s="51"/>
      <c r="I460" s="51"/>
      <c r="J460" s="51"/>
      <c r="K460" s="53"/>
      <c r="L460" s="53"/>
      <c r="M460" s="54" t="str">
        <f t="shared" si="29"/>
        <v/>
      </c>
      <c r="N460" s="55" t="str">
        <f t="shared" si="30"/>
        <v/>
      </c>
      <c r="O460" s="56" t="str">
        <f t="shared" si="31"/>
        <v/>
      </c>
      <c r="P460" s="51"/>
      <c r="R460" s="57" t="str">
        <f>IF(AND($E460=RelConducteur,$J460="Professionnel",ISNUMBER($C460),$C460&gt;=RelDebut,$C460&lt;=RelFin),COUNTIFS($E$9:$E460,RelConducteur,$J$9:$J460,"Professionnel",$C$9:$C460,"&gt;="&amp;RelDebut,$C$9:$C460,"&lt;="&amp;RelFin),"")</f>
        <v/>
      </c>
    </row>
    <row r="461" spans="2:18" ht="18" customHeight="1" x14ac:dyDescent="0.25">
      <c r="B461" s="48" t="str">
        <f>IF(C461="","",COUNT($C$9:C461))</f>
        <v/>
      </c>
      <c r="C461" s="49"/>
      <c r="D461" s="50"/>
      <c r="E461" s="51"/>
      <c r="F461" s="52" t="str">
        <f t="shared" si="28"/>
        <v/>
      </c>
      <c r="G461" s="51"/>
      <c r="H461" s="51"/>
      <c r="I461" s="51"/>
      <c r="J461" s="51"/>
      <c r="K461" s="53"/>
      <c r="L461" s="53"/>
      <c r="M461" s="54" t="str">
        <f t="shared" si="29"/>
        <v/>
      </c>
      <c r="N461" s="55" t="str">
        <f t="shared" si="30"/>
        <v/>
      </c>
      <c r="O461" s="56" t="str">
        <f t="shared" si="31"/>
        <v/>
      </c>
      <c r="P461" s="51"/>
      <c r="R461" s="57" t="str">
        <f>IF(AND($E461=RelConducteur,$J461="Professionnel",ISNUMBER($C461),$C461&gt;=RelDebut,$C461&lt;=RelFin),COUNTIFS($E$9:$E461,RelConducteur,$J$9:$J461,"Professionnel",$C$9:$C461,"&gt;="&amp;RelDebut,$C$9:$C461,"&lt;="&amp;RelFin),"")</f>
        <v/>
      </c>
    </row>
    <row r="462" spans="2:18" ht="18" customHeight="1" x14ac:dyDescent="0.25">
      <c r="B462" s="48" t="str">
        <f>IF(C462="","",COUNT($C$9:C462))</f>
        <v/>
      </c>
      <c r="C462" s="49"/>
      <c r="D462" s="50"/>
      <c r="E462" s="51"/>
      <c r="F462" s="52" t="str">
        <f t="shared" si="28"/>
        <v/>
      </c>
      <c r="G462" s="51"/>
      <c r="H462" s="51"/>
      <c r="I462" s="51"/>
      <c r="J462" s="51"/>
      <c r="K462" s="53"/>
      <c r="L462" s="53"/>
      <c r="M462" s="54" t="str">
        <f t="shared" si="29"/>
        <v/>
      </c>
      <c r="N462" s="55" t="str">
        <f t="shared" si="30"/>
        <v/>
      </c>
      <c r="O462" s="56" t="str">
        <f t="shared" si="31"/>
        <v/>
      </c>
      <c r="P462" s="51"/>
      <c r="R462" s="57" t="str">
        <f>IF(AND($E462=RelConducteur,$J462="Professionnel",ISNUMBER($C462),$C462&gt;=RelDebut,$C462&lt;=RelFin),COUNTIFS($E$9:$E462,RelConducteur,$J$9:$J462,"Professionnel",$C$9:$C462,"&gt;="&amp;RelDebut,$C$9:$C462,"&lt;="&amp;RelFin),"")</f>
        <v/>
      </c>
    </row>
    <row r="463" spans="2:18" ht="18" customHeight="1" x14ac:dyDescent="0.25">
      <c r="B463" s="48" t="str">
        <f>IF(C463="","",COUNT($C$9:C463))</f>
        <v/>
      </c>
      <c r="C463" s="49"/>
      <c r="D463" s="50"/>
      <c r="E463" s="51"/>
      <c r="F463" s="52" t="str">
        <f t="shared" si="28"/>
        <v/>
      </c>
      <c r="G463" s="51"/>
      <c r="H463" s="51"/>
      <c r="I463" s="51"/>
      <c r="J463" s="51"/>
      <c r="K463" s="53"/>
      <c r="L463" s="53"/>
      <c r="M463" s="54" t="str">
        <f t="shared" si="29"/>
        <v/>
      </c>
      <c r="N463" s="55" t="str">
        <f t="shared" si="30"/>
        <v/>
      </c>
      <c r="O463" s="56" t="str">
        <f t="shared" si="31"/>
        <v/>
      </c>
      <c r="P463" s="51"/>
      <c r="R463" s="57" t="str">
        <f>IF(AND($E463=RelConducteur,$J463="Professionnel",ISNUMBER($C463),$C463&gt;=RelDebut,$C463&lt;=RelFin),COUNTIFS($E$9:$E463,RelConducteur,$J$9:$J463,"Professionnel",$C$9:$C463,"&gt;="&amp;RelDebut,$C$9:$C463,"&lt;="&amp;RelFin),"")</f>
        <v/>
      </c>
    </row>
    <row r="464" spans="2:18" ht="18" customHeight="1" x14ac:dyDescent="0.25">
      <c r="B464" s="48" t="str">
        <f>IF(C464="","",COUNT($C$9:C464))</f>
        <v/>
      </c>
      <c r="C464" s="49"/>
      <c r="D464" s="50"/>
      <c r="E464" s="51"/>
      <c r="F464" s="52" t="str">
        <f t="shared" si="28"/>
        <v/>
      </c>
      <c r="G464" s="51"/>
      <c r="H464" s="51"/>
      <c r="I464" s="51"/>
      <c r="J464" s="51"/>
      <c r="K464" s="53"/>
      <c r="L464" s="53"/>
      <c r="M464" s="54" t="str">
        <f t="shared" si="29"/>
        <v/>
      </c>
      <c r="N464" s="55" t="str">
        <f t="shared" si="30"/>
        <v/>
      </c>
      <c r="O464" s="56" t="str">
        <f t="shared" si="31"/>
        <v/>
      </c>
      <c r="P464" s="51"/>
      <c r="R464" s="57" t="str">
        <f>IF(AND($E464=RelConducteur,$J464="Professionnel",ISNUMBER($C464),$C464&gt;=RelDebut,$C464&lt;=RelFin),COUNTIFS($E$9:$E464,RelConducteur,$J$9:$J464,"Professionnel",$C$9:$C464,"&gt;="&amp;RelDebut,$C$9:$C464,"&lt;="&amp;RelFin),"")</f>
        <v/>
      </c>
    </row>
    <row r="465" spans="2:18" ht="18" customHeight="1" x14ac:dyDescent="0.25">
      <c r="B465" s="48" t="str">
        <f>IF(C465="","",COUNT($C$9:C465))</f>
        <v/>
      </c>
      <c r="C465" s="49"/>
      <c r="D465" s="50"/>
      <c r="E465" s="51"/>
      <c r="F465" s="52" t="str">
        <f t="shared" si="28"/>
        <v/>
      </c>
      <c r="G465" s="51"/>
      <c r="H465" s="51"/>
      <c r="I465" s="51"/>
      <c r="J465" s="51"/>
      <c r="K465" s="53"/>
      <c r="L465" s="53"/>
      <c r="M465" s="54" t="str">
        <f t="shared" si="29"/>
        <v/>
      </c>
      <c r="N465" s="55" t="str">
        <f t="shared" si="30"/>
        <v/>
      </c>
      <c r="O465" s="56" t="str">
        <f t="shared" si="31"/>
        <v/>
      </c>
      <c r="P465" s="51"/>
      <c r="R465" s="57" t="str">
        <f>IF(AND($E465=RelConducteur,$J465="Professionnel",ISNUMBER($C465),$C465&gt;=RelDebut,$C465&lt;=RelFin),COUNTIFS($E$9:$E465,RelConducteur,$J$9:$J465,"Professionnel",$C$9:$C465,"&gt;="&amp;RelDebut,$C$9:$C465,"&lt;="&amp;RelFin),"")</f>
        <v/>
      </c>
    </row>
    <row r="466" spans="2:18" ht="18" customHeight="1" x14ac:dyDescent="0.25">
      <c r="B466" s="48" t="str">
        <f>IF(C466="","",COUNT($C$9:C466))</f>
        <v/>
      </c>
      <c r="C466" s="49"/>
      <c r="D466" s="50"/>
      <c r="E466" s="51"/>
      <c r="F466" s="52" t="str">
        <f t="shared" si="28"/>
        <v/>
      </c>
      <c r="G466" s="51"/>
      <c r="H466" s="51"/>
      <c r="I466" s="51"/>
      <c r="J466" s="51"/>
      <c r="K466" s="53"/>
      <c r="L466" s="53"/>
      <c r="M466" s="54" t="str">
        <f t="shared" si="29"/>
        <v/>
      </c>
      <c r="N466" s="55" t="str">
        <f t="shared" si="30"/>
        <v/>
      </c>
      <c r="O466" s="56" t="str">
        <f t="shared" si="31"/>
        <v/>
      </c>
      <c r="P466" s="51"/>
      <c r="R466" s="57" t="str">
        <f>IF(AND($E466=RelConducteur,$J466="Professionnel",ISNUMBER($C466),$C466&gt;=RelDebut,$C466&lt;=RelFin),COUNTIFS($E$9:$E466,RelConducteur,$J$9:$J466,"Professionnel",$C$9:$C466,"&gt;="&amp;RelDebut,$C$9:$C466,"&lt;="&amp;RelFin),"")</f>
        <v/>
      </c>
    </row>
    <row r="467" spans="2:18" ht="18" customHeight="1" x14ac:dyDescent="0.25">
      <c r="B467" s="48" t="str">
        <f>IF(C467="","",COUNT($C$9:C467))</f>
        <v/>
      </c>
      <c r="C467" s="49"/>
      <c r="D467" s="50"/>
      <c r="E467" s="51"/>
      <c r="F467" s="52" t="str">
        <f t="shared" si="28"/>
        <v/>
      </c>
      <c r="G467" s="51"/>
      <c r="H467" s="51"/>
      <c r="I467" s="51"/>
      <c r="J467" s="51"/>
      <c r="K467" s="53"/>
      <c r="L467" s="53"/>
      <c r="M467" s="54" t="str">
        <f t="shared" si="29"/>
        <v/>
      </c>
      <c r="N467" s="55" t="str">
        <f t="shared" si="30"/>
        <v/>
      </c>
      <c r="O467" s="56" t="str">
        <f t="shared" si="31"/>
        <v/>
      </c>
      <c r="P467" s="51"/>
      <c r="R467" s="57" t="str">
        <f>IF(AND($E467=RelConducteur,$J467="Professionnel",ISNUMBER($C467),$C467&gt;=RelDebut,$C467&lt;=RelFin),COUNTIFS($E$9:$E467,RelConducteur,$J$9:$J467,"Professionnel",$C$9:$C467,"&gt;="&amp;RelDebut,$C$9:$C467,"&lt;="&amp;RelFin),"")</f>
        <v/>
      </c>
    </row>
    <row r="468" spans="2:18" ht="18" customHeight="1" x14ac:dyDescent="0.25">
      <c r="B468" s="48" t="str">
        <f>IF(C468="","",COUNT($C$9:C468))</f>
        <v/>
      </c>
      <c r="C468" s="49"/>
      <c r="D468" s="50"/>
      <c r="E468" s="51"/>
      <c r="F468" s="52" t="str">
        <f t="shared" si="28"/>
        <v/>
      </c>
      <c r="G468" s="51"/>
      <c r="H468" s="51"/>
      <c r="I468" s="51"/>
      <c r="J468" s="51"/>
      <c r="K468" s="53"/>
      <c r="L468" s="53"/>
      <c r="M468" s="54" t="str">
        <f t="shared" si="29"/>
        <v/>
      </c>
      <c r="N468" s="55" t="str">
        <f t="shared" si="30"/>
        <v/>
      </c>
      <c r="O468" s="56" t="str">
        <f t="shared" si="31"/>
        <v/>
      </c>
      <c r="P468" s="51"/>
      <c r="R468" s="57" t="str">
        <f>IF(AND($E468=RelConducteur,$J468="Professionnel",ISNUMBER($C468),$C468&gt;=RelDebut,$C468&lt;=RelFin),COUNTIFS($E$9:$E468,RelConducteur,$J$9:$J468,"Professionnel",$C$9:$C468,"&gt;="&amp;RelDebut,$C$9:$C468,"&lt;="&amp;RelFin),"")</f>
        <v/>
      </c>
    </row>
    <row r="469" spans="2:18" ht="18" customHeight="1" x14ac:dyDescent="0.25">
      <c r="B469" s="48" t="str">
        <f>IF(C469="","",COUNT($C$9:C469))</f>
        <v/>
      </c>
      <c r="C469" s="49"/>
      <c r="D469" s="50"/>
      <c r="E469" s="51"/>
      <c r="F469" s="52" t="str">
        <f t="shared" si="28"/>
        <v/>
      </c>
      <c r="G469" s="51"/>
      <c r="H469" s="51"/>
      <c r="I469" s="51"/>
      <c r="J469" s="51"/>
      <c r="K469" s="53"/>
      <c r="L469" s="53"/>
      <c r="M469" s="54" t="str">
        <f t="shared" si="29"/>
        <v/>
      </c>
      <c r="N469" s="55" t="str">
        <f t="shared" si="30"/>
        <v/>
      </c>
      <c r="O469" s="56" t="str">
        <f t="shared" si="31"/>
        <v/>
      </c>
      <c r="P469" s="51"/>
      <c r="R469" s="57" t="str">
        <f>IF(AND($E469=RelConducteur,$J469="Professionnel",ISNUMBER($C469),$C469&gt;=RelDebut,$C469&lt;=RelFin),COUNTIFS($E$9:$E469,RelConducteur,$J$9:$J469,"Professionnel",$C$9:$C469,"&gt;="&amp;RelDebut,$C$9:$C469,"&lt;="&amp;RelFin),"")</f>
        <v/>
      </c>
    </row>
    <row r="470" spans="2:18" ht="18" customHeight="1" x14ac:dyDescent="0.25">
      <c r="B470" s="48" t="str">
        <f>IF(C470="","",COUNT($C$9:C470))</f>
        <v/>
      </c>
      <c r="C470" s="49"/>
      <c r="D470" s="50"/>
      <c r="E470" s="51"/>
      <c r="F470" s="52" t="str">
        <f t="shared" si="28"/>
        <v/>
      </c>
      <c r="G470" s="51"/>
      <c r="H470" s="51"/>
      <c r="I470" s="51"/>
      <c r="J470" s="51"/>
      <c r="K470" s="53"/>
      <c r="L470" s="53"/>
      <c r="M470" s="54" t="str">
        <f t="shared" si="29"/>
        <v/>
      </c>
      <c r="N470" s="55" t="str">
        <f t="shared" si="30"/>
        <v/>
      </c>
      <c r="O470" s="56" t="str">
        <f t="shared" si="31"/>
        <v/>
      </c>
      <c r="P470" s="51"/>
      <c r="R470" s="57" t="str">
        <f>IF(AND($E470=RelConducteur,$J470="Professionnel",ISNUMBER($C470),$C470&gt;=RelDebut,$C470&lt;=RelFin),COUNTIFS($E$9:$E470,RelConducteur,$J$9:$J470,"Professionnel",$C$9:$C470,"&gt;="&amp;RelDebut,$C$9:$C470,"&lt;="&amp;RelFin),"")</f>
        <v/>
      </c>
    </row>
    <row r="471" spans="2:18" ht="18" customHeight="1" x14ac:dyDescent="0.25">
      <c r="B471" s="48" t="str">
        <f>IF(C471="","",COUNT($C$9:C471))</f>
        <v/>
      </c>
      <c r="C471" s="49"/>
      <c r="D471" s="50"/>
      <c r="E471" s="51"/>
      <c r="F471" s="52" t="str">
        <f t="shared" si="28"/>
        <v/>
      </c>
      <c r="G471" s="51"/>
      <c r="H471" s="51"/>
      <c r="I471" s="51"/>
      <c r="J471" s="51"/>
      <c r="K471" s="53"/>
      <c r="L471" s="53"/>
      <c r="M471" s="54" t="str">
        <f t="shared" si="29"/>
        <v/>
      </c>
      <c r="N471" s="55" t="str">
        <f t="shared" si="30"/>
        <v/>
      </c>
      <c r="O471" s="56" t="str">
        <f t="shared" si="31"/>
        <v/>
      </c>
      <c r="P471" s="51"/>
      <c r="R471" s="57" t="str">
        <f>IF(AND($E471=RelConducteur,$J471="Professionnel",ISNUMBER($C471),$C471&gt;=RelDebut,$C471&lt;=RelFin),COUNTIFS($E$9:$E471,RelConducteur,$J$9:$J471,"Professionnel",$C$9:$C471,"&gt;="&amp;RelDebut,$C$9:$C471,"&lt;="&amp;RelFin),"")</f>
        <v/>
      </c>
    </row>
    <row r="472" spans="2:18" ht="18" customHeight="1" x14ac:dyDescent="0.25">
      <c r="B472" s="48" t="str">
        <f>IF(C472="","",COUNT($C$9:C472))</f>
        <v/>
      </c>
      <c r="C472" s="49"/>
      <c r="D472" s="50"/>
      <c r="E472" s="51"/>
      <c r="F472" s="52" t="str">
        <f t="shared" si="28"/>
        <v/>
      </c>
      <c r="G472" s="51"/>
      <c r="H472" s="51"/>
      <c r="I472" s="51"/>
      <c r="J472" s="51"/>
      <c r="K472" s="53"/>
      <c r="L472" s="53"/>
      <c r="M472" s="54" t="str">
        <f t="shared" si="29"/>
        <v/>
      </c>
      <c r="N472" s="55" t="str">
        <f t="shared" si="30"/>
        <v/>
      </c>
      <c r="O472" s="56" t="str">
        <f t="shared" si="31"/>
        <v/>
      </c>
      <c r="P472" s="51"/>
      <c r="R472" s="57" t="str">
        <f>IF(AND($E472=RelConducteur,$J472="Professionnel",ISNUMBER($C472),$C472&gt;=RelDebut,$C472&lt;=RelFin),COUNTIFS($E$9:$E472,RelConducteur,$J$9:$J472,"Professionnel",$C$9:$C472,"&gt;="&amp;RelDebut,$C$9:$C472,"&lt;="&amp;RelFin),"")</f>
        <v/>
      </c>
    </row>
    <row r="473" spans="2:18" ht="18" customHeight="1" x14ac:dyDescent="0.25">
      <c r="B473" s="48" t="str">
        <f>IF(C473="","",COUNT($C$9:C473))</f>
        <v/>
      </c>
      <c r="C473" s="49"/>
      <c r="D473" s="50"/>
      <c r="E473" s="51"/>
      <c r="F473" s="52" t="str">
        <f t="shared" si="28"/>
        <v/>
      </c>
      <c r="G473" s="51"/>
      <c r="H473" s="51"/>
      <c r="I473" s="51"/>
      <c r="J473" s="51"/>
      <c r="K473" s="53"/>
      <c r="L473" s="53"/>
      <c r="M473" s="54" t="str">
        <f t="shared" si="29"/>
        <v/>
      </c>
      <c r="N473" s="55" t="str">
        <f t="shared" si="30"/>
        <v/>
      </c>
      <c r="O473" s="56" t="str">
        <f t="shared" si="31"/>
        <v/>
      </c>
      <c r="P473" s="51"/>
      <c r="R473" s="57" t="str">
        <f>IF(AND($E473=RelConducteur,$J473="Professionnel",ISNUMBER($C473),$C473&gt;=RelDebut,$C473&lt;=RelFin),COUNTIFS($E$9:$E473,RelConducteur,$J$9:$J473,"Professionnel",$C$9:$C473,"&gt;="&amp;RelDebut,$C$9:$C473,"&lt;="&amp;RelFin),"")</f>
        <v/>
      </c>
    </row>
    <row r="474" spans="2:18" ht="18" customHeight="1" x14ac:dyDescent="0.25">
      <c r="B474" s="48" t="str">
        <f>IF(C474="","",COUNT($C$9:C474))</f>
        <v/>
      </c>
      <c r="C474" s="49"/>
      <c r="D474" s="50"/>
      <c r="E474" s="51"/>
      <c r="F474" s="52" t="str">
        <f t="shared" si="28"/>
        <v/>
      </c>
      <c r="G474" s="51"/>
      <c r="H474" s="51"/>
      <c r="I474" s="51"/>
      <c r="J474" s="51"/>
      <c r="K474" s="53"/>
      <c r="L474" s="53"/>
      <c r="M474" s="54" t="str">
        <f t="shared" si="29"/>
        <v/>
      </c>
      <c r="N474" s="55" t="str">
        <f t="shared" si="30"/>
        <v/>
      </c>
      <c r="O474" s="56" t="str">
        <f t="shared" si="31"/>
        <v/>
      </c>
      <c r="P474" s="51"/>
      <c r="R474" s="57" t="str">
        <f>IF(AND($E474=RelConducteur,$J474="Professionnel",ISNUMBER($C474),$C474&gt;=RelDebut,$C474&lt;=RelFin),COUNTIFS($E$9:$E474,RelConducteur,$J$9:$J474,"Professionnel",$C$9:$C474,"&gt;="&amp;RelDebut,$C$9:$C474,"&lt;="&amp;RelFin),"")</f>
        <v/>
      </c>
    </row>
    <row r="475" spans="2:18" ht="18" customHeight="1" x14ac:dyDescent="0.25">
      <c r="B475" s="48" t="str">
        <f>IF(C475="","",COUNT($C$9:C475))</f>
        <v/>
      </c>
      <c r="C475" s="49"/>
      <c r="D475" s="50"/>
      <c r="E475" s="51"/>
      <c r="F475" s="52" t="str">
        <f t="shared" si="28"/>
        <v/>
      </c>
      <c r="G475" s="51"/>
      <c r="H475" s="51"/>
      <c r="I475" s="51"/>
      <c r="J475" s="51"/>
      <c r="K475" s="53"/>
      <c r="L475" s="53"/>
      <c r="M475" s="54" t="str">
        <f t="shared" si="29"/>
        <v/>
      </c>
      <c r="N475" s="55" t="str">
        <f t="shared" si="30"/>
        <v/>
      </c>
      <c r="O475" s="56" t="str">
        <f t="shared" si="31"/>
        <v/>
      </c>
      <c r="P475" s="51"/>
      <c r="R475" s="57" t="str">
        <f>IF(AND($E475=RelConducteur,$J475="Professionnel",ISNUMBER($C475),$C475&gt;=RelDebut,$C475&lt;=RelFin),COUNTIFS($E$9:$E475,RelConducteur,$J$9:$J475,"Professionnel",$C$9:$C475,"&gt;="&amp;RelDebut,$C$9:$C475,"&lt;="&amp;RelFin),"")</f>
        <v/>
      </c>
    </row>
    <row r="476" spans="2:18" ht="18" customHeight="1" x14ac:dyDescent="0.25">
      <c r="B476" s="48" t="str">
        <f>IF(C476="","",COUNT($C$9:C476))</f>
        <v/>
      </c>
      <c r="C476" s="49"/>
      <c r="D476" s="50"/>
      <c r="E476" s="51"/>
      <c r="F476" s="52" t="str">
        <f t="shared" si="28"/>
        <v/>
      </c>
      <c r="G476" s="51"/>
      <c r="H476" s="51"/>
      <c r="I476" s="51"/>
      <c r="J476" s="51"/>
      <c r="K476" s="53"/>
      <c r="L476" s="53"/>
      <c r="M476" s="54" t="str">
        <f t="shared" si="29"/>
        <v/>
      </c>
      <c r="N476" s="55" t="str">
        <f t="shared" si="30"/>
        <v/>
      </c>
      <c r="O476" s="56" t="str">
        <f t="shared" si="31"/>
        <v/>
      </c>
      <c r="P476" s="51"/>
      <c r="R476" s="57" t="str">
        <f>IF(AND($E476=RelConducteur,$J476="Professionnel",ISNUMBER($C476),$C476&gt;=RelDebut,$C476&lt;=RelFin),COUNTIFS($E$9:$E476,RelConducteur,$J$9:$J476,"Professionnel",$C$9:$C476,"&gt;="&amp;RelDebut,$C$9:$C476,"&lt;="&amp;RelFin),"")</f>
        <v/>
      </c>
    </row>
    <row r="477" spans="2:18" ht="18" customHeight="1" x14ac:dyDescent="0.25">
      <c r="B477" s="48" t="str">
        <f>IF(C477="","",COUNT($C$9:C477))</f>
        <v/>
      </c>
      <c r="C477" s="49"/>
      <c r="D477" s="50"/>
      <c r="E477" s="51"/>
      <c r="F477" s="52" t="str">
        <f t="shared" si="28"/>
        <v/>
      </c>
      <c r="G477" s="51"/>
      <c r="H477" s="51"/>
      <c r="I477" s="51"/>
      <c r="J477" s="51"/>
      <c r="K477" s="53"/>
      <c r="L477" s="53"/>
      <c r="M477" s="54" t="str">
        <f t="shared" si="29"/>
        <v/>
      </c>
      <c r="N477" s="55" t="str">
        <f t="shared" si="30"/>
        <v/>
      </c>
      <c r="O477" s="56" t="str">
        <f t="shared" si="31"/>
        <v/>
      </c>
      <c r="P477" s="51"/>
      <c r="R477" s="57" t="str">
        <f>IF(AND($E477=RelConducteur,$J477="Professionnel",ISNUMBER($C477),$C477&gt;=RelDebut,$C477&lt;=RelFin),COUNTIFS($E$9:$E477,RelConducteur,$J$9:$J477,"Professionnel",$C$9:$C477,"&gt;="&amp;RelDebut,$C$9:$C477,"&lt;="&amp;RelFin),"")</f>
        <v/>
      </c>
    </row>
    <row r="478" spans="2:18" ht="18" customHeight="1" x14ac:dyDescent="0.25">
      <c r="B478" s="48" t="str">
        <f>IF(C478="","",COUNT($C$9:C478))</f>
        <v/>
      </c>
      <c r="C478" s="49"/>
      <c r="D478" s="50"/>
      <c r="E478" s="51"/>
      <c r="F478" s="52" t="str">
        <f t="shared" si="28"/>
        <v/>
      </c>
      <c r="G478" s="51"/>
      <c r="H478" s="51"/>
      <c r="I478" s="51"/>
      <c r="J478" s="51"/>
      <c r="K478" s="53"/>
      <c r="L478" s="53"/>
      <c r="M478" s="54" t="str">
        <f t="shared" si="29"/>
        <v/>
      </c>
      <c r="N478" s="55" t="str">
        <f t="shared" si="30"/>
        <v/>
      </c>
      <c r="O478" s="56" t="str">
        <f t="shared" si="31"/>
        <v/>
      </c>
      <c r="P478" s="51"/>
      <c r="R478" s="57" t="str">
        <f>IF(AND($E478=RelConducteur,$J478="Professionnel",ISNUMBER($C478),$C478&gt;=RelDebut,$C478&lt;=RelFin),COUNTIFS($E$9:$E478,RelConducteur,$J$9:$J478,"Professionnel",$C$9:$C478,"&gt;="&amp;RelDebut,$C$9:$C478,"&lt;="&amp;RelFin),"")</f>
        <v/>
      </c>
    </row>
    <row r="479" spans="2:18" ht="18" customHeight="1" x14ac:dyDescent="0.25">
      <c r="B479" s="48" t="str">
        <f>IF(C479="","",COUNT($C$9:C479))</f>
        <v/>
      </c>
      <c r="C479" s="49"/>
      <c r="D479" s="50"/>
      <c r="E479" s="51"/>
      <c r="F479" s="52" t="str">
        <f t="shared" si="28"/>
        <v/>
      </c>
      <c r="G479" s="51"/>
      <c r="H479" s="51"/>
      <c r="I479" s="51"/>
      <c r="J479" s="51"/>
      <c r="K479" s="53"/>
      <c r="L479" s="53"/>
      <c r="M479" s="54" t="str">
        <f t="shared" si="29"/>
        <v/>
      </c>
      <c r="N479" s="55" t="str">
        <f t="shared" si="30"/>
        <v/>
      </c>
      <c r="O479" s="56" t="str">
        <f t="shared" si="31"/>
        <v/>
      </c>
      <c r="P479" s="51"/>
      <c r="R479" s="57" t="str">
        <f>IF(AND($E479=RelConducteur,$J479="Professionnel",ISNUMBER($C479),$C479&gt;=RelDebut,$C479&lt;=RelFin),COUNTIFS($E$9:$E479,RelConducteur,$J$9:$J479,"Professionnel",$C$9:$C479,"&gt;="&amp;RelDebut,$C$9:$C479,"&lt;="&amp;RelFin),"")</f>
        <v/>
      </c>
    </row>
    <row r="480" spans="2:18" ht="18" customHeight="1" x14ac:dyDescent="0.25">
      <c r="B480" s="48" t="str">
        <f>IF(C480="","",COUNT($C$9:C480))</f>
        <v/>
      </c>
      <c r="C480" s="49"/>
      <c r="D480" s="50"/>
      <c r="E480" s="51"/>
      <c r="F480" s="52" t="str">
        <f t="shared" si="28"/>
        <v/>
      </c>
      <c r="G480" s="51"/>
      <c r="H480" s="51"/>
      <c r="I480" s="51"/>
      <c r="J480" s="51"/>
      <c r="K480" s="53"/>
      <c r="L480" s="53"/>
      <c r="M480" s="54" t="str">
        <f t="shared" si="29"/>
        <v/>
      </c>
      <c r="N480" s="55" t="str">
        <f t="shared" si="30"/>
        <v/>
      </c>
      <c r="O480" s="56" t="str">
        <f t="shared" si="31"/>
        <v/>
      </c>
      <c r="P480" s="51"/>
      <c r="R480" s="57" t="str">
        <f>IF(AND($E480=RelConducteur,$J480="Professionnel",ISNUMBER($C480),$C480&gt;=RelDebut,$C480&lt;=RelFin),COUNTIFS($E$9:$E480,RelConducteur,$J$9:$J480,"Professionnel",$C$9:$C480,"&gt;="&amp;RelDebut,$C$9:$C480,"&lt;="&amp;RelFin),"")</f>
        <v/>
      </c>
    </row>
    <row r="481" spans="2:18" ht="18" customHeight="1" x14ac:dyDescent="0.25">
      <c r="B481" s="48" t="str">
        <f>IF(C481="","",COUNT($C$9:C481))</f>
        <v/>
      </c>
      <c r="C481" s="49"/>
      <c r="D481" s="50"/>
      <c r="E481" s="51"/>
      <c r="F481" s="52" t="str">
        <f t="shared" si="28"/>
        <v/>
      </c>
      <c r="G481" s="51"/>
      <c r="H481" s="51"/>
      <c r="I481" s="51"/>
      <c r="J481" s="51"/>
      <c r="K481" s="53"/>
      <c r="L481" s="53"/>
      <c r="M481" s="54" t="str">
        <f t="shared" si="29"/>
        <v/>
      </c>
      <c r="N481" s="55" t="str">
        <f t="shared" si="30"/>
        <v/>
      </c>
      <c r="O481" s="56" t="str">
        <f t="shared" si="31"/>
        <v/>
      </c>
      <c r="P481" s="51"/>
      <c r="R481" s="57" t="str">
        <f>IF(AND($E481=RelConducteur,$J481="Professionnel",ISNUMBER($C481),$C481&gt;=RelDebut,$C481&lt;=RelFin),COUNTIFS($E$9:$E481,RelConducteur,$J$9:$J481,"Professionnel",$C$9:$C481,"&gt;="&amp;RelDebut,$C$9:$C481,"&lt;="&amp;RelFin),"")</f>
        <v/>
      </c>
    </row>
    <row r="482" spans="2:18" ht="18" customHeight="1" x14ac:dyDescent="0.25">
      <c r="B482" s="48" t="str">
        <f>IF(C482="","",COUNT($C$9:C482))</f>
        <v/>
      </c>
      <c r="C482" s="49"/>
      <c r="D482" s="50"/>
      <c r="E482" s="51"/>
      <c r="F482" s="52" t="str">
        <f t="shared" si="28"/>
        <v/>
      </c>
      <c r="G482" s="51"/>
      <c r="H482" s="51"/>
      <c r="I482" s="51"/>
      <c r="J482" s="51"/>
      <c r="K482" s="53"/>
      <c r="L482" s="53"/>
      <c r="M482" s="54" t="str">
        <f t="shared" si="29"/>
        <v/>
      </c>
      <c r="N482" s="55" t="str">
        <f t="shared" si="30"/>
        <v/>
      </c>
      <c r="O482" s="56" t="str">
        <f t="shared" si="31"/>
        <v/>
      </c>
      <c r="P482" s="51"/>
      <c r="R482" s="57" t="str">
        <f>IF(AND($E482=RelConducteur,$J482="Professionnel",ISNUMBER($C482),$C482&gt;=RelDebut,$C482&lt;=RelFin),COUNTIFS($E$9:$E482,RelConducteur,$J$9:$J482,"Professionnel",$C$9:$C482,"&gt;="&amp;RelDebut,$C$9:$C482,"&lt;="&amp;RelFin),"")</f>
        <v/>
      </c>
    </row>
    <row r="483" spans="2:18" ht="18" customHeight="1" x14ac:dyDescent="0.25">
      <c r="B483" s="48" t="str">
        <f>IF(C483="","",COUNT($C$9:C483))</f>
        <v/>
      </c>
      <c r="C483" s="49"/>
      <c r="D483" s="50"/>
      <c r="E483" s="51"/>
      <c r="F483" s="52" t="str">
        <f t="shared" si="28"/>
        <v/>
      </c>
      <c r="G483" s="51"/>
      <c r="H483" s="51"/>
      <c r="I483" s="51"/>
      <c r="J483" s="51"/>
      <c r="K483" s="53"/>
      <c r="L483" s="53"/>
      <c r="M483" s="54" t="str">
        <f t="shared" si="29"/>
        <v/>
      </c>
      <c r="N483" s="55" t="str">
        <f t="shared" si="30"/>
        <v/>
      </c>
      <c r="O483" s="56" t="str">
        <f t="shared" si="31"/>
        <v/>
      </c>
      <c r="P483" s="51"/>
      <c r="R483" s="57" t="str">
        <f>IF(AND($E483=RelConducteur,$J483="Professionnel",ISNUMBER($C483),$C483&gt;=RelDebut,$C483&lt;=RelFin),COUNTIFS($E$9:$E483,RelConducteur,$J$9:$J483,"Professionnel",$C$9:$C483,"&gt;="&amp;RelDebut,$C$9:$C483,"&lt;="&amp;RelFin),"")</f>
        <v/>
      </c>
    </row>
    <row r="484" spans="2:18" ht="18" customHeight="1" x14ac:dyDescent="0.25">
      <c r="B484" s="48" t="str">
        <f>IF(C484="","",COUNT($C$9:C484))</f>
        <v/>
      </c>
      <c r="C484" s="49"/>
      <c r="D484" s="50"/>
      <c r="E484" s="51"/>
      <c r="F484" s="52" t="str">
        <f t="shared" si="28"/>
        <v/>
      </c>
      <c r="G484" s="51"/>
      <c r="H484" s="51"/>
      <c r="I484" s="51"/>
      <c r="J484" s="51"/>
      <c r="K484" s="53"/>
      <c r="L484" s="53"/>
      <c r="M484" s="54" t="str">
        <f t="shared" si="29"/>
        <v/>
      </c>
      <c r="N484" s="55" t="str">
        <f t="shared" si="30"/>
        <v/>
      </c>
      <c r="O484" s="56" t="str">
        <f t="shared" si="31"/>
        <v/>
      </c>
      <c r="P484" s="51"/>
      <c r="R484" s="57" t="str">
        <f>IF(AND($E484=RelConducteur,$J484="Professionnel",ISNUMBER($C484),$C484&gt;=RelDebut,$C484&lt;=RelFin),COUNTIFS($E$9:$E484,RelConducteur,$J$9:$J484,"Professionnel",$C$9:$C484,"&gt;="&amp;RelDebut,$C$9:$C484,"&lt;="&amp;RelFin),"")</f>
        <v/>
      </c>
    </row>
    <row r="485" spans="2:18" ht="18" customHeight="1" x14ac:dyDescent="0.25">
      <c r="B485" s="48" t="str">
        <f>IF(C485="","",COUNT($C$9:C485))</f>
        <v/>
      </c>
      <c r="C485" s="49"/>
      <c r="D485" s="50"/>
      <c r="E485" s="51"/>
      <c r="F485" s="52" t="str">
        <f t="shared" si="28"/>
        <v/>
      </c>
      <c r="G485" s="51"/>
      <c r="H485" s="51"/>
      <c r="I485" s="51"/>
      <c r="J485" s="51"/>
      <c r="K485" s="53"/>
      <c r="L485" s="53"/>
      <c r="M485" s="54" t="str">
        <f t="shared" si="29"/>
        <v/>
      </c>
      <c r="N485" s="55" t="str">
        <f t="shared" si="30"/>
        <v/>
      </c>
      <c r="O485" s="56" t="str">
        <f t="shared" si="31"/>
        <v/>
      </c>
      <c r="P485" s="51"/>
      <c r="R485" s="57" t="str">
        <f>IF(AND($E485=RelConducteur,$J485="Professionnel",ISNUMBER($C485),$C485&gt;=RelDebut,$C485&lt;=RelFin),COUNTIFS($E$9:$E485,RelConducteur,$J$9:$J485,"Professionnel",$C$9:$C485,"&gt;="&amp;RelDebut,$C$9:$C485,"&lt;="&amp;RelFin),"")</f>
        <v/>
      </c>
    </row>
    <row r="486" spans="2:18" ht="18" customHeight="1" x14ac:dyDescent="0.25">
      <c r="B486" s="48" t="str">
        <f>IF(C486="","",COUNT($C$9:C486))</f>
        <v/>
      </c>
      <c r="C486" s="49"/>
      <c r="D486" s="50"/>
      <c r="E486" s="51"/>
      <c r="F486" s="52" t="str">
        <f t="shared" si="28"/>
        <v/>
      </c>
      <c r="G486" s="51"/>
      <c r="H486" s="51"/>
      <c r="I486" s="51"/>
      <c r="J486" s="51"/>
      <c r="K486" s="53"/>
      <c r="L486" s="53"/>
      <c r="M486" s="54" t="str">
        <f t="shared" si="29"/>
        <v/>
      </c>
      <c r="N486" s="55" t="str">
        <f t="shared" si="30"/>
        <v/>
      </c>
      <c r="O486" s="56" t="str">
        <f t="shared" si="31"/>
        <v/>
      </c>
      <c r="P486" s="51"/>
      <c r="R486" s="57" t="str">
        <f>IF(AND($E486=RelConducteur,$J486="Professionnel",ISNUMBER($C486),$C486&gt;=RelDebut,$C486&lt;=RelFin),COUNTIFS($E$9:$E486,RelConducteur,$J$9:$J486,"Professionnel",$C$9:$C486,"&gt;="&amp;RelDebut,$C$9:$C486,"&lt;="&amp;RelFin),"")</f>
        <v/>
      </c>
    </row>
    <row r="487" spans="2:18" ht="18" customHeight="1" x14ac:dyDescent="0.25">
      <c r="B487" s="48" t="str">
        <f>IF(C487="","",COUNT($C$9:C487))</f>
        <v/>
      </c>
      <c r="C487" s="49"/>
      <c r="D487" s="50"/>
      <c r="E487" s="51"/>
      <c r="F487" s="52" t="str">
        <f t="shared" si="28"/>
        <v/>
      </c>
      <c r="G487" s="51"/>
      <c r="H487" s="51"/>
      <c r="I487" s="51"/>
      <c r="J487" s="51"/>
      <c r="K487" s="53"/>
      <c r="L487" s="53"/>
      <c r="M487" s="54" t="str">
        <f t="shared" si="29"/>
        <v/>
      </c>
      <c r="N487" s="55" t="str">
        <f t="shared" si="30"/>
        <v/>
      </c>
      <c r="O487" s="56" t="str">
        <f t="shared" si="31"/>
        <v/>
      </c>
      <c r="P487" s="51"/>
      <c r="R487" s="57" t="str">
        <f>IF(AND($E487=RelConducteur,$J487="Professionnel",ISNUMBER($C487),$C487&gt;=RelDebut,$C487&lt;=RelFin),COUNTIFS($E$9:$E487,RelConducteur,$J$9:$J487,"Professionnel",$C$9:$C487,"&gt;="&amp;RelDebut,$C$9:$C487,"&lt;="&amp;RelFin),"")</f>
        <v/>
      </c>
    </row>
    <row r="488" spans="2:18" ht="18" customHeight="1" x14ac:dyDescent="0.25">
      <c r="B488" s="48" t="str">
        <f>IF(C488="","",COUNT($C$9:C488))</f>
        <v/>
      </c>
      <c r="C488" s="49"/>
      <c r="D488" s="50"/>
      <c r="E488" s="51"/>
      <c r="F488" s="52" t="str">
        <f t="shared" si="28"/>
        <v/>
      </c>
      <c r="G488" s="51"/>
      <c r="H488" s="51"/>
      <c r="I488" s="51"/>
      <c r="J488" s="51"/>
      <c r="K488" s="53"/>
      <c r="L488" s="53"/>
      <c r="M488" s="54" t="str">
        <f t="shared" si="29"/>
        <v/>
      </c>
      <c r="N488" s="55" t="str">
        <f t="shared" si="30"/>
        <v/>
      </c>
      <c r="O488" s="56" t="str">
        <f t="shared" si="31"/>
        <v/>
      </c>
      <c r="P488" s="51"/>
      <c r="R488" s="57" t="str">
        <f>IF(AND($E488=RelConducteur,$J488="Professionnel",ISNUMBER($C488),$C488&gt;=RelDebut,$C488&lt;=RelFin),COUNTIFS($E$9:$E488,RelConducteur,$J$9:$J488,"Professionnel",$C$9:$C488,"&gt;="&amp;RelDebut,$C$9:$C488,"&lt;="&amp;RelFin),"")</f>
        <v/>
      </c>
    </row>
    <row r="489" spans="2:18" ht="18" customHeight="1" x14ac:dyDescent="0.25">
      <c r="B489" s="48" t="str">
        <f>IF(C489="","",COUNT($C$9:C489))</f>
        <v/>
      </c>
      <c r="C489" s="49"/>
      <c r="D489" s="50"/>
      <c r="E489" s="51"/>
      <c r="F489" s="52" t="str">
        <f t="shared" si="28"/>
        <v/>
      </c>
      <c r="G489" s="51"/>
      <c r="H489" s="51"/>
      <c r="I489" s="51"/>
      <c r="J489" s="51"/>
      <c r="K489" s="53"/>
      <c r="L489" s="53"/>
      <c r="M489" s="54" t="str">
        <f t="shared" si="29"/>
        <v/>
      </c>
      <c r="N489" s="55" t="str">
        <f t="shared" si="30"/>
        <v/>
      </c>
      <c r="O489" s="56" t="str">
        <f t="shared" si="31"/>
        <v/>
      </c>
      <c r="P489" s="51"/>
      <c r="R489" s="57" t="str">
        <f>IF(AND($E489=RelConducteur,$J489="Professionnel",ISNUMBER($C489),$C489&gt;=RelDebut,$C489&lt;=RelFin),COUNTIFS($E$9:$E489,RelConducteur,$J$9:$J489,"Professionnel",$C$9:$C489,"&gt;="&amp;RelDebut,$C$9:$C489,"&lt;="&amp;RelFin),"")</f>
        <v/>
      </c>
    </row>
    <row r="490" spans="2:18" ht="18" customHeight="1" x14ac:dyDescent="0.25">
      <c r="B490" s="48" t="str">
        <f>IF(C490="","",COUNT($C$9:C490))</f>
        <v/>
      </c>
      <c r="C490" s="49"/>
      <c r="D490" s="50"/>
      <c r="E490" s="51"/>
      <c r="F490" s="52" t="str">
        <f t="shared" si="28"/>
        <v/>
      </c>
      <c r="G490" s="51"/>
      <c r="H490" s="51"/>
      <c r="I490" s="51"/>
      <c r="J490" s="51"/>
      <c r="K490" s="53"/>
      <c r="L490" s="53"/>
      <c r="M490" s="54" t="str">
        <f t="shared" si="29"/>
        <v/>
      </c>
      <c r="N490" s="55" t="str">
        <f t="shared" si="30"/>
        <v/>
      </c>
      <c r="O490" s="56" t="str">
        <f t="shared" si="31"/>
        <v/>
      </c>
      <c r="P490" s="51"/>
      <c r="R490" s="57" t="str">
        <f>IF(AND($E490=RelConducteur,$J490="Professionnel",ISNUMBER($C490),$C490&gt;=RelDebut,$C490&lt;=RelFin),COUNTIFS($E$9:$E490,RelConducteur,$J$9:$J490,"Professionnel",$C$9:$C490,"&gt;="&amp;RelDebut,$C$9:$C490,"&lt;="&amp;RelFin),"")</f>
        <v/>
      </c>
    </row>
    <row r="491" spans="2:18" ht="18" customHeight="1" x14ac:dyDescent="0.25">
      <c r="B491" s="48" t="str">
        <f>IF(C491="","",COUNT($C$9:C491))</f>
        <v/>
      </c>
      <c r="C491" s="49"/>
      <c r="D491" s="50"/>
      <c r="E491" s="51"/>
      <c r="F491" s="52" t="str">
        <f t="shared" si="28"/>
        <v/>
      </c>
      <c r="G491" s="51"/>
      <c r="H491" s="51"/>
      <c r="I491" s="51"/>
      <c r="J491" s="51"/>
      <c r="K491" s="53"/>
      <c r="L491" s="53"/>
      <c r="M491" s="54" t="str">
        <f t="shared" si="29"/>
        <v/>
      </c>
      <c r="N491" s="55" t="str">
        <f t="shared" si="30"/>
        <v/>
      </c>
      <c r="O491" s="56" t="str">
        <f t="shared" si="31"/>
        <v/>
      </c>
      <c r="P491" s="51"/>
      <c r="R491" s="57" t="str">
        <f>IF(AND($E491=RelConducteur,$J491="Professionnel",ISNUMBER($C491),$C491&gt;=RelDebut,$C491&lt;=RelFin),COUNTIFS($E$9:$E491,RelConducteur,$J$9:$J491,"Professionnel",$C$9:$C491,"&gt;="&amp;RelDebut,$C$9:$C491,"&lt;="&amp;RelFin),"")</f>
        <v/>
      </c>
    </row>
    <row r="492" spans="2:18" ht="18" customHeight="1" x14ac:dyDescent="0.25">
      <c r="B492" s="48" t="str">
        <f>IF(C492="","",COUNT($C$9:C492))</f>
        <v/>
      </c>
      <c r="C492" s="49"/>
      <c r="D492" s="50"/>
      <c r="E492" s="51"/>
      <c r="F492" s="52" t="str">
        <f t="shared" si="28"/>
        <v/>
      </c>
      <c r="G492" s="51"/>
      <c r="H492" s="51"/>
      <c r="I492" s="51"/>
      <c r="J492" s="51"/>
      <c r="K492" s="53"/>
      <c r="L492" s="53"/>
      <c r="M492" s="54" t="str">
        <f t="shared" si="29"/>
        <v/>
      </c>
      <c r="N492" s="55" t="str">
        <f t="shared" si="30"/>
        <v/>
      </c>
      <c r="O492" s="56" t="str">
        <f t="shared" si="31"/>
        <v/>
      </c>
      <c r="P492" s="51"/>
      <c r="R492" s="57" t="str">
        <f>IF(AND($E492=RelConducteur,$J492="Professionnel",ISNUMBER($C492),$C492&gt;=RelDebut,$C492&lt;=RelFin),COUNTIFS($E$9:$E492,RelConducteur,$J$9:$J492,"Professionnel",$C$9:$C492,"&gt;="&amp;RelDebut,$C$9:$C492,"&lt;="&amp;RelFin),"")</f>
        <v/>
      </c>
    </row>
    <row r="493" spans="2:18" ht="18" customHeight="1" x14ac:dyDescent="0.25">
      <c r="B493" s="48" t="str">
        <f>IF(C493="","",COUNT($C$9:C493))</f>
        <v/>
      </c>
      <c r="C493" s="49"/>
      <c r="D493" s="50"/>
      <c r="E493" s="51"/>
      <c r="F493" s="52" t="str">
        <f t="shared" si="28"/>
        <v/>
      </c>
      <c r="G493" s="51"/>
      <c r="H493" s="51"/>
      <c r="I493" s="51"/>
      <c r="J493" s="51"/>
      <c r="K493" s="53"/>
      <c r="L493" s="53"/>
      <c r="M493" s="54" t="str">
        <f t="shared" si="29"/>
        <v/>
      </c>
      <c r="N493" s="55" t="str">
        <f t="shared" si="30"/>
        <v/>
      </c>
      <c r="O493" s="56" t="str">
        <f t="shared" si="31"/>
        <v/>
      </c>
      <c r="P493" s="51"/>
      <c r="R493" s="57" t="str">
        <f>IF(AND($E493=RelConducteur,$J493="Professionnel",ISNUMBER($C493),$C493&gt;=RelDebut,$C493&lt;=RelFin),COUNTIFS($E$9:$E493,RelConducteur,$J$9:$J493,"Professionnel",$C$9:$C493,"&gt;="&amp;RelDebut,$C$9:$C493,"&lt;="&amp;RelFin),"")</f>
        <v/>
      </c>
    </row>
    <row r="494" spans="2:18" ht="18" customHeight="1" x14ac:dyDescent="0.25">
      <c r="B494" s="48" t="str">
        <f>IF(C494="","",COUNT($C$9:C494))</f>
        <v/>
      </c>
      <c r="C494" s="49"/>
      <c r="D494" s="50"/>
      <c r="E494" s="51"/>
      <c r="F494" s="52" t="str">
        <f t="shared" si="28"/>
        <v/>
      </c>
      <c r="G494" s="51"/>
      <c r="H494" s="51"/>
      <c r="I494" s="51"/>
      <c r="J494" s="51"/>
      <c r="K494" s="53"/>
      <c r="L494" s="53"/>
      <c r="M494" s="54" t="str">
        <f t="shared" si="29"/>
        <v/>
      </c>
      <c r="N494" s="55" t="str">
        <f t="shared" si="30"/>
        <v/>
      </c>
      <c r="O494" s="56" t="str">
        <f t="shared" si="31"/>
        <v/>
      </c>
      <c r="P494" s="51"/>
      <c r="R494" s="57" t="str">
        <f>IF(AND($E494=RelConducteur,$J494="Professionnel",ISNUMBER($C494),$C494&gt;=RelDebut,$C494&lt;=RelFin),COUNTIFS($E$9:$E494,RelConducteur,$J$9:$J494,"Professionnel",$C$9:$C494,"&gt;="&amp;RelDebut,$C$9:$C494,"&lt;="&amp;RelFin),"")</f>
        <v/>
      </c>
    </row>
    <row r="495" spans="2:18" ht="18" customHeight="1" x14ac:dyDescent="0.25">
      <c r="B495" s="48" t="str">
        <f>IF(C495="","",COUNT($C$9:C495))</f>
        <v/>
      </c>
      <c r="C495" s="49"/>
      <c r="D495" s="50"/>
      <c r="E495" s="51"/>
      <c r="F495" s="52" t="str">
        <f t="shared" si="28"/>
        <v/>
      </c>
      <c r="G495" s="51"/>
      <c r="H495" s="51"/>
      <c r="I495" s="51"/>
      <c r="J495" s="51"/>
      <c r="K495" s="53"/>
      <c r="L495" s="53"/>
      <c r="M495" s="54" t="str">
        <f t="shared" si="29"/>
        <v/>
      </c>
      <c r="N495" s="55" t="str">
        <f t="shared" si="30"/>
        <v/>
      </c>
      <c r="O495" s="56" t="str">
        <f t="shared" si="31"/>
        <v/>
      </c>
      <c r="P495" s="51"/>
      <c r="R495" s="57" t="str">
        <f>IF(AND($E495=RelConducteur,$J495="Professionnel",ISNUMBER($C495),$C495&gt;=RelDebut,$C495&lt;=RelFin),COUNTIFS($E$9:$E495,RelConducteur,$J$9:$J495,"Professionnel",$C$9:$C495,"&gt;="&amp;RelDebut,$C$9:$C495,"&lt;="&amp;RelFin),"")</f>
        <v/>
      </c>
    </row>
    <row r="496" spans="2:18" ht="18" customHeight="1" x14ac:dyDescent="0.25">
      <c r="B496" s="48" t="str">
        <f>IF(C496="","",COUNT($C$9:C496))</f>
        <v/>
      </c>
      <c r="C496" s="49"/>
      <c r="D496" s="50"/>
      <c r="E496" s="51"/>
      <c r="F496" s="52" t="str">
        <f t="shared" si="28"/>
        <v/>
      </c>
      <c r="G496" s="51"/>
      <c r="H496" s="51"/>
      <c r="I496" s="51"/>
      <c r="J496" s="51"/>
      <c r="K496" s="53"/>
      <c r="L496" s="53"/>
      <c r="M496" s="54" t="str">
        <f t="shared" si="29"/>
        <v/>
      </c>
      <c r="N496" s="55" t="str">
        <f t="shared" si="30"/>
        <v/>
      </c>
      <c r="O496" s="56" t="str">
        <f t="shared" si="31"/>
        <v/>
      </c>
      <c r="P496" s="51"/>
      <c r="R496" s="57" t="str">
        <f>IF(AND($E496=RelConducteur,$J496="Professionnel",ISNUMBER($C496),$C496&gt;=RelDebut,$C496&lt;=RelFin),COUNTIFS($E$9:$E496,RelConducteur,$J$9:$J496,"Professionnel",$C$9:$C496,"&gt;="&amp;RelDebut,$C$9:$C496,"&lt;="&amp;RelFin),"")</f>
        <v/>
      </c>
    </row>
    <row r="497" spans="2:18" ht="18" customHeight="1" x14ac:dyDescent="0.25">
      <c r="B497" s="48" t="str">
        <f>IF(C497="","",COUNT($C$9:C497))</f>
        <v/>
      </c>
      <c r="C497" s="49"/>
      <c r="D497" s="50"/>
      <c r="E497" s="51"/>
      <c r="F497" s="52" t="str">
        <f t="shared" si="28"/>
        <v/>
      </c>
      <c r="G497" s="51"/>
      <c r="H497" s="51"/>
      <c r="I497" s="51"/>
      <c r="J497" s="51"/>
      <c r="K497" s="53"/>
      <c r="L497" s="53"/>
      <c r="M497" s="54" t="str">
        <f t="shared" si="29"/>
        <v/>
      </c>
      <c r="N497" s="55" t="str">
        <f t="shared" si="30"/>
        <v/>
      </c>
      <c r="O497" s="56" t="str">
        <f t="shared" si="31"/>
        <v/>
      </c>
      <c r="P497" s="51"/>
      <c r="R497" s="57" t="str">
        <f>IF(AND($E497=RelConducteur,$J497="Professionnel",ISNUMBER($C497),$C497&gt;=RelDebut,$C497&lt;=RelFin),COUNTIFS($E$9:$E497,RelConducteur,$J$9:$J497,"Professionnel",$C$9:$C497,"&gt;="&amp;RelDebut,$C$9:$C497,"&lt;="&amp;RelFin),"")</f>
        <v/>
      </c>
    </row>
    <row r="498" spans="2:18" ht="18" customHeight="1" x14ac:dyDescent="0.25">
      <c r="B498" s="48" t="str">
        <f>IF(C498="","",COUNT($C$9:C498))</f>
        <v/>
      </c>
      <c r="C498" s="49"/>
      <c r="D498" s="50"/>
      <c r="E498" s="51"/>
      <c r="F498" s="52" t="str">
        <f t="shared" si="28"/>
        <v/>
      </c>
      <c r="G498" s="51"/>
      <c r="H498" s="51"/>
      <c r="I498" s="51"/>
      <c r="J498" s="51"/>
      <c r="K498" s="53"/>
      <c r="L498" s="53"/>
      <c r="M498" s="54" t="str">
        <f t="shared" si="29"/>
        <v/>
      </c>
      <c r="N498" s="55" t="str">
        <f t="shared" si="30"/>
        <v/>
      </c>
      <c r="O498" s="56" t="str">
        <f t="shared" si="31"/>
        <v/>
      </c>
      <c r="P498" s="51"/>
      <c r="R498" s="57" t="str">
        <f>IF(AND($E498=RelConducteur,$J498="Professionnel",ISNUMBER($C498),$C498&gt;=RelDebut,$C498&lt;=RelFin),COUNTIFS($E$9:$E498,RelConducteur,$J$9:$J498,"Professionnel",$C$9:$C498,"&gt;="&amp;RelDebut,$C$9:$C498,"&lt;="&amp;RelFin),"")</f>
        <v/>
      </c>
    </row>
    <row r="499" spans="2:18" ht="18" customHeight="1" x14ac:dyDescent="0.25">
      <c r="B499" s="48" t="str">
        <f>IF(C499="","",COUNT($C$9:C499))</f>
        <v/>
      </c>
      <c r="C499" s="49"/>
      <c r="D499" s="50"/>
      <c r="E499" s="51"/>
      <c r="F499" s="52" t="str">
        <f t="shared" si="28"/>
        <v/>
      </c>
      <c r="G499" s="51"/>
      <c r="H499" s="51"/>
      <c r="I499" s="51"/>
      <c r="J499" s="51"/>
      <c r="K499" s="53"/>
      <c r="L499" s="53"/>
      <c r="M499" s="54" t="str">
        <f t="shared" si="29"/>
        <v/>
      </c>
      <c r="N499" s="55" t="str">
        <f t="shared" si="30"/>
        <v/>
      </c>
      <c r="O499" s="56" t="str">
        <f t="shared" si="31"/>
        <v/>
      </c>
      <c r="P499" s="51"/>
      <c r="R499" s="57" t="str">
        <f>IF(AND($E499=RelConducteur,$J499="Professionnel",ISNUMBER($C499),$C499&gt;=RelDebut,$C499&lt;=RelFin),COUNTIFS($E$9:$E499,RelConducteur,$J$9:$J499,"Professionnel",$C$9:$C499,"&gt;="&amp;RelDebut,$C$9:$C499,"&lt;="&amp;RelFin),"")</f>
        <v/>
      </c>
    </row>
    <row r="500" spans="2:18" ht="18" customHeight="1" x14ac:dyDescent="0.25">
      <c r="B500" s="48" t="str">
        <f>IF(C500="","",COUNT($C$9:C500))</f>
        <v/>
      </c>
      <c r="C500" s="49"/>
      <c r="D500" s="50"/>
      <c r="E500" s="51"/>
      <c r="F500" s="52" t="str">
        <f t="shared" si="28"/>
        <v/>
      </c>
      <c r="G500" s="51"/>
      <c r="H500" s="51"/>
      <c r="I500" s="51"/>
      <c r="J500" s="51"/>
      <c r="K500" s="53"/>
      <c r="L500" s="53"/>
      <c r="M500" s="54" t="str">
        <f t="shared" si="29"/>
        <v/>
      </c>
      <c r="N500" s="55" t="str">
        <f t="shared" si="30"/>
        <v/>
      </c>
      <c r="O500" s="56" t="str">
        <f t="shared" si="31"/>
        <v/>
      </c>
      <c r="P500" s="51"/>
      <c r="R500" s="57" t="str">
        <f>IF(AND($E500=RelConducteur,$J500="Professionnel",ISNUMBER($C500),$C500&gt;=RelDebut,$C500&lt;=RelFin),COUNTIFS($E$9:$E500,RelConducteur,$J$9:$J500,"Professionnel",$C$9:$C500,"&gt;="&amp;RelDebut,$C$9:$C500,"&lt;="&amp;RelFin),"")</f>
        <v/>
      </c>
    </row>
    <row r="501" spans="2:18" ht="18" customHeight="1" x14ac:dyDescent="0.25">
      <c r="B501" s="48" t="str">
        <f>IF(C501="","",COUNT($C$9:C501))</f>
        <v/>
      </c>
      <c r="C501" s="49"/>
      <c r="D501" s="50"/>
      <c r="E501" s="51"/>
      <c r="F501" s="52" t="str">
        <f t="shared" si="28"/>
        <v/>
      </c>
      <c r="G501" s="51"/>
      <c r="H501" s="51"/>
      <c r="I501" s="51"/>
      <c r="J501" s="51"/>
      <c r="K501" s="53"/>
      <c r="L501" s="53"/>
      <c r="M501" s="54" t="str">
        <f t="shared" si="29"/>
        <v/>
      </c>
      <c r="N501" s="55" t="str">
        <f t="shared" si="30"/>
        <v/>
      </c>
      <c r="O501" s="56" t="str">
        <f t="shared" si="31"/>
        <v/>
      </c>
      <c r="P501" s="51"/>
      <c r="R501" s="57" t="str">
        <f>IF(AND($E501=RelConducteur,$J501="Professionnel",ISNUMBER($C501),$C501&gt;=RelDebut,$C501&lt;=RelFin),COUNTIFS($E$9:$E501,RelConducteur,$J$9:$J501,"Professionnel",$C$9:$C501,"&gt;="&amp;RelDebut,$C$9:$C501,"&lt;="&amp;RelFin),"")</f>
        <v/>
      </c>
    </row>
    <row r="502" spans="2:18" ht="18" customHeight="1" x14ac:dyDescent="0.25">
      <c r="B502" s="48" t="str">
        <f>IF(C502="","",COUNT($C$9:C502))</f>
        <v/>
      </c>
      <c r="C502" s="49"/>
      <c r="D502" s="50"/>
      <c r="E502" s="51"/>
      <c r="F502" s="52" t="str">
        <f t="shared" si="28"/>
        <v/>
      </c>
      <c r="G502" s="51"/>
      <c r="H502" s="51"/>
      <c r="I502" s="51"/>
      <c r="J502" s="51"/>
      <c r="K502" s="53"/>
      <c r="L502" s="53"/>
      <c r="M502" s="54" t="str">
        <f t="shared" si="29"/>
        <v/>
      </c>
      <c r="N502" s="55" t="str">
        <f t="shared" si="30"/>
        <v/>
      </c>
      <c r="O502" s="56" t="str">
        <f t="shared" si="31"/>
        <v/>
      </c>
      <c r="P502" s="51"/>
      <c r="R502" s="57" t="str">
        <f>IF(AND($E502=RelConducteur,$J502="Professionnel",ISNUMBER($C502),$C502&gt;=RelDebut,$C502&lt;=RelFin),COUNTIFS($E$9:$E502,RelConducteur,$J$9:$J502,"Professionnel",$C$9:$C502,"&gt;="&amp;RelDebut,$C$9:$C502,"&lt;="&amp;RelFin),"")</f>
        <v/>
      </c>
    </row>
    <row r="503" spans="2:18" ht="18" customHeight="1" x14ac:dyDescent="0.25">
      <c r="B503" s="48" t="str">
        <f>IF(C503="","",COUNT($C$9:C503))</f>
        <v/>
      </c>
      <c r="C503" s="49"/>
      <c r="D503" s="50"/>
      <c r="E503" s="51"/>
      <c r="F503" s="52" t="str">
        <f t="shared" si="28"/>
        <v/>
      </c>
      <c r="G503" s="51"/>
      <c r="H503" s="51"/>
      <c r="I503" s="51"/>
      <c r="J503" s="51"/>
      <c r="K503" s="53"/>
      <c r="L503" s="53"/>
      <c r="M503" s="54" t="str">
        <f t="shared" si="29"/>
        <v/>
      </c>
      <c r="N503" s="55" t="str">
        <f t="shared" si="30"/>
        <v/>
      </c>
      <c r="O503" s="56" t="str">
        <f t="shared" si="31"/>
        <v/>
      </c>
      <c r="P503" s="51"/>
      <c r="R503" s="57" t="str">
        <f>IF(AND($E503=RelConducteur,$J503="Professionnel",ISNUMBER($C503),$C503&gt;=RelDebut,$C503&lt;=RelFin),COUNTIFS($E$9:$E503,RelConducteur,$J$9:$J503,"Professionnel",$C$9:$C503,"&gt;="&amp;RelDebut,$C$9:$C503,"&lt;="&amp;RelFin),"")</f>
        <v/>
      </c>
    </row>
    <row r="504" spans="2:18" ht="18" customHeight="1" x14ac:dyDescent="0.25">
      <c r="B504" s="48" t="str">
        <f>IF(C504="","",COUNT($C$9:C504))</f>
        <v/>
      </c>
      <c r="C504" s="49"/>
      <c r="D504" s="50"/>
      <c r="E504" s="51"/>
      <c r="F504" s="52" t="str">
        <f t="shared" si="28"/>
        <v/>
      </c>
      <c r="G504" s="51"/>
      <c r="H504" s="51"/>
      <c r="I504" s="51"/>
      <c r="J504" s="51"/>
      <c r="K504" s="53"/>
      <c r="L504" s="53"/>
      <c r="M504" s="54" t="str">
        <f t="shared" si="29"/>
        <v/>
      </c>
      <c r="N504" s="55" t="str">
        <f t="shared" si="30"/>
        <v/>
      </c>
      <c r="O504" s="56" t="str">
        <f t="shared" si="31"/>
        <v/>
      </c>
      <c r="P504" s="51"/>
      <c r="R504" s="57" t="str">
        <f>IF(AND($E504=RelConducteur,$J504="Professionnel",ISNUMBER($C504),$C504&gt;=RelDebut,$C504&lt;=RelFin),COUNTIFS($E$9:$E504,RelConducteur,$J$9:$J504,"Professionnel",$C$9:$C504,"&gt;="&amp;RelDebut,$C$9:$C504,"&lt;="&amp;RelFin),"")</f>
        <v/>
      </c>
    </row>
    <row r="505" spans="2:18" ht="18" customHeight="1" x14ac:dyDescent="0.25">
      <c r="B505" s="48" t="str">
        <f>IF(C505="","",COUNT($C$9:C505))</f>
        <v/>
      </c>
      <c r="C505" s="49"/>
      <c r="D505" s="50"/>
      <c r="E505" s="51"/>
      <c r="F505" s="52" t="str">
        <f t="shared" si="28"/>
        <v/>
      </c>
      <c r="G505" s="51"/>
      <c r="H505" s="51"/>
      <c r="I505" s="51"/>
      <c r="J505" s="51"/>
      <c r="K505" s="53"/>
      <c r="L505" s="53"/>
      <c r="M505" s="54" t="str">
        <f t="shared" si="29"/>
        <v/>
      </c>
      <c r="N505" s="55" t="str">
        <f t="shared" si="30"/>
        <v/>
      </c>
      <c r="O505" s="56" t="str">
        <f t="shared" si="31"/>
        <v/>
      </c>
      <c r="P505" s="51"/>
      <c r="R505" s="57" t="str">
        <f>IF(AND($E505=RelConducteur,$J505="Professionnel",ISNUMBER($C505),$C505&gt;=RelDebut,$C505&lt;=RelFin),COUNTIFS($E$9:$E505,RelConducteur,$J$9:$J505,"Professionnel",$C$9:$C505,"&gt;="&amp;RelDebut,$C$9:$C505,"&lt;="&amp;RelFin),"")</f>
        <v/>
      </c>
    </row>
    <row r="506" spans="2:18" ht="18" customHeight="1" x14ac:dyDescent="0.25">
      <c r="B506" s="48" t="str">
        <f>IF(C506="","",COUNT($C$9:C506))</f>
        <v/>
      </c>
      <c r="C506" s="49"/>
      <c r="D506" s="50"/>
      <c r="E506" s="51"/>
      <c r="F506" s="52" t="str">
        <f t="shared" si="28"/>
        <v/>
      </c>
      <c r="G506" s="51"/>
      <c r="H506" s="51"/>
      <c r="I506" s="51"/>
      <c r="J506" s="51"/>
      <c r="K506" s="53"/>
      <c r="L506" s="53"/>
      <c r="M506" s="54" t="str">
        <f t="shared" si="29"/>
        <v/>
      </c>
      <c r="N506" s="55" t="str">
        <f t="shared" si="30"/>
        <v/>
      </c>
      <c r="O506" s="56" t="str">
        <f t="shared" si="31"/>
        <v/>
      </c>
      <c r="P506" s="51"/>
      <c r="R506" s="57" t="str">
        <f>IF(AND($E506=RelConducteur,$J506="Professionnel",ISNUMBER($C506),$C506&gt;=RelDebut,$C506&lt;=RelFin),COUNTIFS($E$9:$E506,RelConducteur,$J$9:$J506,"Professionnel",$C$9:$C506,"&gt;="&amp;RelDebut,$C$9:$C506,"&lt;="&amp;RelFin),"")</f>
        <v/>
      </c>
    </row>
    <row r="507" spans="2:18" ht="18" customHeight="1" x14ac:dyDescent="0.25">
      <c r="B507" s="48" t="str">
        <f>IF(C507="","",COUNT($C$9:C507))</f>
        <v/>
      </c>
      <c r="C507" s="49"/>
      <c r="D507" s="50"/>
      <c r="E507" s="51"/>
      <c r="F507" s="52" t="str">
        <f t="shared" si="28"/>
        <v/>
      </c>
      <c r="G507" s="51"/>
      <c r="H507" s="51"/>
      <c r="I507" s="51"/>
      <c r="J507" s="51"/>
      <c r="K507" s="53"/>
      <c r="L507" s="53"/>
      <c r="M507" s="54" t="str">
        <f t="shared" si="29"/>
        <v/>
      </c>
      <c r="N507" s="55" t="str">
        <f t="shared" si="30"/>
        <v/>
      </c>
      <c r="O507" s="56" t="str">
        <f t="shared" si="31"/>
        <v/>
      </c>
      <c r="P507" s="51"/>
      <c r="R507" s="57" t="str">
        <f>IF(AND($E507=RelConducteur,$J507="Professionnel",ISNUMBER($C507),$C507&gt;=RelDebut,$C507&lt;=RelFin),COUNTIFS($E$9:$E507,RelConducteur,$J$9:$J507,"Professionnel",$C$9:$C507,"&gt;="&amp;RelDebut,$C$9:$C507,"&lt;="&amp;RelFin),"")</f>
        <v/>
      </c>
    </row>
    <row r="508" spans="2:18" ht="18" customHeight="1" x14ac:dyDescent="0.25">
      <c r="B508" s="48" t="str">
        <f>IF(C508="","",COUNT($C$9:C508))</f>
        <v/>
      </c>
      <c r="C508" s="49"/>
      <c r="D508" s="50"/>
      <c r="E508" s="51"/>
      <c r="F508" s="52" t="str">
        <f t="shared" si="28"/>
        <v/>
      </c>
      <c r="G508" s="51"/>
      <c r="H508" s="51"/>
      <c r="I508" s="51"/>
      <c r="J508" s="51"/>
      <c r="K508" s="53"/>
      <c r="L508" s="53"/>
      <c r="M508" s="54" t="str">
        <f t="shared" si="29"/>
        <v/>
      </c>
      <c r="N508" s="55" t="str">
        <f t="shared" si="30"/>
        <v/>
      </c>
      <c r="O508" s="56" t="str">
        <f t="shared" si="31"/>
        <v/>
      </c>
      <c r="P508" s="51"/>
      <c r="R508" s="57" t="str">
        <f>IF(AND($E508=RelConducteur,$J508="Professionnel",ISNUMBER($C508),$C508&gt;=RelDebut,$C508&lt;=RelFin),COUNTIFS($E$9:$E508,RelConducteur,$J$9:$J508,"Professionnel",$C$9:$C508,"&gt;="&amp;RelDebut,$C$9:$C508,"&lt;="&amp;RelFin),"")</f>
        <v/>
      </c>
    </row>
    <row r="509" spans="2:18" ht="18" customHeight="1" x14ac:dyDescent="0.25">
      <c r="B509" s="48" t="str">
        <f>IF(C509="","",COUNT($C$9:C509))</f>
        <v/>
      </c>
      <c r="C509" s="49"/>
      <c r="D509" s="50"/>
      <c r="E509" s="51"/>
      <c r="F509" s="52" t="str">
        <f t="shared" si="28"/>
        <v/>
      </c>
      <c r="G509" s="51"/>
      <c r="H509" s="51"/>
      <c r="I509" s="51"/>
      <c r="J509" s="51"/>
      <c r="K509" s="53"/>
      <c r="L509" s="53"/>
      <c r="M509" s="54" t="str">
        <f t="shared" si="29"/>
        <v/>
      </c>
      <c r="N509" s="55" t="str">
        <f t="shared" si="30"/>
        <v/>
      </c>
      <c r="O509" s="56" t="str">
        <f t="shared" si="31"/>
        <v/>
      </c>
      <c r="P509" s="51"/>
      <c r="R509" s="57" t="str">
        <f>IF(AND($E509=RelConducteur,$J509="Professionnel",ISNUMBER($C509),$C509&gt;=RelDebut,$C509&lt;=RelFin),COUNTIFS($E$9:$E509,RelConducteur,$J$9:$J509,"Professionnel",$C$9:$C509,"&gt;="&amp;RelDebut,$C$9:$C509,"&lt;="&amp;RelFin),"")</f>
        <v/>
      </c>
    </row>
    <row r="510" spans="2:18" ht="18" customHeight="1" x14ac:dyDescent="0.25">
      <c r="B510" s="48" t="str">
        <f>IF(C510="","",COUNT($C$9:C510))</f>
        <v/>
      </c>
      <c r="C510" s="49"/>
      <c r="D510" s="50"/>
      <c r="E510" s="51"/>
      <c r="F510" s="52" t="str">
        <f t="shared" si="28"/>
        <v/>
      </c>
      <c r="G510" s="51"/>
      <c r="H510" s="51"/>
      <c r="I510" s="51"/>
      <c r="J510" s="51"/>
      <c r="K510" s="53"/>
      <c r="L510" s="53"/>
      <c r="M510" s="54" t="str">
        <f t="shared" si="29"/>
        <v/>
      </c>
      <c r="N510" s="55" t="str">
        <f t="shared" si="30"/>
        <v/>
      </c>
      <c r="O510" s="56" t="str">
        <f t="shared" si="31"/>
        <v/>
      </c>
      <c r="P510" s="51"/>
      <c r="R510" s="57" t="str">
        <f>IF(AND($E510=RelConducteur,$J510="Professionnel",ISNUMBER($C510),$C510&gt;=RelDebut,$C510&lt;=RelFin),COUNTIFS($E$9:$E510,RelConducteur,$J$9:$J510,"Professionnel",$C$9:$C510,"&gt;="&amp;RelDebut,$C$9:$C510,"&lt;="&amp;RelFin),"")</f>
        <v/>
      </c>
    </row>
    <row r="511" spans="2:18" ht="18" customHeight="1" x14ac:dyDescent="0.25">
      <c r="B511" s="48" t="str">
        <f>IF(C511="","",COUNT($C$9:C511))</f>
        <v/>
      </c>
      <c r="C511" s="49"/>
      <c r="D511" s="50"/>
      <c r="E511" s="51"/>
      <c r="F511" s="52" t="str">
        <f t="shared" si="28"/>
        <v/>
      </c>
      <c r="G511" s="51"/>
      <c r="H511" s="51"/>
      <c r="I511" s="51"/>
      <c r="J511" s="51"/>
      <c r="K511" s="53"/>
      <c r="L511" s="53"/>
      <c r="M511" s="54" t="str">
        <f t="shared" si="29"/>
        <v/>
      </c>
      <c r="N511" s="55" t="str">
        <f t="shared" si="30"/>
        <v/>
      </c>
      <c r="O511" s="56" t="str">
        <f t="shared" si="31"/>
        <v/>
      </c>
      <c r="P511" s="51"/>
      <c r="R511" s="57" t="str">
        <f>IF(AND($E511=RelConducteur,$J511="Professionnel",ISNUMBER($C511),$C511&gt;=RelDebut,$C511&lt;=RelFin),COUNTIFS($E$9:$E511,RelConducteur,$J$9:$J511,"Professionnel",$C$9:$C511,"&gt;="&amp;RelDebut,$C$9:$C511,"&lt;="&amp;RelFin),"")</f>
        <v/>
      </c>
    </row>
    <row r="512" spans="2:18" ht="18" customHeight="1" x14ac:dyDescent="0.25">
      <c r="B512" s="48" t="str">
        <f>IF(C512="","",COUNT($C$9:C512))</f>
        <v/>
      </c>
      <c r="C512" s="49"/>
      <c r="D512" s="50"/>
      <c r="E512" s="51"/>
      <c r="F512" s="52" t="str">
        <f t="shared" si="28"/>
        <v/>
      </c>
      <c r="G512" s="51"/>
      <c r="H512" s="51"/>
      <c r="I512" s="51"/>
      <c r="J512" s="51"/>
      <c r="K512" s="53"/>
      <c r="L512" s="53"/>
      <c r="M512" s="54" t="str">
        <f t="shared" si="29"/>
        <v/>
      </c>
      <c r="N512" s="55" t="str">
        <f t="shared" si="30"/>
        <v/>
      </c>
      <c r="O512" s="56" t="str">
        <f t="shared" si="31"/>
        <v/>
      </c>
      <c r="P512" s="51"/>
      <c r="R512" s="57" t="str">
        <f>IF(AND($E512=RelConducteur,$J512="Professionnel",ISNUMBER($C512),$C512&gt;=RelDebut,$C512&lt;=RelFin),COUNTIFS($E$9:$E512,RelConducteur,$J$9:$J512,"Professionnel",$C$9:$C512,"&gt;="&amp;RelDebut,$C$9:$C512,"&lt;="&amp;RelFin),"")</f>
        <v/>
      </c>
    </row>
    <row r="513" spans="2:18" ht="18" customHeight="1" x14ac:dyDescent="0.25">
      <c r="B513" s="48" t="str">
        <f>IF(C513="","",COUNT($C$9:C513))</f>
        <v/>
      </c>
      <c r="C513" s="49"/>
      <c r="D513" s="50"/>
      <c r="E513" s="51"/>
      <c r="F513" s="52" t="str">
        <f t="shared" si="28"/>
        <v/>
      </c>
      <c r="G513" s="51"/>
      <c r="H513" s="51"/>
      <c r="I513" s="51"/>
      <c r="J513" s="51"/>
      <c r="K513" s="53"/>
      <c r="L513" s="53"/>
      <c r="M513" s="54" t="str">
        <f t="shared" si="29"/>
        <v/>
      </c>
      <c r="N513" s="55" t="str">
        <f t="shared" si="30"/>
        <v/>
      </c>
      <c r="O513" s="56" t="str">
        <f t="shared" si="31"/>
        <v/>
      </c>
      <c r="P513" s="51"/>
      <c r="R513" s="57" t="str">
        <f>IF(AND($E513=RelConducteur,$J513="Professionnel",ISNUMBER($C513),$C513&gt;=RelDebut,$C513&lt;=RelFin),COUNTIFS($E$9:$E513,RelConducteur,$J$9:$J513,"Professionnel",$C$9:$C513,"&gt;="&amp;RelDebut,$C$9:$C513,"&lt;="&amp;RelFin),"")</f>
        <v/>
      </c>
    </row>
    <row r="514" spans="2:18" ht="18" customHeight="1" x14ac:dyDescent="0.25">
      <c r="B514" s="48" t="str">
        <f>IF(C514="","",COUNT($C$9:C514))</f>
        <v/>
      </c>
      <c r="C514" s="49"/>
      <c r="D514" s="50"/>
      <c r="E514" s="51"/>
      <c r="F514" s="52" t="str">
        <f t="shared" si="28"/>
        <v/>
      </c>
      <c r="G514" s="51"/>
      <c r="H514" s="51"/>
      <c r="I514" s="51"/>
      <c r="J514" s="51"/>
      <c r="K514" s="53"/>
      <c r="L514" s="53"/>
      <c r="M514" s="54" t="str">
        <f t="shared" si="29"/>
        <v/>
      </c>
      <c r="N514" s="55" t="str">
        <f t="shared" si="30"/>
        <v/>
      </c>
      <c r="O514" s="56" t="str">
        <f t="shared" si="31"/>
        <v/>
      </c>
      <c r="P514" s="51"/>
      <c r="R514" s="57" t="str">
        <f>IF(AND($E514=RelConducteur,$J514="Professionnel",ISNUMBER($C514),$C514&gt;=RelDebut,$C514&lt;=RelFin),COUNTIFS($E$9:$E514,RelConducteur,$J$9:$J514,"Professionnel",$C$9:$C514,"&gt;="&amp;RelDebut,$C$9:$C514,"&lt;="&amp;RelFin),"")</f>
        <v/>
      </c>
    </row>
    <row r="515" spans="2:18" ht="18" customHeight="1" x14ac:dyDescent="0.25">
      <c r="B515" s="48" t="str">
        <f>IF(C515="","",COUNT($C$9:C515))</f>
        <v/>
      </c>
      <c r="C515" s="49"/>
      <c r="D515" s="50"/>
      <c r="E515" s="51"/>
      <c r="F515" s="52" t="str">
        <f t="shared" si="28"/>
        <v/>
      </c>
      <c r="G515" s="51"/>
      <c r="H515" s="51"/>
      <c r="I515" s="51"/>
      <c r="J515" s="51"/>
      <c r="K515" s="53"/>
      <c r="L515" s="53"/>
      <c r="M515" s="54" t="str">
        <f t="shared" si="29"/>
        <v/>
      </c>
      <c r="N515" s="55" t="str">
        <f t="shared" si="30"/>
        <v/>
      </c>
      <c r="O515" s="56" t="str">
        <f t="shared" si="31"/>
        <v/>
      </c>
      <c r="P515" s="51"/>
      <c r="R515" s="57" t="str">
        <f>IF(AND($E515=RelConducteur,$J515="Professionnel",ISNUMBER($C515),$C515&gt;=RelDebut,$C515&lt;=RelFin),COUNTIFS($E$9:$E515,RelConducteur,$J$9:$J515,"Professionnel",$C$9:$C515,"&gt;="&amp;RelDebut,$C$9:$C515,"&lt;="&amp;RelFin),"")</f>
        <v/>
      </c>
    </row>
    <row r="516" spans="2:18" ht="18" customHeight="1" x14ac:dyDescent="0.25">
      <c r="B516" s="48" t="str">
        <f>IF(C516="","",COUNT($C$9:C516))</f>
        <v/>
      </c>
      <c r="C516" s="49"/>
      <c r="D516" s="50"/>
      <c r="E516" s="51"/>
      <c r="F516" s="52" t="str">
        <f t="shared" si="28"/>
        <v/>
      </c>
      <c r="G516" s="51"/>
      <c r="H516" s="51"/>
      <c r="I516" s="51"/>
      <c r="J516" s="51"/>
      <c r="K516" s="53"/>
      <c r="L516" s="53"/>
      <c r="M516" s="54" t="str">
        <f t="shared" si="29"/>
        <v/>
      </c>
      <c r="N516" s="55" t="str">
        <f t="shared" si="30"/>
        <v/>
      </c>
      <c r="O516" s="56" t="str">
        <f t="shared" si="31"/>
        <v/>
      </c>
      <c r="P516" s="51"/>
      <c r="R516" s="57" t="str">
        <f>IF(AND($E516=RelConducteur,$J516="Professionnel",ISNUMBER($C516),$C516&gt;=RelDebut,$C516&lt;=RelFin),COUNTIFS($E$9:$E516,RelConducteur,$J$9:$J516,"Professionnel",$C$9:$C516,"&gt;="&amp;RelDebut,$C$9:$C516,"&lt;="&amp;RelFin),"")</f>
        <v/>
      </c>
    </row>
    <row r="517" spans="2:18" ht="18" customHeight="1" x14ac:dyDescent="0.25">
      <c r="B517" s="48" t="str">
        <f>IF(C517="","",COUNT($C$9:C517))</f>
        <v/>
      </c>
      <c r="C517" s="49"/>
      <c r="D517" s="50"/>
      <c r="E517" s="51"/>
      <c r="F517" s="52" t="str">
        <f t="shared" si="28"/>
        <v/>
      </c>
      <c r="G517" s="51"/>
      <c r="H517" s="51"/>
      <c r="I517" s="51"/>
      <c r="J517" s="51"/>
      <c r="K517" s="53"/>
      <c r="L517" s="53"/>
      <c r="M517" s="54" t="str">
        <f t="shared" si="29"/>
        <v/>
      </c>
      <c r="N517" s="55" t="str">
        <f t="shared" si="30"/>
        <v/>
      </c>
      <c r="O517" s="56" t="str">
        <f t="shared" si="31"/>
        <v/>
      </c>
      <c r="P517" s="51"/>
      <c r="R517" s="57" t="str">
        <f>IF(AND($E517=RelConducteur,$J517="Professionnel",ISNUMBER($C517),$C517&gt;=RelDebut,$C517&lt;=RelFin),COUNTIFS($E$9:$E517,RelConducteur,$J$9:$J517,"Professionnel",$C$9:$C517,"&gt;="&amp;RelDebut,$C$9:$C517,"&lt;="&amp;RelFin),"")</f>
        <v/>
      </c>
    </row>
    <row r="518" spans="2:18" ht="18" customHeight="1" x14ac:dyDescent="0.25">
      <c r="B518" s="48" t="str">
        <f>IF(C518="","",COUNT($C$9:C518))</f>
        <v/>
      </c>
      <c r="C518" s="49"/>
      <c r="D518" s="50"/>
      <c r="E518" s="51"/>
      <c r="F518" s="52" t="str">
        <f t="shared" si="28"/>
        <v/>
      </c>
      <c r="G518" s="51"/>
      <c r="H518" s="51"/>
      <c r="I518" s="51"/>
      <c r="J518" s="51"/>
      <c r="K518" s="53"/>
      <c r="L518" s="53"/>
      <c r="M518" s="54" t="str">
        <f t="shared" si="29"/>
        <v/>
      </c>
      <c r="N518" s="55" t="str">
        <f t="shared" si="30"/>
        <v/>
      </c>
      <c r="O518" s="56" t="str">
        <f t="shared" si="31"/>
        <v/>
      </c>
      <c r="P518" s="51"/>
      <c r="R518" s="57" t="str">
        <f>IF(AND($E518=RelConducteur,$J518="Professionnel",ISNUMBER($C518),$C518&gt;=RelDebut,$C518&lt;=RelFin),COUNTIFS($E$9:$E518,RelConducteur,$J$9:$J518,"Professionnel",$C$9:$C518,"&gt;="&amp;RelDebut,$C$9:$C518,"&lt;="&amp;RelFin),"")</f>
        <v/>
      </c>
    </row>
    <row r="519" spans="2:18" ht="18" customHeight="1" x14ac:dyDescent="0.25">
      <c r="B519" s="48" t="str">
        <f>IF(C519="","",COUNT($C$9:C519))</f>
        <v/>
      </c>
      <c r="C519" s="49"/>
      <c r="D519" s="50"/>
      <c r="E519" s="51"/>
      <c r="F519" s="52" t="str">
        <f t="shared" si="28"/>
        <v/>
      </c>
      <c r="G519" s="51"/>
      <c r="H519" s="51"/>
      <c r="I519" s="51"/>
      <c r="J519" s="51"/>
      <c r="K519" s="53"/>
      <c r="L519" s="53"/>
      <c r="M519" s="54" t="str">
        <f t="shared" si="29"/>
        <v/>
      </c>
      <c r="N519" s="55" t="str">
        <f t="shared" si="30"/>
        <v/>
      </c>
      <c r="O519" s="56" t="str">
        <f t="shared" si="31"/>
        <v/>
      </c>
      <c r="P519" s="51"/>
      <c r="R519" s="57" t="str">
        <f>IF(AND($E519=RelConducteur,$J519="Professionnel",ISNUMBER($C519),$C519&gt;=RelDebut,$C519&lt;=RelFin),COUNTIFS($E$9:$E519,RelConducteur,$J$9:$J519,"Professionnel",$C$9:$C519,"&gt;="&amp;RelDebut,$C$9:$C519,"&lt;="&amp;RelFin),"")</f>
        <v/>
      </c>
    </row>
    <row r="520" spans="2:18" ht="18" customHeight="1" x14ac:dyDescent="0.25">
      <c r="B520" s="48" t="str">
        <f>IF(C520="","",COUNT($C$9:C520))</f>
        <v/>
      </c>
      <c r="C520" s="49"/>
      <c r="D520" s="50"/>
      <c r="E520" s="51"/>
      <c r="F520" s="52" t="str">
        <f t="shared" si="28"/>
        <v/>
      </c>
      <c r="G520" s="51"/>
      <c r="H520" s="51"/>
      <c r="I520" s="51"/>
      <c r="J520" s="51"/>
      <c r="K520" s="53"/>
      <c r="L520" s="53"/>
      <c r="M520" s="54" t="str">
        <f t="shared" si="29"/>
        <v/>
      </c>
      <c r="N520" s="55" t="str">
        <f t="shared" si="30"/>
        <v/>
      </c>
      <c r="O520" s="56" t="str">
        <f t="shared" si="31"/>
        <v/>
      </c>
      <c r="P520" s="51"/>
      <c r="R520" s="57" t="str">
        <f>IF(AND($E520=RelConducteur,$J520="Professionnel",ISNUMBER($C520),$C520&gt;=RelDebut,$C520&lt;=RelFin),COUNTIFS($E$9:$E520,RelConducteur,$J$9:$J520,"Professionnel",$C$9:$C520,"&gt;="&amp;RelDebut,$C$9:$C520,"&lt;="&amp;RelFin),"")</f>
        <v/>
      </c>
    </row>
    <row r="521" spans="2:18" ht="18" customHeight="1" x14ac:dyDescent="0.25">
      <c r="B521" s="48" t="str">
        <f>IF(C521="","",COUNT($C$9:C521))</f>
        <v/>
      </c>
      <c r="C521" s="49"/>
      <c r="D521" s="50"/>
      <c r="E521" s="51"/>
      <c r="F521" s="52" t="str">
        <f t="shared" ref="F521:F584" si="32">IF(OR(C521="",E521=""),"",IFERROR(INDEX(CondService,MATCH(E521,CondNoms,0))&amp;"","Conducteur inconnu"))</f>
        <v/>
      </c>
      <c r="G521" s="51"/>
      <c r="H521" s="51"/>
      <c r="I521" s="51"/>
      <c r="J521" s="51"/>
      <c r="K521" s="53"/>
      <c r="L521" s="53"/>
      <c r="M521" s="54" t="str">
        <f t="shared" ref="M521:M584" si="33">IF(OR(K521="",L521=""),"",L521-K521)</f>
        <v/>
      </c>
      <c r="N521" s="55" t="str">
        <f t="shared" si="30"/>
        <v/>
      </c>
      <c r="O521" s="56" t="str">
        <f t="shared" si="31"/>
        <v/>
      </c>
      <c r="P521" s="51"/>
      <c r="R521" s="57" t="str">
        <f>IF(AND($E521=RelConducteur,$J521="Professionnel",ISNUMBER($C521),$C521&gt;=RelDebut,$C521&lt;=RelFin),COUNTIFS($E$9:$E521,RelConducteur,$J$9:$J521,"Professionnel",$C$9:$C521,"&gt;="&amp;RelDebut,$C$9:$C521,"&lt;="&amp;RelFin),"")</f>
        <v/>
      </c>
    </row>
    <row r="522" spans="2:18" ht="18" customHeight="1" x14ac:dyDescent="0.25">
      <c r="B522" s="48" t="str">
        <f>IF(C522="","",COUNT($C$9:C522))</f>
        <v/>
      </c>
      <c r="C522" s="49"/>
      <c r="D522" s="50"/>
      <c r="E522" s="51"/>
      <c r="F522" s="52" t="str">
        <f t="shared" si="32"/>
        <v/>
      </c>
      <c r="G522" s="51"/>
      <c r="H522" s="51"/>
      <c r="I522" s="51"/>
      <c r="J522" s="51"/>
      <c r="K522" s="53"/>
      <c r="L522" s="53"/>
      <c r="M522" s="54" t="str">
        <f t="shared" si="33"/>
        <v/>
      </c>
      <c r="N522" s="55" t="str">
        <f t="shared" ref="N522:N585" si="34">IF(OR(C522="",K522="",L521=""),"",K522-L521)</f>
        <v/>
      </c>
      <c r="O522" s="56" t="str">
        <f t="shared" ref="O522:O585" si="35">IF(C522="","",IF(OR(E522="",G522="",H522="",J522="",K522="",L522="",AND(J522="Professionnel",I522="")),"Incomplet",IF(AND(ISNUMBER(C521),C522&lt;C521),"Ordre des dates",IF(L522&lt;K522,"Compteur incohérent",IF(AND(ISNUMBER(N522),N522&gt;ToleranceKm),"Km non enregistrés",IF(AND(ISNUMBER(N522),N522&lt;-ToleranceKm),"Chevauchement",IF(AND(J522="Personnel",UsagePrive="Non"),"Usage privé non autorisé","Conforme")))))))</f>
        <v/>
      </c>
      <c r="P522" s="51"/>
      <c r="R522" s="57" t="str">
        <f>IF(AND($E522=RelConducteur,$J522="Professionnel",ISNUMBER($C522),$C522&gt;=RelDebut,$C522&lt;=RelFin),COUNTIFS($E$9:$E522,RelConducteur,$J$9:$J522,"Professionnel",$C$9:$C522,"&gt;="&amp;RelDebut,$C$9:$C522,"&lt;="&amp;RelFin),"")</f>
        <v/>
      </c>
    </row>
    <row r="523" spans="2:18" ht="18" customHeight="1" x14ac:dyDescent="0.25">
      <c r="B523" s="48" t="str">
        <f>IF(C523="","",COUNT($C$9:C523))</f>
        <v/>
      </c>
      <c r="C523" s="49"/>
      <c r="D523" s="50"/>
      <c r="E523" s="51"/>
      <c r="F523" s="52" t="str">
        <f t="shared" si="32"/>
        <v/>
      </c>
      <c r="G523" s="51"/>
      <c r="H523" s="51"/>
      <c r="I523" s="51"/>
      <c r="J523" s="51"/>
      <c r="K523" s="53"/>
      <c r="L523" s="53"/>
      <c r="M523" s="54" t="str">
        <f t="shared" si="33"/>
        <v/>
      </c>
      <c r="N523" s="55" t="str">
        <f t="shared" si="34"/>
        <v/>
      </c>
      <c r="O523" s="56" t="str">
        <f t="shared" si="35"/>
        <v/>
      </c>
      <c r="P523" s="51"/>
      <c r="R523" s="57" t="str">
        <f>IF(AND($E523=RelConducteur,$J523="Professionnel",ISNUMBER($C523),$C523&gt;=RelDebut,$C523&lt;=RelFin),COUNTIFS($E$9:$E523,RelConducteur,$J$9:$J523,"Professionnel",$C$9:$C523,"&gt;="&amp;RelDebut,$C$9:$C523,"&lt;="&amp;RelFin),"")</f>
        <v/>
      </c>
    </row>
    <row r="524" spans="2:18" ht="18" customHeight="1" x14ac:dyDescent="0.25">
      <c r="B524" s="48" t="str">
        <f>IF(C524="","",COUNT($C$9:C524))</f>
        <v/>
      </c>
      <c r="C524" s="49"/>
      <c r="D524" s="50"/>
      <c r="E524" s="51"/>
      <c r="F524" s="52" t="str">
        <f t="shared" si="32"/>
        <v/>
      </c>
      <c r="G524" s="51"/>
      <c r="H524" s="51"/>
      <c r="I524" s="51"/>
      <c r="J524" s="51"/>
      <c r="K524" s="53"/>
      <c r="L524" s="53"/>
      <c r="M524" s="54" t="str">
        <f t="shared" si="33"/>
        <v/>
      </c>
      <c r="N524" s="55" t="str">
        <f t="shared" si="34"/>
        <v/>
      </c>
      <c r="O524" s="56" t="str">
        <f t="shared" si="35"/>
        <v/>
      </c>
      <c r="P524" s="51"/>
      <c r="R524" s="57" t="str">
        <f>IF(AND($E524=RelConducteur,$J524="Professionnel",ISNUMBER($C524),$C524&gt;=RelDebut,$C524&lt;=RelFin),COUNTIFS($E$9:$E524,RelConducteur,$J$9:$J524,"Professionnel",$C$9:$C524,"&gt;="&amp;RelDebut,$C$9:$C524,"&lt;="&amp;RelFin),"")</f>
        <v/>
      </c>
    </row>
    <row r="525" spans="2:18" ht="18" customHeight="1" x14ac:dyDescent="0.25">
      <c r="B525" s="48" t="str">
        <f>IF(C525="","",COUNT($C$9:C525))</f>
        <v/>
      </c>
      <c r="C525" s="49"/>
      <c r="D525" s="50"/>
      <c r="E525" s="51"/>
      <c r="F525" s="52" t="str">
        <f t="shared" si="32"/>
        <v/>
      </c>
      <c r="G525" s="51"/>
      <c r="H525" s="51"/>
      <c r="I525" s="51"/>
      <c r="J525" s="51"/>
      <c r="K525" s="53"/>
      <c r="L525" s="53"/>
      <c r="M525" s="54" t="str">
        <f t="shared" si="33"/>
        <v/>
      </c>
      <c r="N525" s="55" t="str">
        <f t="shared" si="34"/>
        <v/>
      </c>
      <c r="O525" s="56" t="str">
        <f t="shared" si="35"/>
        <v/>
      </c>
      <c r="P525" s="51"/>
      <c r="R525" s="57" t="str">
        <f>IF(AND($E525=RelConducteur,$J525="Professionnel",ISNUMBER($C525),$C525&gt;=RelDebut,$C525&lt;=RelFin),COUNTIFS($E$9:$E525,RelConducteur,$J$9:$J525,"Professionnel",$C$9:$C525,"&gt;="&amp;RelDebut,$C$9:$C525,"&lt;="&amp;RelFin),"")</f>
        <v/>
      </c>
    </row>
    <row r="526" spans="2:18" ht="18" customHeight="1" x14ac:dyDescent="0.25">
      <c r="B526" s="48" t="str">
        <f>IF(C526="","",COUNT($C$9:C526))</f>
        <v/>
      </c>
      <c r="C526" s="49"/>
      <c r="D526" s="50"/>
      <c r="E526" s="51"/>
      <c r="F526" s="52" t="str">
        <f t="shared" si="32"/>
        <v/>
      </c>
      <c r="G526" s="51"/>
      <c r="H526" s="51"/>
      <c r="I526" s="51"/>
      <c r="J526" s="51"/>
      <c r="K526" s="53"/>
      <c r="L526" s="53"/>
      <c r="M526" s="54" t="str">
        <f t="shared" si="33"/>
        <v/>
      </c>
      <c r="N526" s="55" t="str">
        <f t="shared" si="34"/>
        <v/>
      </c>
      <c r="O526" s="56" t="str">
        <f t="shared" si="35"/>
        <v/>
      </c>
      <c r="P526" s="51"/>
      <c r="R526" s="57" t="str">
        <f>IF(AND($E526=RelConducteur,$J526="Professionnel",ISNUMBER($C526),$C526&gt;=RelDebut,$C526&lt;=RelFin),COUNTIFS($E$9:$E526,RelConducteur,$J$9:$J526,"Professionnel",$C$9:$C526,"&gt;="&amp;RelDebut,$C$9:$C526,"&lt;="&amp;RelFin),"")</f>
        <v/>
      </c>
    </row>
    <row r="527" spans="2:18" ht="18" customHeight="1" x14ac:dyDescent="0.25">
      <c r="B527" s="48" t="str">
        <f>IF(C527="","",COUNT($C$9:C527))</f>
        <v/>
      </c>
      <c r="C527" s="49"/>
      <c r="D527" s="50"/>
      <c r="E527" s="51"/>
      <c r="F527" s="52" t="str">
        <f t="shared" si="32"/>
        <v/>
      </c>
      <c r="G527" s="51"/>
      <c r="H527" s="51"/>
      <c r="I527" s="51"/>
      <c r="J527" s="51"/>
      <c r="K527" s="53"/>
      <c r="L527" s="53"/>
      <c r="M527" s="54" t="str">
        <f t="shared" si="33"/>
        <v/>
      </c>
      <c r="N527" s="55" t="str">
        <f t="shared" si="34"/>
        <v/>
      </c>
      <c r="O527" s="56" t="str">
        <f t="shared" si="35"/>
        <v/>
      </c>
      <c r="P527" s="51"/>
      <c r="R527" s="57" t="str">
        <f>IF(AND($E527=RelConducteur,$J527="Professionnel",ISNUMBER($C527),$C527&gt;=RelDebut,$C527&lt;=RelFin),COUNTIFS($E$9:$E527,RelConducteur,$J$9:$J527,"Professionnel",$C$9:$C527,"&gt;="&amp;RelDebut,$C$9:$C527,"&lt;="&amp;RelFin),"")</f>
        <v/>
      </c>
    </row>
    <row r="528" spans="2:18" ht="18" customHeight="1" x14ac:dyDescent="0.25">
      <c r="B528" s="48" t="str">
        <f>IF(C528="","",COUNT($C$9:C528))</f>
        <v/>
      </c>
      <c r="C528" s="49"/>
      <c r="D528" s="50"/>
      <c r="E528" s="51"/>
      <c r="F528" s="52" t="str">
        <f t="shared" si="32"/>
        <v/>
      </c>
      <c r="G528" s="51"/>
      <c r="H528" s="51"/>
      <c r="I528" s="51"/>
      <c r="J528" s="51"/>
      <c r="K528" s="53"/>
      <c r="L528" s="53"/>
      <c r="M528" s="54" t="str">
        <f t="shared" si="33"/>
        <v/>
      </c>
      <c r="N528" s="55" t="str">
        <f t="shared" si="34"/>
        <v/>
      </c>
      <c r="O528" s="56" t="str">
        <f t="shared" si="35"/>
        <v/>
      </c>
      <c r="P528" s="51"/>
      <c r="R528" s="57" t="str">
        <f>IF(AND($E528=RelConducteur,$J528="Professionnel",ISNUMBER($C528),$C528&gt;=RelDebut,$C528&lt;=RelFin),COUNTIFS($E$9:$E528,RelConducteur,$J$9:$J528,"Professionnel",$C$9:$C528,"&gt;="&amp;RelDebut,$C$9:$C528,"&lt;="&amp;RelFin),"")</f>
        <v/>
      </c>
    </row>
    <row r="529" spans="2:18" ht="18" customHeight="1" x14ac:dyDescent="0.25">
      <c r="B529" s="48" t="str">
        <f>IF(C529="","",COUNT($C$9:C529))</f>
        <v/>
      </c>
      <c r="C529" s="49"/>
      <c r="D529" s="50"/>
      <c r="E529" s="51"/>
      <c r="F529" s="52" t="str">
        <f t="shared" si="32"/>
        <v/>
      </c>
      <c r="G529" s="51"/>
      <c r="H529" s="51"/>
      <c r="I529" s="51"/>
      <c r="J529" s="51"/>
      <c r="K529" s="53"/>
      <c r="L529" s="53"/>
      <c r="M529" s="54" t="str">
        <f t="shared" si="33"/>
        <v/>
      </c>
      <c r="N529" s="55" t="str">
        <f t="shared" si="34"/>
        <v/>
      </c>
      <c r="O529" s="56" t="str">
        <f t="shared" si="35"/>
        <v/>
      </c>
      <c r="P529" s="51"/>
      <c r="R529" s="57" t="str">
        <f>IF(AND($E529=RelConducteur,$J529="Professionnel",ISNUMBER($C529),$C529&gt;=RelDebut,$C529&lt;=RelFin),COUNTIFS($E$9:$E529,RelConducteur,$J$9:$J529,"Professionnel",$C$9:$C529,"&gt;="&amp;RelDebut,$C$9:$C529,"&lt;="&amp;RelFin),"")</f>
        <v/>
      </c>
    </row>
    <row r="530" spans="2:18" ht="18" customHeight="1" x14ac:dyDescent="0.25">
      <c r="B530" s="48" t="str">
        <f>IF(C530="","",COUNT($C$9:C530))</f>
        <v/>
      </c>
      <c r="C530" s="49"/>
      <c r="D530" s="50"/>
      <c r="E530" s="51"/>
      <c r="F530" s="52" t="str">
        <f t="shared" si="32"/>
        <v/>
      </c>
      <c r="G530" s="51"/>
      <c r="H530" s="51"/>
      <c r="I530" s="51"/>
      <c r="J530" s="51"/>
      <c r="K530" s="53"/>
      <c r="L530" s="53"/>
      <c r="M530" s="54" t="str">
        <f t="shared" si="33"/>
        <v/>
      </c>
      <c r="N530" s="55" t="str">
        <f t="shared" si="34"/>
        <v/>
      </c>
      <c r="O530" s="56" t="str">
        <f t="shared" si="35"/>
        <v/>
      </c>
      <c r="P530" s="51"/>
      <c r="R530" s="57" t="str">
        <f>IF(AND($E530=RelConducteur,$J530="Professionnel",ISNUMBER($C530),$C530&gt;=RelDebut,$C530&lt;=RelFin),COUNTIFS($E$9:$E530,RelConducteur,$J$9:$J530,"Professionnel",$C$9:$C530,"&gt;="&amp;RelDebut,$C$9:$C530,"&lt;="&amp;RelFin),"")</f>
        <v/>
      </c>
    </row>
    <row r="531" spans="2:18" ht="18" customHeight="1" x14ac:dyDescent="0.25">
      <c r="B531" s="48" t="str">
        <f>IF(C531="","",COUNT($C$9:C531))</f>
        <v/>
      </c>
      <c r="C531" s="49"/>
      <c r="D531" s="50"/>
      <c r="E531" s="51"/>
      <c r="F531" s="52" t="str">
        <f t="shared" si="32"/>
        <v/>
      </c>
      <c r="G531" s="51"/>
      <c r="H531" s="51"/>
      <c r="I531" s="51"/>
      <c r="J531" s="51"/>
      <c r="K531" s="53"/>
      <c r="L531" s="53"/>
      <c r="M531" s="54" t="str">
        <f t="shared" si="33"/>
        <v/>
      </c>
      <c r="N531" s="55" t="str">
        <f t="shared" si="34"/>
        <v/>
      </c>
      <c r="O531" s="56" t="str">
        <f t="shared" si="35"/>
        <v/>
      </c>
      <c r="P531" s="51"/>
      <c r="R531" s="57" t="str">
        <f>IF(AND($E531=RelConducteur,$J531="Professionnel",ISNUMBER($C531),$C531&gt;=RelDebut,$C531&lt;=RelFin),COUNTIFS($E$9:$E531,RelConducteur,$J$9:$J531,"Professionnel",$C$9:$C531,"&gt;="&amp;RelDebut,$C$9:$C531,"&lt;="&amp;RelFin),"")</f>
        <v/>
      </c>
    </row>
    <row r="532" spans="2:18" ht="18" customHeight="1" x14ac:dyDescent="0.25">
      <c r="B532" s="48" t="str">
        <f>IF(C532="","",COUNT($C$9:C532))</f>
        <v/>
      </c>
      <c r="C532" s="49"/>
      <c r="D532" s="50"/>
      <c r="E532" s="51"/>
      <c r="F532" s="52" t="str">
        <f t="shared" si="32"/>
        <v/>
      </c>
      <c r="G532" s="51"/>
      <c r="H532" s="51"/>
      <c r="I532" s="51"/>
      <c r="J532" s="51"/>
      <c r="K532" s="53"/>
      <c r="L532" s="53"/>
      <c r="M532" s="54" t="str">
        <f t="shared" si="33"/>
        <v/>
      </c>
      <c r="N532" s="55" t="str">
        <f t="shared" si="34"/>
        <v/>
      </c>
      <c r="O532" s="56" t="str">
        <f t="shared" si="35"/>
        <v/>
      </c>
      <c r="P532" s="51"/>
      <c r="R532" s="57" t="str">
        <f>IF(AND($E532=RelConducteur,$J532="Professionnel",ISNUMBER($C532),$C532&gt;=RelDebut,$C532&lt;=RelFin),COUNTIFS($E$9:$E532,RelConducteur,$J$9:$J532,"Professionnel",$C$9:$C532,"&gt;="&amp;RelDebut,$C$9:$C532,"&lt;="&amp;RelFin),"")</f>
        <v/>
      </c>
    </row>
    <row r="533" spans="2:18" ht="18" customHeight="1" x14ac:dyDescent="0.25">
      <c r="B533" s="48" t="str">
        <f>IF(C533="","",COUNT($C$9:C533))</f>
        <v/>
      </c>
      <c r="C533" s="49"/>
      <c r="D533" s="50"/>
      <c r="E533" s="51"/>
      <c r="F533" s="52" t="str">
        <f t="shared" si="32"/>
        <v/>
      </c>
      <c r="G533" s="51"/>
      <c r="H533" s="51"/>
      <c r="I533" s="51"/>
      <c r="J533" s="51"/>
      <c r="K533" s="53"/>
      <c r="L533" s="53"/>
      <c r="M533" s="54" t="str">
        <f t="shared" si="33"/>
        <v/>
      </c>
      <c r="N533" s="55" t="str">
        <f t="shared" si="34"/>
        <v/>
      </c>
      <c r="O533" s="56" t="str">
        <f t="shared" si="35"/>
        <v/>
      </c>
      <c r="P533" s="51"/>
      <c r="R533" s="57" t="str">
        <f>IF(AND($E533=RelConducteur,$J533="Professionnel",ISNUMBER($C533),$C533&gt;=RelDebut,$C533&lt;=RelFin),COUNTIFS($E$9:$E533,RelConducteur,$J$9:$J533,"Professionnel",$C$9:$C533,"&gt;="&amp;RelDebut,$C$9:$C533,"&lt;="&amp;RelFin),"")</f>
        <v/>
      </c>
    </row>
    <row r="534" spans="2:18" ht="18" customHeight="1" x14ac:dyDescent="0.25">
      <c r="B534" s="48" t="str">
        <f>IF(C534="","",COUNT($C$9:C534))</f>
        <v/>
      </c>
      <c r="C534" s="49"/>
      <c r="D534" s="50"/>
      <c r="E534" s="51"/>
      <c r="F534" s="52" t="str">
        <f t="shared" si="32"/>
        <v/>
      </c>
      <c r="G534" s="51"/>
      <c r="H534" s="51"/>
      <c r="I534" s="51"/>
      <c r="J534" s="51"/>
      <c r="K534" s="53"/>
      <c r="L534" s="53"/>
      <c r="M534" s="54" t="str">
        <f t="shared" si="33"/>
        <v/>
      </c>
      <c r="N534" s="55" t="str">
        <f t="shared" si="34"/>
        <v/>
      </c>
      <c r="O534" s="56" t="str">
        <f t="shared" si="35"/>
        <v/>
      </c>
      <c r="P534" s="51"/>
      <c r="R534" s="57" t="str">
        <f>IF(AND($E534=RelConducteur,$J534="Professionnel",ISNUMBER($C534),$C534&gt;=RelDebut,$C534&lt;=RelFin),COUNTIFS($E$9:$E534,RelConducteur,$J$9:$J534,"Professionnel",$C$9:$C534,"&gt;="&amp;RelDebut,$C$9:$C534,"&lt;="&amp;RelFin),"")</f>
        <v/>
      </c>
    </row>
    <row r="535" spans="2:18" ht="18" customHeight="1" x14ac:dyDescent="0.25">
      <c r="B535" s="48" t="str">
        <f>IF(C535="","",COUNT($C$9:C535))</f>
        <v/>
      </c>
      <c r="C535" s="49"/>
      <c r="D535" s="50"/>
      <c r="E535" s="51"/>
      <c r="F535" s="52" t="str">
        <f t="shared" si="32"/>
        <v/>
      </c>
      <c r="G535" s="51"/>
      <c r="H535" s="51"/>
      <c r="I535" s="51"/>
      <c r="J535" s="51"/>
      <c r="K535" s="53"/>
      <c r="L535" s="53"/>
      <c r="M535" s="54" t="str">
        <f t="shared" si="33"/>
        <v/>
      </c>
      <c r="N535" s="55" t="str">
        <f t="shared" si="34"/>
        <v/>
      </c>
      <c r="O535" s="56" t="str">
        <f t="shared" si="35"/>
        <v/>
      </c>
      <c r="P535" s="51"/>
      <c r="R535" s="57" t="str">
        <f>IF(AND($E535=RelConducteur,$J535="Professionnel",ISNUMBER($C535),$C535&gt;=RelDebut,$C535&lt;=RelFin),COUNTIFS($E$9:$E535,RelConducteur,$J$9:$J535,"Professionnel",$C$9:$C535,"&gt;="&amp;RelDebut,$C$9:$C535,"&lt;="&amp;RelFin),"")</f>
        <v/>
      </c>
    </row>
    <row r="536" spans="2:18" ht="18" customHeight="1" x14ac:dyDescent="0.25">
      <c r="B536" s="48" t="str">
        <f>IF(C536="","",COUNT($C$9:C536))</f>
        <v/>
      </c>
      <c r="C536" s="49"/>
      <c r="D536" s="50"/>
      <c r="E536" s="51"/>
      <c r="F536" s="52" t="str">
        <f t="shared" si="32"/>
        <v/>
      </c>
      <c r="G536" s="51"/>
      <c r="H536" s="51"/>
      <c r="I536" s="51"/>
      <c r="J536" s="51"/>
      <c r="K536" s="53"/>
      <c r="L536" s="53"/>
      <c r="M536" s="54" t="str">
        <f t="shared" si="33"/>
        <v/>
      </c>
      <c r="N536" s="55" t="str">
        <f t="shared" si="34"/>
        <v/>
      </c>
      <c r="O536" s="56" t="str">
        <f t="shared" si="35"/>
        <v/>
      </c>
      <c r="P536" s="51"/>
      <c r="R536" s="57" t="str">
        <f>IF(AND($E536=RelConducteur,$J536="Professionnel",ISNUMBER($C536),$C536&gt;=RelDebut,$C536&lt;=RelFin),COUNTIFS($E$9:$E536,RelConducteur,$J$9:$J536,"Professionnel",$C$9:$C536,"&gt;="&amp;RelDebut,$C$9:$C536,"&lt;="&amp;RelFin),"")</f>
        <v/>
      </c>
    </row>
    <row r="537" spans="2:18" ht="18" customHeight="1" x14ac:dyDescent="0.25">
      <c r="B537" s="48" t="str">
        <f>IF(C537="","",COUNT($C$9:C537))</f>
        <v/>
      </c>
      <c r="C537" s="49"/>
      <c r="D537" s="50"/>
      <c r="E537" s="51"/>
      <c r="F537" s="52" t="str">
        <f t="shared" si="32"/>
        <v/>
      </c>
      <c r="G537" s="51"/>
      <c r="H537" s="51"/>
      <c r="I537" s="51"/>
      <c r="J537" s="51"/>
      <c r="K537" s="53"/>
      <c r="L537" s="53"/>
      <c r="M537" s="54" t="str">
        <f t="shared" si="33"/>
        <v/>
      </c>
      <c r="N537" s="55" t="str">
        <f t="shared" si="34"/>
        <v/>
      </c>
      <c r="O537" s="56" t="str">
        <f t="shared" si="35"/>
        <v/>
      </c>
      <c r="P537" s="51"/>
      <c r="R537" s="57" t="str">
        <f>IF(AND($E537=RelConducteur,$J537="Professionnel",ISNUMBER($C537),$C537&gt;=RelDebut,$C537&lt;=RelFin),COUNTIFS($E$9:$E537,RelConducteur,$J$9:$J537,"Professionnel",$C$9:$C537,"&gt;="&amp;RelDebut,$C$9:$C537,"&lt;="&amp;RelFin),"")</f>
        <v/>
      </c>
    </row>
    <row r="538" spans="2:18" ht="18" customHeight="1" x14ac:dyDescent="0.25">
      <c r="B538" s="48" t="str">
        <f>IF(C538="","",COUNT($C$9:C538))</f>
        <v/>
      </c>
      <c r="C538" s="49"/>
      <c r="D538" s="50"/>
      <c r="E538" s="51"/>
      <c r="F538" s="52" t="str">
        <f t="shared" si="32"/>
        <v/>
      </c>
      <c r="G538" s="51"/>
      <c r="H538" s="51"/>
      <c r="I538" s="51"/>
      <c r="J538" s="51"/>
      <c r="K538" s="53"/>
      <c r="L538" s="53"/>
      <c r="M538" s="54" t="str">
        <f t="shared" si="33"/>
        <v/>
      </c>
      <c r="N538" s="55" t="str">
        <f t="shared" si="34"/>
        <v/>
      </c>
      <c r="O538" s="56" t="str">
        <f t="shared" si="35"/>
        <v/>
      </c>
      <c r="P538" s="51"/>
      <c r="R538" s="57" t="str">
        <f>IF(AND($E538=RelConducteur,$J538="Professionnel",ISNUMBER($C538),$C538&gt;=RelDebut,$C538&lt;=RelFin),COUNTIFS($E$9:$E538,RelConducteur,$J$9:$J538,"Professionnel",$C$9:$C538,"&gt;="&amp;RelDebut,$C$9:$C538,"&lt;="&amp;RelFin),"")</f>
        <v/>
      </c>
    </row>
    <row r="539" spans="2:18" ht="18" customHeight="1" x14ac:dyDescent="0.25">
      <c r="B539" s="48" t="str">
        <f>IF(C539="","",COUNT($C$9:C539))</f>
        <v/>
      </c>
      <c r="C539" s="49"/>
      <c r="D539" s="50"/>
      <c r="E539" s="51"/>
      <c r="F539" s="52" t="str">
        <f t="shared" si="32"/>
        <v/>
      </c>
      <c r="G539" s="51"/>
      <c r="H539" s="51"/>
      <c r="I539" s="51"/>
      <c r="J539" s="51"/>
      <c r="K539" s="53"/>
      <c r="L539" s="53"/>
      <c r="M539" s="54" t="str">
        <f t="shared" si="33"/>
        <v/>
      </c>
      <c r="N539" s="55" t="str">
        <f t="shared" si="34"/>
        <v/>
      </c>
      <c r="O539" s="56" t="str">
        <f t="shared" si="35"/>
        <v/>
      </c>
      <c r="P539" s="51"/>
      <c r="R539" s="57" t="str">
        <f>IF(AND($E539=RelConducteur,$J539="Professionnel",ISNUMBER($C539),$C539&gt;=RelDebut,$C539&lt;=RelFin),COUNTIFS($E$9:$E539,RelConducteur,$J$9:$J539,"Professionnel",$C$9:$C539,"&gt;="&amp;RelDebut,$C$9:$C539,"&lt;="&amp;RelFin),"")</f>
        <v/>
      </c>
    </row>
    <row r="540" spans="2:18" ht="18" customHeight="1" x14ac:dyDescent="0.25">
      <c r="B540" s="48" t="str">
        <f>IF(C540="","",COUNT($C$9:C540))</f>
        <v/>
      </c>
      <c r="C540" s="49"/>
      <c r="D540" s="50"/>
      <c r="E540" s="51"/>
      <c r="F540" s="52" t="str">
        <f t="shared" si="32"/>
        <v/>
      </c>
      <c r="G540" s="51"/>
      <c r="H540" s="51"/>
      <c r="I540" s="51"/>
      <c r="J540" s="51"/>
      <c r="K540" s="53"/>
      <c r="L540" s="53"/>
      <c r="M540" s="54" t="str">
        <f t="shared" si="33"/>
        <v/>
      </c>
      <c r="N540" s="55" t="str">
        <f t="shared" si="34"/>
        <v/>
      </c>
      <c r="O540" s="56" t="str">
        <f t="shared" si="35"/>
        <v/>
      </c>
      <c r="P540" s="51"/>
      <c r="R540" s="57" t="str">
        <f>IF(AND($E540=RelConducteur,$J540="Professionnel",ISNUMBER($C540),$C540&gt;=RelDebut,$C540&lt;=RelFin),COUNTIFS($E$9:$E540,RelConducteur,$J$9:$J540,"Professionnel",$C$9:$C540,"&gt;="&amp;RelDebut,$C$9:$C540,"&lt;="&amp;RelFin),"")</f>
        <v/>
      </c>
    </row>
    <row r="541" spans="2:18" ht="18" customHeight="1" x14ac:dyDescent="0.25">
      <c r="B541" s="48" t="str">
        <f>IF(C541="","",COUNT($C$9:C541))</f>
        <v/>
      </c>
      <c r="C541" s="49"/>
      <c r="D541" s="50"/>
      <c r="E541" s="51"/>
      <c r="F541" s="52" t="str">
        <f t="shared" si="32"/>
        <v/>
      </c>
      <c r="G541" s="51"/>
      <c r="H541" s="51"/>
      <c r="I541" s="51"/>
      <c r="J541" s="51"/>
      <c r="K541" s="53"/>
      <c r="L541" s="53"/>
      <c r="M541" s="54" t="str">
        <f t="shared" si="33"/>
        <v/>
      </c>
      <c r="N541" s="55" t="str">
        <f t="shared" si="34"/>
        <v/>
      </c>
      <c r="O541" s="56" t="str">
        <f t="shared" si="35"/>
        <v/>
      </c>
      <c r="P541" s="51"/>
      <c r="R541" s="57" t="str">
        <f>IF(AND($E541=RelConducteur,$J541="Professionnel",ISNUMBER($C541),$C541&gt;=RelDebut,$C541&lt;=RelFin),COUNTIFS($E$9:$E541,RelConducteur,$J$9:$J541,"Professionnel",$C$9:$C541,"&gt;="&amp;RelDebut,$C$9:$C541,"&lt;="&amp;RelFin),"")</f>
        <v/>
      </c>
    </row>
    <row r="542" spans="2:18" ht="18" customHeight="1" x14ac:dyDescent="0.25">
      <c r="B542" s="48" t="str">
        <f>IF(C542="","",COUNT($C$9:C542))</f>
        <v/>
      </c>
      <c r="C542" s="49"/>
      <c r="D542" s="50"/>
      <c r="E542" s="51"/>
      <c r="F542" s="52" t="str">
        <f t="shared" si="32"/>
        <v/>
      </c>
      <c r="G542" s="51"/>
      <c r="H542" s="51"/>
      <c r="I542" s="51"/>
      <c r="J542" s="51"/>
      <c r="K542" s="53"/>
      <c r="L542" s="53"/>
      <c r="M542" s="54" t="str">
        <f t="shared" si="33"/>
        <v/>
      </c>
      <c r="N542" s="55" t="str">
        <f t="shared" si="34"/>
        <v/>
      </c>
      <c r="O542" s="56" t="str">
        <f t="shared" si="35"/>
        <v/>
      </c>
      <c r="P542" s="51"/>
      <c r="R542" s="57" t="str">
        <f>IF(AND($E542=RelConducteur,$J542="Professionnel",ISNUMBER($C542),$C542&gt;=RelDebut,$C542&lt;=RelFin),COUNTIFS($E$9:$E542,RelConducteur,$J$9:$J542,"Professionnel",$C$9:$C542,"&gt;="&amp;RelDebut,$C$9:$C542,"&lt;="&amp;RelFin),"")</f>
        <v/>
      </c>
    </row>
    <row r="543" spans="2:18" ht="18" customHeight="1" x14ac:dyDescent="0.25">
      <c r="B543" s="48" t="str">
        <f>IF(C543="","",COUNT($C$9:C543))</f>
        <v/>
      </c>
      <c r="C543" s="49"/>
      <c r="D543" s="50"/>
      <c r="E543" s="51"/>
      <c r="F543" s="52" t="str">
        <f t="shared" si="32"/>
        <v/>
      </c>
      <c r="G543" s="51"/>
      <c r="H543" s="51"/>
      <c r="I543" s="51"/>
      <c r="J543" s="51"/>
      <c r="K543" s="53"/>
      <c r="L543" s="53"/>
      <c r="M543" s="54" t="str">
        <f t="shared" si="33"/>
        <v/>
      </c>
      <c r="N543" s="55" t="str">
        <f t="shared" si="34"/>
        <v/>
      </c>
      <c r="O543" s="56" t="str">
        <f t="shared" si="35"/>
        <v/>
      </c>
      <c r="P543" s="51"/>
      <c r="R543" s="57" t="str">
        <f>IF(AND($E543=RelConducteur,$J543="Professionnel",ISNUMBER($C543),$C543&gt;=RelDebut,$C543&lt;=RelFin),COUNTIFS($E$9:$E543,RelConducteur,$J$9:$J543,"Professionnel",$C$9:$C543,"&gt;="&amp;RelDebut,$C$9:$C543,"&lt;="&amp;RelFin),"")</f>
        <v/>
      </c>
    </row>
    <row r="544" spans="2:18" ht="18" customHeight="1" x14ac:dyDescent="0.25">
      <c r="B544" s="48" t="str">
        <f>IF(C544="","",COUNT($C$9:C544))</f>
        <v/>
      </c>
      <c r="C544" s="49"/>
      <c r="D544" s="50"/>
      <c r="E544" s="51"/>
      <c r="F544" s="52" t="str">
        <f t="shared" si="32"/>
        <v/>
      </c>
      <c r="G544" s="51"/>
      <c r="H544" s="51"/>
      <c r="I544" s="51"/>
      <c r="J544" s="51"/>
      <c r="K544" s="53"/>
      <c r="L544" s="53"/>
      <c r="M544" s="54" t="str">
        <f t="shared" si="33"/>
        <v/>
      </c>
      <c r="N544" s="55" t="str">
        <f t="shared" si="34"/>
        <v/>
      </c>
      <c r="O544" s="56" t="str">
        <f t="shared" si="35"/>
        <v/>
      </c>
      <c r="P544" s="51"/>
      <c r="R544" s="57" t="str">
        <f>IF(AND($E544=RelConducteur,$J544="Professionnel",ISNUMBER($C544),$C544&gt;=RelDebut,$C544&lt;=RelFin),COUNTIFS($E$9:$E544,RelConducteur,$J$9:$J544,"Professionnel",$C$9:$C544,"&gt;="&amp;RelDebut,$C$9:$C544,"&lt;="&amp;RelFin),"")</f>
        <v/>
      </c>
    </row>
    <row r="545" spans="2:18" ht="18" customHeight="1" x14ac:dyDescent="0.25">
      <c r="B545" s="48" t="str">
        <f>IF(C545="","",COUNT($C$9:C545))</f>
        <v/>
      </c>
      <c r="C545" s="49"/>
      <c r="D545" s="50"/>
      <c r="E545" s="51"/>
      <c r="F545" s="52" t="str">
        <f t="shared" si="32"/>
        <v/>
      </c>
      <c r="G545" s="51"/>
      <c r="H545" s="51"/>
      <c r="I545" s="51"/>
      <c r="J545" s="51"/>
      <c r="K545" s="53"/>
      <c r="L545" s="53"/>
      <c r="M545" s="54" t="str">
        <f t="shared" si="33"/>
        <v/>
      </c>
      <c r="N545" s="55" t="str">
        <f t="shared" si="34"/>
        <v/>
      </c>
      <c r="O545" s="56" t="str">
        <f t="shared" si="35"/>
        <v/>
      </c>
      <c r="P545" s="51"/>
      <c r="R545" s="57" t="str">
        <f>IF(AND($E545=RelConducteur,$J545="Professionnel",ISNUMBER($C545),$C545&gt;=RelDebut,$C545&lt;=RelFin),COUNTIFS($E$9:$E545,RelConducteur,$J$9:$J545,"Professionnel",$C$9:$C545,"&gt;="&amp;RelDebut,$C$9:$C545,"&lt;="&amp;RelFin),"")</f>
        <v/>
      </c>
    </row>
    <row r="546" spans="2:18" ht="18" customHeight="1" x14ac:dyDescent="0.25">
      <c r="B546" s="48" t="str">
        <f>IF(C546="","",COUNT($C$9:C546))</f>
        <v/>
      </c>
      <c r="C546" s="49"/>
      <c r="D546" s="50"/>
      <c r="E546" s="51"/>
      <c r="F546" s="52" t="str">
        <f t="shared" si="32"/>
        <v/>
      </c>
      <c r="G546" s="51"/>
      <c r="H546" s="51"/>
      <c r="I546" s="51"/>
      <c r="J546" s="51"/>
      <c r="K546" s="53"/>
      <c r="L546" s="53"/>
      <c r="M546" s="54" t="str">
        <f t="shared" si="33"/>
        <v/>
      </c>
      <c r="N546" s="55" t="str">
        <f t="shared" si="34"/>
        <v/>
      </c>
      <c r="O546" s="56" t="str">
        <f t="shared" si="35"/>
        <v/>
      </c>
      <c r="P546" s="51"/>
      <c r="R546" s="57" t="str">
        <f>IF(AND($E546=RelConducteur,$J546="Professionnel",ISNUMBER($C546),$C546&gt;=RelDebut,$C546&lt;=RelFin),COUNTIFS($E$9:$E546,RelConducteur,$J$9:$J546,"Professionnel",$C$9:$C546,"&gt;="&amp;RelDebut,$C$9:$C546,"&lt;="&amp;RelFin),"")</f>
        <v/>
      </c>
    </row>
    <row r="547" spans="2:18" ht="18" customHeight="1" x14ac:dyDescent="0.25">
      <c r="B547" s="48" t="str">
        <f>IF(C547="","",COUNT($C$9:C547))</f>
        <v/>
      </c>
      <c r="C547" s="49"/>
      <c r="D547" s="50"/>
      <c r="E547" s="51"/>
      <c r="F547" s="52" t="str">
        <f t="shared" si="32"/>
        <v/>
      </c>
      <c r="G547" s="51"/>
      <c r="H547" s="51"/>
      <c r="I547" s="51"/>
      <c r="J547" s="51"/>
      <c r="K547" s="53"/>
      <c r="L547" s="53"/>
      <c r="M547" s="54" t="str">
        <f t="shared" si="33"/>
        <v/>
      </c>
      <c r="N547" s="55" t="str">
        <f t="shared" si="34"/>
        <v/>
      </c>
      <c r="O547" s="56" t="str">
        <f t="shared" si="35"/>
        <v/>
      </c>
      <c r="P547" s="51"/>
      <c r="R547" s="57" t="str">
        <f>IF(AND($E547=RelConducteur,$J547="Professionnel",ISNUMBER($C547),$C547&gt;=RelDebut,$C547&lt;=RelFin),COUNTIFS($E$9:$E547,RelConducteur,$J$9:$J547,"Professionnel",$C$9:$C547,"&gt;="&amp;RelDebut,$C$9:$C547,"&lt;="&amp;RelFin),"")</f>
        <v/>
      </c>
    </row>
    <row r="548" spans="2:18" ht="18" customHeight="1" x14ac:dyDescent="0.25">
      <c r="B548" s="48" t="str">
        <f>IF(C548="","",COUNT($C$9:C548))</f>
        <v/>
      </c>
      <c r="C548" s="49"/>
      <c r="D548" s="50"/>
      <c r="E548" s="51"/>
      <c r="F548" s="52" t="str">
        <f t="shared" si="32"/>
        <v/>
      </c>
      <c r="G548" s="51"/>
      <c r="H548" s="51"/>
      <c r="I548" s="51"/>
      <c r="J548" s="51"/>
      <c r="K548" s="53"/>
      <c r="L548" s="53"/>
      <c r="M548" s="54" t="str">
        <f t="shared" si="33"/>
        <v/>
      </c>
      <c r="N548" s="55" t="str">
        <f t="shared" si="34"/>
        <v/>
      </c>
      <c r="O548" s="56" t="str">
        <f t="shared" si="35"/>
        <v/>
      </c>
      <c r="P548" s="51"/>
      <c r="R548" s="57" t="str">
        <f>IF(AND($E548=RelConducteur,$J548="Professionnel",ISNUMBER($C548),$C548&gt;=RelDebut,$C548&lt;=RelFin),COUNTIFS($E$9:$E548,RelConducteur,$J$9:$J548,"Professionnel",$C$9:$C548,"&gt;="&amp;RelDebut,$C$9:$C548,"&lt;="&amp;RelFin),"")</f>
        <v/>
      </c>
    </row>
    <row r="549" spans="2:18" ht="18" customHeight="1" x14ac:dyDescent="0.25">
      <c r="B549" s="48" t="str">
        <f>IF(C549="","",COUNT($C$9:C549))</f>
        <v/>
      </c>
      <c r="C549" s="49"/>
      <c r="D549" s="50"/>
      <c r="E549" s="51"/>
      <c r="F549" s="52" t="str">
        <f t="shared" si="32"/>
        <v/>
      </c>
      <c r="G549" s="51"/>
      <c r="H549" s="51"/>
      <c r="I549" s="51"/>
      <c r="J549" s="51"/>
      <c r="K549" s="53"/>
      <c r="L549" s="53"/>
      <c r="M549" s="54" t="str">
        <f t="shared" si="33"/>
        <v/>
      </c>
      <c r="N549" s="55" t="str">
        <f t="shared" si="34"/>
        <v/>
      </c>
      <c r="O549" s="56" t="str">
        <f t="shared" si="35"/>
        <v/>
      </c>
      <c r="P549" s="51"/>
      <c r="R549" s="57" t="str">
        <f>IF(AND($E549=RelConducteur,$J549="Professionnel",ISNUMBER($C549),$C549&gt;=RelDebut,$C549&lt;=RelFin),COUNTIFS($E$9:$E549,RelConducteur,$J$9:$J549,"Professionnel",$C$9:$C549,"&gt;="&amp;RelDebut,$C$9:$C549,"&lt;="&amp;RelFin),"")</f>
        <v/>
      </c>
    </row>
    <row r="550" spans="2:18" ht="18" customHeight="1" x14ac:dyDescent="0.25">
      <c r="B550" s="48" t="str">
        <f>IF(C550="","",COUNT($C$9:C550))</f>
        <v/>
      </c>
      <c r="C550" s="49"/>
      <c r="D550" s="50"/>
      <c r="E550" s="51"/>
      <c r="F550" s="52" t="str">
        <f t="shared" si="32"/>
        <v/>
      </c>
      <c r="G550" s="51"/>
      <c r="H550" s="51"/>
      <c r="I550" s="51"/>
      <c r="J550" s="51"/>
      <c r="K550" s="53"/>
      <c r="L550" s="53"/>
      <c r="M550" s="54" t="str">
        <f t="shared" si="33"/>
        <v/>
      </c>
      <c r="N550" s="55" t="str">
        <f t="shared" si="34"/>
        <v/>
      </c>
      <c r="O550" s="56" t="str">
        <f t="shared" si="35"/>
        <v/>
      </c>
      <c r="P550" s="51"/>
      <c r="R550" s="57" t="str">
        <f>IF(AND($E550=RelConducteur,$J550="Professionnel",ISNUMBER($C550),$C550&gt;=RelDebut,$C550&lt;=RelFin),COUNTIFS($E$9:$E550,RelConducteur,$J$9:$J550,"Professionnel",$C$9:$C550,"&gt;="&amp;RelDebut,$C$9:$C550,"&lt;="&amp;RelFin),"")</f>
        <v/>
      </c>
    </row>
    <row r="551" spans="2:18" ht="18" customHeight="1" x14ac:dyDescent="0.25">
      <c r="B551" s="48" t="str">
        <f>IF(C551="","",COUNT($C$9:C551))</f>
        <v/>
      </c>
      <c r="C551" s="49"/>
      <c r="D551" s="50"/>
      <c r="E551" s="51"/>
      <c r="F551" s="52" t="str">
        <f t="shared" si="32"/>
        <v/>
      </c>
      <c r="G551" s="51"/>
      <c r="H551" s="51"/>
      <c r="I551" s="51"/>
      <c r="J551" s="51"/>
      <c r="K551" s="53"/>
      <c r="L551" s="53"/>
      <c r="M551" s="54" t="str">
        <f t="shared" si="33"/>
        <v/>
      </c>
      <c r="N551" s="55" t="str">
        <f t="shared" si="34"/>
        <v/>
      </c>
      <c r="O551" s="56" t="str">
        <f t="shared" si="35"/>
        <v/>
      </c>
      <c r="P551" s="51"/>
      <c r="R551" s="57" t="str">
        <f>IF(AND($E551=RelConducteur,$J551="Professionnel",ISNUMBER($C551),$C551&gt;=RelDebut,$C551&lt;=RelFin),COUNTIFS($E$9:$E551,RelConducteur,$J$9:$J551,"Professionnel",$C$9:$C551,"&gt;="&amp;RelDebut,$C$9:$C551,"&lt;="&amp;RelFin),"")</f>
        <v/>
      </c>
    </row>
    <row r="552" spans="2:18" ht="18" customHeight="1" x14ac:dyDescent="0.25">
      <c r="B552" s="48" t="str">
        <f>IF(C552="","",COUNT($C$9:C552))</f>
        <v/>
      </c>
      <c r="C552" s="49"/>
      <c r="D552" s="50"/>
      <c r="E552" s="51"/>
      <c r="F552" s="52" t="str">
        <f t="shared" si="32"/>
        <v/>
      </c>
      <c r="G552" s="51"/>
      <c r="H552" s="51"/>
      <c r="I552" s="51"/>
      <c r="J552" s="51"/>
      <c r="K552" s="53"/>
      <c r="L552" s="53"/>
      <c r="M552" s="54" t="str">
        <f t="shared" si="33"/>
        <v/>
      </c>
      <c r="N552" s="55" t="str">
        <f t="shared" si="34"/>
        <v/>
      </c>
      <c r="O552" s="56" t="str">
        <f t="shared" si="35"/>
        <v/>
      </c>
      <c r="P552" s="51"/>
      <c r="R552" s="57" t="str">
        <f>IF(AND($E552=RelConducteur,$J552="Professionnel",ISNUMBER($C552),$C552&gt;=RelDebut,$C552&lt;=RelFin),COUNTIFS($E$9:$E552,RelConducteur,$J$9:$J552,"Professionnel",$C$9:$C552,"&gt;="&amp;RelDebut,$C$9:$C552,"&lt;="&amp;RelFin),"")</f>
        <v/>
      </c>
    </row>
    <row r="553" spans="2:18" ht="18" customHeight="1" x14ac:dyDescent="0.25">
      <c r="B553" s="48" t="str">
        <f>IF(C553="","",COUNT($C$9:C553))</f>
        <v/>
      </c>
      <c r="C553" s="49"/>
      <c r="D553" s="50"/>
      <c r="E553" s="51"/>
      <c r="F553" s="52" t="str">
        <f t="shared" si="32"/>
        <v/>
      </c>
      <c r="G553" s="51"/>
      <c r="H553" s="51"/>
      <c r="I553" s="51"/>
      <c r="J553" s="51"/>
      <c r="K553" s="53"/>
      <c r="L553" s="53"/>
      <c r="M553" s="54" t="str">
        <f t="shared" si="33"/>
        <v/>
      </c>
      <c r="N553" s="55" t="str">
        <f t="shared" si="34"/>
        <v/>
      </c>
      <c r="O553" s="56" t="str">
        <f t="shared" si="35"/>
        <v/>
      </c>
      <c r="P553" s="51"/>
      <c r="R553" s="57" t="str">
        <f>IF(AND($E553=RelConducteur,$J553="Professionnel",ISNUMBER($C553),$C553&gt;=RelDebut,$C553&lt;=RelFin),COUNTIFS($E$9:$E553,RelConducteur,$J$9:$J553,"Professionnel",$C$9:$C553,"&gt;="&amp;RelDebut,$C$9:$C553,"&lt;="&amp;RelFin),"")</f>
        <v/>
      </c>
    </row>
    <row r="554" spans="2:18" ht="18" customHeight="1" x14ac:dyDescent="0.25">
      <c r="B554" s="48" t="str">
        <f>IF(C554="","",COUNT($C$9:C554))</f>
        <v/>
      </c>
      <c r="C554" s="49"/>
      <c r="D554" s="50"/>
      <c r="E554" s="51"/>
      <c r="F554" s="52" t="str">
        <f t="shared" si="32"/>
        <v/>
      </c>
      <c r="G554" s="51"/>
      <c r="H554" s="51"/>
      <c r="I554" s="51"/>
      <c r="J554" s="51"/>
      <c r="K554" s="53"/>
      <c r="L554" s="53"/>
      <c r="M554" s="54" t="str">
        <f t="shared" si="33"/>
        <v/>
      </c>
      <c r="N554" s="55" t="str">
        <f t="shared" si="34"/>
        <v/>
      </c>
      <c r="O554" s="56" t="str">
        <f t="shared" si="35"/>
        <v/>
      </c>
      <c r="P554" s="51"/>
      <c r="R554" s="57" t="str">
        <f>IF(AND($E554=RelConducteur,$J554="Professionnel",ISNUMBER($C554),$C554&gt;=RelDebut,$C554&lt;=RelFin),COUNTIFS($E$9:$E554,RelConducteur,$J$9:$J554,"Professionnel",$C$9:$C554,"&gt;="&amp;RelDebut,$C$9:$C554,"&lt;="&amp;RelFin),"")</f>
        <v/>
      </c>
    </row>
    <row r="555" spans="2:18" ht="18" customHeight="1" x14ac:dyDescent="0.25">
      <c r="B555" s="48" t="str">
        <f>IF(C555="","",COUNT($C$9:C555))</f>
        <v/>
      </c>
      <c r="C555" s="49"/>
      <c r="D555" s="50"/>
      <c r="E555" s="51"/>
      <c r="F555" s="52" t="str">
        <f t="shared" si="32"/>
        <v/>
      </c>
      <c r="G555" s="51"/>
      <c r="H555" s="51"/>
      <c r="I555" s="51"/>
      <c r="J555" s="51"/>
      <c r="K555" s="53"/>
      <c r="L555" s="53"/>
      <c r="M555" s="54" t="str">
        <f t="shared" si="33"/>
        <v/>
      </c>
      <c r="N555" s="55" t="str">
        <f t="shared" si="34"/>
        <v/>
      </c>
      <c r="O555" s="56" t="str">
        <f t="shared" si="35"/>
        <v/>
      </c>
      <c r="P555" s="51"/>
      <c r="R555" s="57" t="str">
        <f>IF(AND($E555=RelConducteur,$J555="Professionnel",ISNUMBER($C555),$C555&gt;=RelDebut,$C555&lt;=RelFin),COUNTIFS($E$9:$E555,RelConducteur,$J$9:$J555,"Professionnel",$C$9:$C555,"&gt;="&amp;RelDebut,$C$9:$C555,"&lt;="&amp;RelFin),"")</f>
        <v/>
      </c>
    </row>
    <row r="556" spans="2:18" ht="18" customHeight="1" x14ac:dyDescent="0.25">
      <c r="B556" s="48" t="str">
        <f>IF(C556="","",COUNT($C$9:C556))</f>
        <v/>
      </c>
      <c r="C556" s="49"/>
      <c r="D556" s="50"/>
      <c r="E556" s="51"/>
      <c r="F556" s="52" t="str">
        <f t="shared" si="32"/>
        <v/>
      </c>
      <c r="G556" s="51"/>
      <c r="H556" s="51"/>
      <c r="I556" s="51"/>
      <c r="J556" s="51"/>
      <c r="K556" s="53"/>
      <c r="L556" s="53"/>
      <c r="M556" s="54" t="str">
        <f t="shared" si="33"/>
        <v/>
      </c>
      <c r="N556" s="55" t="str">
        <f t="shared" si="34"/>
        <v/>
      </c>
      <c r="O556" s="56" t="str">
        <f t="shared" si="35"/>
        <v/>
      </c>
      <c r="P556" s="51"/>
      <c r="R556" s="57" t="str">
        <f>IF(AND($E556=RelConducteur,$J556="Professionnel",ISNUMBER($C556),$C556&gt;=RelDebut,$C556&lt;=RelFin),COUNTIFS($E$9:$E556,RelConducteur,$J$9:$J556,"Professionnel",$C$9:$C556,"&gt;="&amp;RelDebut,$C$9:$C556,"&lt;="&amp;RelFin),"")</f>
        <v/>
      </c>
    </row>
    <row r="557" spans="2:18" ht="18" customHeight="1" x14ac:dyDescent="0.25">
      <c r="B557" s="48" t="str">
        <f>IF(C557="","",COUNT($C$9:C557))</f>
        <v/>
      </c>
      <c r="C557" s="49"/>
      <c r="D557" s="50"/>
      <c r="E557" s="51"/>
      <c r="F557" s="52" t="str">
        <f t="shared" si="32"/>
        <v/>
      </c>
      <c r="G557" s="51"/>
      <c r="H557" s="51"/>
      <c r="I557" s="51"/>
      <c r="J557" s="51"/>
      <c r="K557" s="53"/>
      <c r="L557" s="53"/>
      <c r="M557" s="54" t="str">
        <f t="shared" si="33"/>
        <v/>
      </c>
      <c r="N557" s="55" t="str">
        <f t="shared" si="34"/>
        <v/>
      </c>
      <c r="O557" s="56" t="str">
        <f t="shared" si="35"/>
        <v/>
      </c>
      <c r="P557" s="51"/>
      <c r="R557" s="57" t="str">
        <f>IF(AND($E557=RelConducteur,$J557="Professionnel",ISNUMBER($C557),$C557&gt;=RelDebut,$C557&lt;=RelFin),COUNTIFS($E$9:$E557,RelConducteur,$J$9:$J557,"Professionnel",$C$9:$C557,"&gt;="&amp;RelDebut,$C$9:$C557,"&lt;="&amp;RelFin),"")</f>
        <v/>
      </c>
    </row>
    <row r="558" spans="2:18" ht="18" customHeight="1" x14ac:dyDescent="0.25">
      <c r="B558" s="48" t="str">
        <f>IF(C558="","",COUNT($C$9:C558))</f>
        <v/>
      </c>
      <c r="C558" s="49"/>
      <c r="D558" s="50"/>
      <c r="E558" s="51"/>
      <c r="F558" s="52" t="str">
        <f t="shared" si="32"/>
        <v/>
      </c>
      <c r="G558" s="51"/>
      <c r="H558" s="51"/>
      <c r="I558" s="51"/>
      <c r="J558" s="51"/>
      <c r="K558" s="53"/>
      <c r="L558" s="53"/>
      <c r="M558" s="54" t="str">
        <f t="shared" si="33"/>
        <v/>
      </c>
      <c r="N558" s="55" t="str">
        <f t="shared" si="34"/>
        <v/>
      </c>
      <c r="O558" s="56" t="str">
        <f t="shared" si="35"/>
        <v/>
      </c>
      <c r="P558" s="51"/>
      <c r="R558" s="57" t="str">
        <f>IF(AND($E558=RelConducteur,$J558="Professionnel",ISNUMBER($C558),$C558&gt;=RelDebut,$C558&lt;=RelFin),COUNTIFS($E$9:$E558,RelConducteur,$J$9:$J558,"Professionnel",$C$9:$C558,"&gt;="&amp;RelDebut,$C$9:$C558,"&lt;="&amp;RelFin),"")</f>
        <v/>
      </c>
    </row>
    <row r="559" spans="2:18" ht="18" customHeight="1" x14ac:dyDescent="0.25">
      <c r="B559" s="48" t="str">
        <f>IF(C559="","",COUNT($C$9:C559))</f>
        <v/>
      </c>
      <c r="C559" s="49"/>
      <c r="D559" s="50"/>
      <c r="E559" s="51"/>
      <c r="F559" s="52" t="str">
        <f t="shared" si="32"/>
        <v/>
      </c>
      <c r="G559" s="51"/>
      <c r="H559" s="51"/>
      <c r="I559" s="51"/>
      <c r="J559" s="51"/>
      <c r="K559" s="53"/>
      <c r="L559" s="53"/>
      <c r="M559" s="54" t="str">
        <f t="shared" si="33"/>
        <v/>
      </c>
      <c r="N559" s="55" t="str">
        <f t="shared" si="34"/>
        <v/>
      </c>
      <c r="O559" s="56" t="str">
        <f t="shared" si="35"/>
        <v/>
      </c>
      <c r="P559" s="51"/>
      <c r="R559" s="57" t="str">
        <f>IF(AND($E559=RelConducteur,$J559="Professionnel",ISNUMBER($C559),$C559&gt;=RelDebut,$C559&lt;=RelFin),COUNTIFS($E$9:$E559,RelConducteur,$J$9:$J559,"Professionnel",$C$9:$C559,"&gt;="&amp;RelDebut,$C$9:$C559,"&lt;="&amp;RelFin),"")</f>
        <v/>
      </c>
    </row>
    <row r="560" spans="2:18" ht="18" customHeight="1" x14ac:dyDescent="0.25">
      <c r="B560" s="48" t="str">
        <f>IF(C560="","",COUNT($C$9:C560))</f>
        <v/>
      </c>
      <c r="C560" s="49"/>
      <c r="D560" s="50"/>
      <c r="E560" s="51"/>
      <c r="F560" s="52" t="str">
        <f t="shared" si="32"/>
        <v/>
      </c>
      <c r="G560" s="51"/>
      <c r="H560" s="51"/>
      <c r="I560" s="51"/>
      <c r="J560" s="51"/>
      <c r="K560" s="53"/>
      <c r="L560" s="53"/>
      <c r="M560" s="54" t="str">
        <f t="shared" si="33"/>
        <v/>
      </c>
      <c r="N560" s="55" t="str">
        <f t="shared" si="34"/>
        <v/>
      </c>
      <c r="O560" s="56" t="str">
        <f t="shared" si="35"/>
        <v/>
      </c>
      <c r="P560" s="51"/>
      <c r="R560" s="57" t="str">
        <f>IF(AND($E560=RelConducteur,$J560="Professionnel",ISNUMBER($C560),$C560&gt;=RelDebut,$C560&lt;=RelFin),COUNTIFS($E$9:$E560,RelConducteur,$J$9:$J560,"Professionnel",$C$9:$C560,"&gt;="&amp;RelDebut,$C$9:$C560,"&lt;="&amp;RelFin),"")</f>
        <v/>
      </c>
    </row>
    <row r="561" spans="2:18" ht="18" customHeight="1" x14ac:dyDescent="0.25">
      <c r="B561" s="48" t="str">
        <f>IF(C561="","",COUNT($C$9:C561))</f>
        <v/>
      </c>
      <c r="C561" s="49"/>
      <c r="D561" s="50"/>
      <c r="E561" s="51"/>
      <c r="F561" s="52" t="str">
        <f t="shared" si="32"/>
        <v/>
      </c>
      <c r="G561" s="51"/>
      <c r="H561" s="51"/>
      <c r="I561" s="51"/>
      <c r="J561" s="51"/>
      <c r="K561" s="53"/>
      <c r="L561" s="53"/>
      <c r="M561" s="54" t="str">
        <f t="shared" si="33"/>
        <v/>
      </c>
      <c r="N561" s="55" t="str">
        <f t="shared" si="34"/>
        <v/>
      </c>
      <c r="O561" s="56" t="str">
        <f t="shared" si="35"/>
        <v/>
      </c>
      <c r="P561" s="51"/>
      <c r="R561" s="57" t="str">
        <f>IF(AND($E561=RelConducteur,$J561="Professionnel",ISNUMBER($C561),$C561&gt;=RelDebut,$C561&lt;=RelFin),COUNTIFS($E$9:$E561,RelConducteur,$J$9:$J561,"Professionnel",$C$9:$C561,"&gt;="&amp;RelDebut,$C$9:$C561,"&lt;="&amp;RelFin),"")</f>
        <v/>
      </c>
    </row>
    <row r="562" spans="2:18" ht="18" customHeight="1" x14ac:dyDescent="0.25">
      <c r="B562" s="48" t="str">
        <f>IF(C562="","",COUNT($C$9:C562))</f>
        <v/>
      </c>
      <c r="C562" s="49"/>
      <c r="D562" s="50"/>
      <c r="E562" s="51"/>
      <c r="F562" s="52" t="str">
        <f t="shared" si="32"/>
        <v/>
      </c>
      <c r="G562" s="51"/>
      <c r="H562" s="51"/>
      <c r="I562" s="51"/>
      <c r="J562" s="51"/>
      <c r="K562" s="53"/>
      <c r="L562" s="53"/>
      <c r="M562" s="54" t="str">
        <f t="shared" si="33"/>
        <v/>
      </c>
      <c r="N562" s="55" t="str">
        <f t="shared" si="34"/>
        <v/>
      </c>
      <c r="O562" s="56" t="str">
        <f t="shared" si="35"/>
        <v/>
      </c>
      <c r="P562" s="51"/>
      <c r="R562" s="57" t="str">
        <f>IF(AND($E562=RelConducteur,$J562="Professionnel",ISNUMBER($C562),$C562&gt;=RelDebut,$C562&lt;=RelFin),COUNTIFS($E$9:$E562,RelConducteur,$J$9:$J562,"Professionnel",$C$9:$C562,"&gt;="&amp;RelDebut,$C$9:$C562,"&lt;="&amp;RelFin),"")</f>
        <v/>
      </c>
    </row>
    <row r="563" spans="2:18" ht="18" customHeight="1" x14ac:dyDescent="0.25">
      <c r="B563" s="48" t="str">
        <f>IF(C563="","",COUNT($C$9:C563))</f>
        <v/>
      </c>
      <c r="C563" s="49"/>
      <c r="D563" s="50"/>
      <c r="E563" s="51"/>
      <c r="F563" s="52" t="str">
        <f t="shared" si="32"/>
        <v/>
      </c>
      <c r="G563" s="51"/>
      <c r="H563" s="51"/>
      <c r="I563" s="51"/>
      <c r="J563" s="51"/>
      <c r="K563" s="53"/>
      <c r="L563" s="53"/>
      <c r="M563" s="54" t="str">
        <f t="shared" si="33"/>
        <v/>
      </c>
      <c r="N563" s="55" t="str">
        <f t="shared" si="34"/>
        <v/>
      </c>
      <c r="O563" s="56" t="str">
        <f t="shared" si="35"/>
        <v/>
      </c>
      <c r="P563" s="51"/>
      <c r="R563" s="57" t="str">
        <f>IF(AND($E563=RelConducteur,$J563="Professionnel",ISNUMBER($C563),$C563&gt;=RelDebut,$C563&lt;=RelFin),COUNTIFS($E$9:$E563,RelConducteur,$J$9:$J563,"Professionnel",$C$9:$C563,"&gt;="&amp;RelDebut,$C$9:$C563,"&lt;="&amp;RelFin),"")</f>
        <v/>
      </c>
    </row>
    <row r="564" spans="2:18" ht="18" customHeight="1" x14ac:dyDescent="0.25">
      <c r="B564" s="48" t="str">
        <f>IF(C564="","",COUNT($C$9:C564))</f>
        <v/>
      </c>
      <c r="C564" s="49"/>
      <c r="D564" s="50"/>
      <c r="E564" s="51"/>
      <c r="F564" s="52" t="str">
        <f t="shared" si="32"/>
        <v/>
      </c>
      <c r="G564" s="51"/>
      <c r="H564" s="51"/>
      <c r="I564" s="51"/>
      <c r="J564" s="51"/>
      <c r="K564" s="53"/>
      <c r="L564" s="53"/>
      <c r="M564" s="54" t="str">
        <f t="shared" si="33"/>
        <v/>
      </c>
      <c r="N564" s="55" t="str">
        <f t="shared" si="34"/>
        <v/>
      </c>
      <c r="O564" s="56" t="str">
        <f t="shared" si="35"/>
        <v/>
      </c>
      <c r="P564" s="51"/>
      <c r="R564" s="57" t="str">
        <f>IF(AND($E564=RelConducteur,$J564="Professionnel",ISNUMBER($C564),$C564&gt;=RelDebut,$C564&lt;=RelFin),COUNTIFS($E$9:$E564,RelConducteur,$J$9:$J564,"Professionnel",$C$9:$C564,"&gt;="&amp;RelDebut,$C$9:$C564,"&lt;="&amp;RelFin),"")</f>
        <v/>
      </c>
    </row>
    <row r="565" spans="2:18" ht="18" customHeight="1" x14ac:dyDescent="0.25">
      <c r="B565" s="48" t="str">
        <f>IF(C565="","",COUNT($C$9:C565))</f>
        <v/>
      </c>
      <c r="C565" s="49"/>
      <c r="D565" s="50"/>
      <c r="E565" s="51"/>
      <c r="F565" s="52" t="str">
        <f t="shared" si="32"/>
        <v/>
      </c>
      <c r="G565" s="51"/>
      <c r="H565" s="51"/>
      <c r="I565" s="51"/>
      <c r="J565" s="51"/>
      <c r="K565" s="53"/>
      <c r="L565" s="53"/>
      <c r="M565" s="54" t="str">
        <f t="shared" si="33"/>
        <v/>
      </c>
      <c r="N565" s="55" t="str">
        <f t="shared" si="34"/>
        <v/>
      </c>
      <c r="O565" s="56" t="str">
        <f t="shared" si="35"/>
        <v/>
      </c>
      <c r="P565" s="51"/>
      <c r="R565" s="57" t="str">
        <f>IF(AND($E565=RelConducteur,$J565="Professionnel",ISNUMBER($C565),$C565&gt;=RelDebut,$C565&lt;=RelFin),COUNTIFS($E$9:$E565,RelConducteur,$J$9:$J565,"Professionnel",$C$9:$C565,"&gt;="&amp;RelDebut,$C$9:$C565,"&lt;="&amp;RelFin),"")</f>
        <v/>
      </c>
    </row>
    <row r="566" spans="2:18" ht="18" customHeight="1" x14ac:dyDescent="0.25">
      <c r="B566" s="48" t="str">
        <f>IF(C566="","",COUNT($C$9:C566))</f>
        <v/>
      </c>
      <c r="C566" s="49"/>
      <c r="D566" s="50"/>
      <c r="E566" s="51"/>
      <c r="F566" s="52" t="str">
        <f t="shared" si="32"/>
        <v/>
      </c>
      <c r="G566" s="51"/>
      <c r="H566" s="51"/>
      <c r="I566" s="51"/>
      <c r="J566" s="51"/>
      <c r="K566" s="53"/>
      <c r="L566" s="53"/>
      <c r="M566" s="54" t="str">
        <f t="shared" si="33"/>
        <v/>
      </c>
      <c r="N566" s="55" t="str">
        <f t="shared" si="34"/>
        <v/>
      </c>
      <c r="O566" s="56" t="str">
        <f t="shared" si="35"/>
        <v/>
      </c>
      <c r="P566" s="51"/>
      <c r="R566" s="57" t="str">
        <f>IF(AND($E566=RelConducteur,$J566="Professionnel",ISNUMBER($C566),$C566&gt;=RelDebut,$C566&lt;=RelFin),COUNTIFS($E$9:$E566,RelConducteur,$J$9:$J566,"Professionnel",$C$9:$C566,"&gt;="&amp;RelDebut,$C$9:$C566,"&lt;="&amp;RelFin),"")</f>
        <v/>
      </c>
    </row>
    <row r="567" spans="2:18" ht="18" customHeight="1" x14ac:dyDescent="0.25">
      <c r="B567" s="48" t="str">
        <f>IF(C567="","",COUNT($C$9:C567))</f>
        <v/>
      </c>
      <c r="C567" s="49"/>
      <c r="D567" s="50"/>
      <c r="E567" s="51"/>
      <c r="F567" s="52" t="str">
        <f t="shared" si="32"/>
        <v/>
      </c>
      <c r="G567" s="51"/>
      <c r="H567" s="51"/>
      <c r="I567" s="51"/>
      <c r="J567" s="51"/>
      <c r="K567" s="53"/>
      <c r="L567" s="53"/>
      <c r="M567" s="54" t="str">
        <f t="shared" si="33"/>
        <v/>
      </c>
      <c r="N567" s="55" t="str">
        <f t="shared" si="34"/>
        <v/>
      </c>
      <c r="O567" s="56" t="str">
        <f t="shared" si="35"/>
        <v/>
      </c>
      <c r="P567" s="51"/>
      <c r="R567" s="57" t="str">
        <f>IF(AND($E567=RelConducteur,$J567="Professionnel",ISNUMBER($C567),$C567&gt;=RelDebut,$C567&lt;=RelFin),COUNTIFS($E$9:$E567,RelConducteur,$J$9:$J567,"Professionnel",$C$9:$C567,"&gt;="&amp;RelDebut,$C$9:$C567,"&lt;="&amp;RelFin),"")</f>
        <v/>
      </c>
    </row>
    <row r="568" spans="2:18" ht="18" customHeight="1" x14ac:dyDescent="0.25">
      <c r="B568" s="48" t="str">
        <f>IF(C568="","",COUNT($C$9:C568))</f>
        <v/>
      </c>
      <c r="C568" s="49"/>
      <c r="D568" s="50"/>
      <c r="E568" s="51"/>
      <c r="F568" s="52" t="str">
        <f t="shared" si="32"/>
        <v/>
      </c>
      <c r="G568" s="51"/>
      <c r="H568" s="51"/>
      <c r="I568" s="51"/>
      <c r="J568" s="51"/>
      <c r="K568" s="53"/>
      <c r="L568" s="53"/>
      <c r="M568" s="54" t="str">
        <f t="shared" si="33"/>
        <v/>
      </c>
      <c r="N568" s="55" t="str">
        <f t="shared" si="34"/>
        <v/>
      </c>
      <c r="O568" s="56" t="str">
        <f t="shared" si="35"/>
        <v/>
      </c>
      <c r="P568" s="51"/>
      <c r="R568" s="57" t="str">
        <f>IF(AND($E568=RelConducteur,$J568="Professionnel",ISNUMBER($C568),$C568&gt;=RelDebut,$C568&lt;=RelFin),COUNTIFS($E$9:$E568,RelConducteur,$J$9:$J568,"Professionnel",$C$9:$C568,"&gt;="&amp;RelDebut,$C$9:$C568,"&lt;="&amp;RelFin),"")</f>
        <v/>
      </c>
    </row>
    <row r="569" spans="2:18" ht="18" customHeight="1" x14ac:dyDescent="0.25">
      <c r="B569" s="48" t="str">
        <f>IF(C569="","",COUNT($C$9:C569))</f>
        <v/>
      </c>
      <c r="C569" s="49"/>
      <c r="D569" s="50"/>
      <c r="E569" s="51"/>
      <c r="F569" s="52" t="str">
        <f t="shared" si="32"/>
        <v/>
      </c>
      <c r="G569" s="51"/>
      <c r="H569" s="51"/>
      <c r="I569" s="51"/>
      <c r="J569" s="51"/>
      <c r="K569" s="53"/>
      <c r="L569" s="53"/>
      <c r="M569" s="54" t="str">
        <f t="shared" si="33"/>
        <v/>
      </c>
      <c r="N569" s="55" t="str">
        <f t="shared" si="34"/>
        <v/>
      </c>
      <c r="O569" s="56" t="str">
        <f t="shared" si="35"/>
        <v/>
      </c>
      <c r="P569" s="51"/>
      <c r="R569" s="57" t="str">
        <f>IF(AND($E569=RelConducteur,$J569="Professionnel",ISNUMBER($C569),$C569&gt;=RelDebut,$C569&lt;=RelFin),COUNTIFS($E$9:$E569,RelConducteur,$J$9:$J569,"Professionnel",$C$9:$C569,"&gt;="&amp;RelDebut,$C$9:$C569,"&lt;="&amp;RelFin),"")</f>
        <v/>
      </c>
    </row>
    <row r="570" spans="2:18" ht="18" customHeight="1" x14ac:dyDescent="0.25">
      <c r="B570" s="48" t="str">
        <f>IF(C570="","",COUNT($C$9:C570))</f>
        <v/>
      </c>
      <c r="C570" s="49"/>
      <c r="D570" s="50"/>
      <c r="E570" s="51"/>
      <c r="F570" s="52" t="str">
        <f t="shared" si="32"/>
        <v/>
      </c>
      <c r="G570" s="51"/>
      <c r="H570" s="51"/>
      <c r="I570" s="51"/>
      <c r="J570" s="51"/>
      <c r="K570" s="53"/>
      <c r="L570" s="53"/>
      <c r="M570" s="54" t="str">
        <f t="shared" si="33"/>
        <v/>
      </c>
      <c r="N570" s="55" t="str">
        <f t="shared" si="34"/>
        <v/>
      </c>
      <c r="O570" s="56" t="str">
        <f t="shared" si="35"/>
        <v/>
      </c>
      <c r="P570" s="51"/>
      <c r="R570" s="57" t="str">
        <f>IF(AND($E570=RelConducteur,$J570="Professionnel",ISNUMBER($C570),$C570&gt;=RelDebut,$C570&lt;=RelFin),COUNTIFS($E$9:$E570,RelConducteur,$J$9:$J570,"Professionnel",$C$9:$C570,"&gt;="&amp;RelDebut,$C$9:$C570,"&lt;="&amp;RelFin),"")</f>
        <v/>
      </c>
    </row>
    <row r="571" spans="2:18" ht="18" customHeight="1" x14ac:dyDescent="0.25">
      <c r="B571" s="48" t="str">
        <f>IF(C571="","",COUNT($C$9:C571))</f>
        <v/>
      </c>
      <c r="C571" s="49"/>
      <c r="D571" s="50"/>
      <c r="E571" s="51"/>
      <c r="F571" s="52" t="str">
        <f t="shared" si="32"/>
        <v/>
      </c>
      <c r="G571" s="51"/>
      <c r="H571" s="51"/>
      <c r="I571" s="51"/>
      <c r="J571" s="51"/>
      <c r="K571" s="53"/>
      <c r="L571" s="53"/>
      <c r="M571" s="54" t="str">
        <f t="shared" si="33"/>
        <v/>
      </c>
      <c r="N571" s="55" t="str">
        <f t="shared" si="34"/>
        <v/>
      </c>
      <c r="O571" s="56" t="str">
        <f t="shared" si="35"/>
        <v/>
      </c>
      <c r="P571" s="51"/>
      <c r="R571" s="57" t="str">
        <f>IF(AND($E571=RelConducteur,$J571="Professionnel",ISNUMBER($C571),$C571&gt;=RelDebut,$C571&lt;=RelFin),COUNTIFS($E$9:$E571,RelConducteur,$J$9:$J571,"Professionnel",$C$9:$C571,"&gt;="&amp;RelDebut,$C$9:$C571,"&lt;="&amp;RelFin),"")</f>
        <v/>
      </c>
    </row>
    <row r="572" spans="2:18" ht="18" customHeight="1" x14ac:dyDescent="0.25">
      <c r="B572" s="48" t="str">
        <f>IF(C572="","",COUNT($C$9:C572))</f>
        <v/>
      </c>
      <c r="C572" s="49"/>
      <c r="D572" s="50"/>
      <c r="E572" s="51"/>
      <c r="F572" s="52" t="str">
        <f t="shared" si="32"/>
        <v/>
      </c>
      <c r="G572" s="51"/>
      <c r="H572" s="51"/>
      <c r="I572" s="51"/>
      <c r="J572" s="51"/>
      <c r="K572" s="53"/>
      <c r="L572" s="53"/>
      <c r="M572" s="54" t="str">
        <f t="shared" si="33"/>
        <v/>
      </c>
      <c r="N572" s="55" t="str">
        <f t="shared" si="34"/>
        <v/>
      </c>
      <c r="O572" s="56" t="str">
        <f t="shared" si="35"/>
        <v/>
      </c>
      <c r="P572" s="51"/>
      <c r="R572" s="57" t="str">
        <f>IF(AND($E572=RelConducteur,$J572="Professionnel",ISNUMBER($C572),$C572&gt;=RelDebut,$C572&lt;=RelFin),COUNTIFS($E$9:$E572,RelConducteur,$J$9:$J572,"Professionnel",$C$9:$C572,"&gt;="&amp;RelDebut,$C$9:$C572,"&lt;="&amp;RelFin),"")</f>
        <v/>
      </c>
    </row>
    <row r="573" spans="2:18" ht="18" customHeight="1" x14ac:dyDescent="0.25">
      <c r="B573" s="48" t="str">
        <f>IF(C573="","",COUNT($C$9:C573))</f>
        <v/>
      </c>
      <c r="C573" s="49"/>
      <c r="D573" s="50"/>
      <c r="E573" s="51"/>
      <c r="F573" s="52" t="str">
        <f t="shared" si="32"/>
        <v/>
      </c>
      <c r="G573" s="51"/>
      <c r="H573" s="51"/>
      <c r="I573" s="51"/>
      <c r="J573" s="51"/>
      <c r="K573" s="53"/>
      <c r="L573" s="53"/>
      <c r="M573" s="54" t="str">
        <f t="shared" si="33"/>
        <v/>
      </c>
      <c r="N573" s="55" t="str">
        <f t="shared" si="34"/>
        <v/>
      </c>
      <c r="O573" s="56" t="str">
        <f t="shared" si="35"/>
        <v/>
      </c>
      <c r="P573" s="51"/>
      <c r="R573" s="57" t="str">
        <f>IF(AND($E573=RelConducteur,$J573="Professionnel",ISNUMBER($C573),$C573&gt;=RelDebut,$C573&lt;=RelFin),COUNTIFS($E$9:$E573,RelConducteur,$J$9:$J573,"Professionnel",$C$9:$C573,"&gt;="&amp;RelDebut,$C$9:$C573,"&lt;="&amp;RelFin),"")</f>
        <v/>
      </c>
    </row>
    <row r="574" spans="2:18" ht="18" customHeight="1" x14ac:dyDescent="0.25">
      <c r="B574" s="48" t="str">
        <f>IF(C574="","",COUNT($C$9:C574))</f>
        <v/>
      </c>
      <c r="C574" s="49"/>
      <c r="D574" s="50"/>
      <c r="E574" s="51"/>
      <c r="F574" s="52" t="str">
        <f t="shared" si="32"/>
        <v/>
      </c>
      <c r="G574" s="51"/>
      <c r="H574" s="51"/>
      <c r="I574" s="51"/>
      <c r="J574" s="51"/>
      <c r="K574" s="53"/>
      <c r="L574" s="53"/>
      <c r="M574" s="54" t="str">
        <f t="shared" si="33"/>
        <v/>
      </c>
      <c r="N574" s="55" t="str">
        <f t="shared" si="34"/>
        <v/>
      </c>
      <c r="O574" s="56" t="str">
        <f t="shared" si="35"/>
        <v/>
      </c>
      <c r="P574" s="51"/>
      <c r="R574" s="57" t="str">
        <f>IF(AND($E574=RelConducteur,$J574="Professionnel",ISNUMBER($C574),$C574&gt;=RelDebut,$C574&lt;=RelFin),COUNTIFS($E$9:$E574,RelConducteur,$J$9:$J574,"Professionnel",$C$9:$C574,"&gt;="&amp;RelDebut,$C$9:$C574,"&lt;="&amp;RelFin),"")</f>
        <v/>
      </c>
    </row>
    <row r="575" spans="2:18" ht="18" customHeight="1" x14ac:dyDescent="0.25">
      <c r="B575" s="48" t="str">
        <f>IF(C575="","",COUNT($C$9:C575))</f>
        <v/>
      </c>
      <c r="C575" s="49"/>
      <c r="D575" s="50"/>
      <c r="E575" s="51"/>
      <c r="F575" s="52" t="str">
        <f t="shared" si="32"/>
        <v/>
      </c>
      <c r="G575" s="51"/>
      <c r="H575" s="51"/>
      <c r="I575" s="51"/>
      <c r="J575" s="51"/>
      <c r="K575" s="53"/>
      <c r="L575" s="53"/>
      <c r="M575" s="54" t="str">
        <f t="shared" si="33"/>
        <v/>
      </c>
      <c r="N575" s="55" t="str">
        <f t="shared" si="34"/>
        <v/>
      </c>
      <c r="O575" s="56" t="str">
        <f t="shared" si="35"/>
        <v/>
      </c>
      <c r="P575" s="51"/>
      <c r="R575" s="57" t="str">
        <f>IF(AND($E575=RelConducteur,$J575="Professionnel",ISNUMBER($C575),$C575&gt;=RelDebut,$C575&lt;=RelFin),COUNTIFS($E$9:$E575,RelConducteur,$J$9:$J575,"Professionnel",$C$9:$C575,"&gt;="&amp;RelDebut,$C$9:$C575,"&lt;="&amp;RelFin),"")</f>
        <v/>
      </c>
    </row>
    <row r="576" spans="2:18" ht="18" customHeight="1" x14ac:dyDescent="0.25">
      <c r="B576" s="48" t="str">
        <f>IF(C576="","",COUNT($C$9:C576))</f>
        <v/>
      </c>
      <c r="C576" s="49"/>
      <c r="D576" s="50"/>
      <c r="E576" s="51"/>
      <c r="F576" s="52" t="str">
        <f t="shared" si="32"/>
        <v/>
      </c>
      <c r="G576" s="51"/>
      <c r="H576" s="51"/>
      <c r="I576" s="51"/>
      <c r="J576" s="51"/>
      <c r="K576" s="53"/>
      <c r="L576" s="53"/>
      <c r="M576" s="54" t="str">
        <f t="shared" si="33"/>
        <v/>
      </c>
      <c r="N576" s="55" t="str">
        <f t="shared" si="34"/>
        <v/>
      </c>
      <c r="O576" s="56" t="str">
        <f t="shared" si="35"/>
        <v/>
      </c>
      <c r="P576" s="51"/>
      <c r="R576" s="57" t="str">
        <f>IF(AND($E576=RelConducteur,$J576="Professionnel",ISNUMBER($C576),$C576&gt;=RelDebut,$C576&lt;=RelFin),COUNTIFS($E$9:$E576,RelConducteur,$J$9:$J576,"Professionnel",$C$9:$C576,"&gt;="&amp;RelDebut,$C$9:$C576,"&lt;="&amp;RelFin),"")</f>
        <v/>
      </c>
    </row>
    <row r="577" spans="2:18" ht="18" customHeight="1" x14ac:dyDescent="0.25">
      <c r="B577" s="48" t="str">
        <f>IF(C577="","",COUNT($C$9:C577))</f>
        <v/>
      </c>
      <c r="C577" s="49"/>
      <c r="D577" s="50"/>
      <c r="E577" s="51"/>
      <c r="F577" s="52" t="str">
        <f t="shared" si="32"/>
        <v/>
      </c>
      <c r="G577" s="51"/>
      <c r="H577" s="51"/>
      <c r="I577" s="51"/>
      <c r="J577" s="51"/>
      <c r="K577" s="53"/>
      <c r="L577" s="53"/>
      <c r="M577" s="54" t="str">
        <f t="shared" si="33"/>
        <v/>
      </c>
      <c r="N577" s="55" t="str">
        <f t="shared" si="34"/>
        <v/>
      </c>
      <c r="O577" s="56" t="str">
        <f t="shared" si="35"/>
        <v/>
      </c>
      <c r="P577" s="51"/>
      <c r="R577" s="57" t="str">
        <f>IF(AND($E577=RelConducteur,$J577="Professionnel",ISNUMBER($C577),$C577&gt;=RelDebut,$C577&lt;=RelFin),COUNTIFS($E$9:$E577,RelConducteur,$J$9:$J577,"Professionnel",$C$9:$C577,"&gt;="&amp;RelDebut,$C$9:$C577,"&lt;="&amp;RelFin),"")</f>
        <v/>
      </c>
    </row>
    <row r="578" spans="2:18" ht="18" customHeight="1" x14ac:dyDescent="0.25">
      <c r="B578" s="48" t="str">
        <f>IF(C578="","",COUNT($C$9:C578))</f>
        <v/>
      </c>
      <c r="C578" s="49"/>
      <c r="D578" s="50"/>
      <c r="E578" s="51"/>
      <c r="F578" s="52" t="str">
        <f t="shared" si="32"/>
        <v/>
      </c>
      <c r="G578" s="51"/>
      <c r="H578" s="51"/>
      <c r="I578" s="51"/>
      <c r="J578" s="51"/>
      <c r="K578" s="53"/>
      <c r="L578" s="53"/>
      <c r="M578" s="54" t="str">
        <f t="shared" si="33"/>
        <v/>
      </c>
      <c r="N578" s="55" t="str">
        <f t="shared" si="34"/>
        <v/>
      </c>
      <c r="O578" s="56" t="str">
        <f t="shared" si="35"/>
        <v/>
      </c>
      <c r="P578" s="51"/>
      <c r="R578" s="57" t="str">
        <f>IF(AND($E578=RelConducteur,$J578="Professionnel",ISNUMBER($C578),$C578&gt;=RelDebut,$C578&lt;=RelFin),COUNTIFS($E$9:$E578,RelConducteur,$J$9:$J578,"Professionnel",$C$9:$C578,"&gt;="&amp;RelDebut,$C$9:$C578,"&lt;="&amp;RelFin),"")</f>
        <v/>
      </c>
    </row>
    <row r="579" spans="2:18" ht="18" customHeight="1" x14ac:dyDescent="0.25">
      <c r="B579" s="48" t="str">
        <f>IF(C579="","",COUNT($C$9:C579))</f>
        <v/>
      </c>
      <c r="C579" s="49"/>
      <c r="D579" s="50"/>
      <c r="E579" s="51"/>
      <c r="F579" s="52" t="str">
        <f t="shared" si="32"/>
        <v/>
      </c>
      <c r="G579" s="51"/>
      <c r="H579" s="51"/>
      <c r="I579" s="51"/>
      <c r="J579" s="51"/>
      <c r="K579" s="53"/>
      <c r="L579" s="53"/>
      <c r="M579" s="54" t="str">
        <f t="shared" si="33"/>
        <v/>
      </c>
      <c r="N579" s="55" t="str">
        <f t="shared" si="34"/>
        <v/>
      </c>
      <c r="O579" s="56" t="str">
        <f t="shared" si="35"/>
        <v/>
      </c>
      <c r="P579" s="51"/>
      <c r="R579" s="57" t="str">
        <f>IF(AND($E579=RelConducteur,$J579="Professionnel",ISNUMBER($C579),$C579&gt;=RelDebut,$C579&lt;=RelFin),COUNTIFS($E$9:$E579,RelConducteur,$J$9:$J579,"Professionnel",$C$9:$C579,"&gt;="&amp;RelDebut,$C$9:$C579,"&lt;="&amp;RelFin),"")</f>
        <v/>
      </c>
    </row>
    <row r="580" spans="2:18" ht="18" customHeight="1" x14ac:dyDescent="0.25">
      <c r="B580" s="48" t="str">
        <f>IF(C580="","",COUNT($C$9:C580))</f>
        <v/>
      </c>
      <c r="C580" s="49"/>
      <c r="D580" s="50"/>
      <c r="E580" s="51"/>
      <c r="F580" s="52" t="str">
        <f t="shared" si="32"/>
        <v/>
      </c>
      <c r="G580" s="51"/>
      <c r="H580" s="51"/>
      <c r="I580" s="51"/>
      <c r="J580" s="51"/>
      <c r="K580" s="53"/>
      <c r="L580" s="53"/>
      <c r="M580" s="54" t="str">
        <f t="shared" si="33"/>
        <v/>
      </c>
      <c r="N580" s="55" t="str">
        <f t="shared" si="34"/>
        <v/>
      </c>
      <c r="O580" s="56" t="str">
        <f t="shared" si="35"/>
        <v/>
      </c>
      <c r="P580" s="51"/>
      <c r="R580" s="57" t="str">
        <f>IF(AND($E580=RelConducteur,$J580="Professionnel",ISNUMBER($C580),$C580&gt;=RelDebut,$C580&lt;=RelFin),COUNTIFS($E$9:$E580,RelConducteur,$J$9:$J580,"Professionnel",$C$9:$C580,"&gt;="&amp;RelDebut,$C$9:$C580,"&lt;="&amp;RelFin),"")</f>
        <v/>
      </c>
    </row>
    <row r="581" spans="2:18" ht="18" customHeight="1" x14ac:dyDescent="0.25">
      <c r="B581" s="48" t="str">
        <f>IF(C581="","",COUNT($C$9:C581))</f>
        <v/>
      </c>
      <c r="C581" s="49"/>
      <c r="D581" s="50"/>
      <c r="E581" s="51"/>
      <c r="F581" s="52" t="str">
        <f t="shared" si="32"/>
        <v/>
      </c>
      <c r="G581" s="51"/>
      <c r="H581" s="51"/>
      <c r="I581" s="51"/>
      <c r="J581" s="51"/>
      <c r="K581" s="53"/>
      <c r="L581" s="53"/>
      <c r="M581" s="54" t="str">
        <f t="shared" si="33"/>
        <v/>
      </c>
      <c r="N581" s="55" t="str">
        <f t="shared" si="34"/>
        <v/>
      </c>
      <c r="O581" s="56" t="str">
        <f t="shared" si="35"/>
        <v/>
      </c>
      <c r="P581" s="51"/>
      <c r="R581" s="57" t="str">
        <f>IF(AND($E581=RelConducteur,$J581="Professionnel",ISNUMBER($C581),$C581&gt;=RelDebut,$C581&lt;=RelFin),COUNTIFS($E$9:$E581,RelConducteur,$J$9:$J581,"Professionnel",$C$9:$C581,"&gt;="&amp;RelDebut,$C$9:$C581,"&lt;="&amp;RelFin),"")</f>
        <v/>
      </c>
    </row>
    <row r="582" spans="2:18" ht="18" customHeight="1" x14ac:dyDescent="0.25">
      <c r="B582" s="48" t="str">
        <f>IF(C582="","",COUNT($C$9:C582))</f>
        <v/>
      </c>
      <c r="C582" s="49"/>
      <c r="D582" s="50"/>
      <c r="E582" s="51"/>
      <c r="F582" s="52" t="str">
        <f t="shared" si="32"/>
        <v/>
      </c>
      <c r="G582" s="51"/>
      <c r="H582" s="51"/>
      <c r="I582" s="51"/>
      <c r="J582" s="51"/>
      <c r="K582" s="53"/>
      <c r="L582" s="53"/>
      <c r="M582" s="54" t="str">
        <f t="shared" si="33"/>
        <v/>
      </c>
      <c r="N582" s="55" t="str">
        <f t="shared" si="34"/>
        <v/>
      </c>
      <c r="O582" s="56" t="str">
        <f t="shared" si="35"/>
        <v/>
      </c>
      <c r="P582" s="51"/>
      <c r="R582" s="57" t="str">
        <f>IF(AND($E582=RelConducteur,$J582="Professionnel",ISNUMBER($C582),$C582&gt;=RelDebut,$C582&lt;=RelFin),COUNTIFS($E$9:$E582,RelConducteur,$J$9:$J582,"Professionnel",$C$9:$C582,"&gt;="&amp;RelDebut,$C$9:$C582,"&lt;="&amp;RelFin),"")</f>
        <v/>
      </c>
    </row>
    <row r="583" spans="2:18" ht="18" customHeight="1" x14ac:dyDescent="0.25">
      <c r="B583" s="48" t="str">
        <f>IF(C583="","",COUNT($C$9:C583))</f>
        <v/>
      </c>
      <c r="C583" s="49"/>
      <c r="D583" s="50"/>
      <c r="E583" s="51"/>
      <c r="F583" s="52" t="str">
        <f t="shared" si="32"/>
        <v/>
      </c>
      <c r="G583" s="51"/>
      <c r="H583" s="51"/>
      <c r="I583" s="51"/>
      <c r="J583" s="51"/>
      <c r="K583" s="53"/>
      <c r="L583" s="53"/>
      <c r="M583" s="54" t="str">
        <f t="shared" si="33"/>
        <v/>
      </c>
      <c r="N583" s="55" t="str">
        <f t="shared" si="34"/>
        <v/>
      </c>
      <c r="O583" s="56" t="str">
        <f t="shared" si="35"/>
        <v/>
      </c>
      <c r="P583" s="51"/>
      <c r="R583" s="57" t="str">
        <f>IF(AND($E583=RelConducteur,$J583="Professionnel",ISNUMBER($C583),$C583&gt;=RelDebut,$C583&lt;=RelFin),COUNTIFS($E$9:$E583,RelConducteur,$J$9:$J583,"Professionnel",$C$9:$C583,"&gt;="&amp;RelDebut,$C$9:$C583,"&lt;="&amp;RelFin),"")</f>
        <v/>
      </c>
    </row>
    <row r="584" spans="2:18" ht="18" customHeight="1" x14ac:dyDescent="0.25">
      <c r="B584" s="48" t="str">
        <f>IF(C584="","",COUNT($C$9:C584))</f>
        <v/>
      </c>
      <c r="C584" s="49"/>
      <c r="D584" s="50"/>
      <c r="E584" s="51"/>
      <c r="F584" s="52" t="str">
        <f t="shared" si="32"/>
        <v/>
      </c>
      <c r="G584" s="51"/>
      <c r="H584" s="51"/>
      <c r="I584" s="51"/>
      <c r="J584" s="51"/>
      <c r="K584" s="53"/>
      <c r="L584" s="53"/>
      <c r="M584" s="54" t="str">
        <f t="shared" si="33"/>
        <v/>
      </c>
      <c r="N584" s="55" t="str">
        <f t="shared" si="34"/>
        <v/>
      </c>
      <c r="O584" s="56" t="str">
        <f t="shared" si="35"/>
        <v/>
      </c>
      <c r="P584" s="51"/>
      <c r="R584" s="57" t="str">
        <f>IF(AND($E584=RelConducteur,$J584="Professionnel",ISNUMBER($C584),$C584&gt;=RelDebut,$C584&lt;=RelFin),COUNTIFS($E$9:$E584,RelConducteur,$J$9:$J584,"Professionnel",$C$9:$C584,"&gt;="&amp;RelDebut,$C$9:$C584,"&lt;="&amp;RelFin),"")</f>
        <v/>
      </c>
    </row>
    <row r="585" spans="2:18" ht="18" customHeight="1" x14ac:dyDescent="0.25">
      <c r="B585" s="48" t="str">
        <f>IF(C585="","",COUNT($C$9:C585))</f>
        <v/>
      </c>
      <c r="C585" s="49"/>
      <c r="D585" s="50"/>
      <c r="E585" s="51"/>
      <c r="F585" s="52" t="str">
        <f t="shared" ref="F585:F648" si="36">IF(OR(C585="",E585=""),"",IFERROR(INDEX(CondService,MATCH(E585,CondNoms,0))&amp;"","Conducteur inconnu"))</f>
        <v/>
      </c>
      <c r="G585" s="51"/>
      <c r="H585" s="51"/>
      <c r="I585" s="51"/>
      <c r="J585" s="51"/>
      <c r="K585" s="53"/>
      <c r="L585" s="53"/>
      <c r="M585" s="54" t="str">
        <f t="shared" ref="M585:M648" si="37">IF(OR(K585="",L585=""),"",L585-K585)</f>
        <v/>
      </c>
      <c r="N585" s="55" t="str">
        <f t="shared" si="34"/>
        <v/>
      </c>
      <c r="O585" s="56" t="str">
        <f t="shared" si="35"/>
        <v/>
      </c>
      <c r="P585" s="51"/>
      <c r="R585" s="57" t="str">
        <f>IF(AND($E585=RelConducteur,$J585="Professionnel",ISNUMBER($C585),$C585&gt;=RelDebut,$C585&lt;=RelFin),COUNTIFS($E$9:$E585,RelConducteur,$J$9:$J585,"Professionnel",$C$9:$C585,"&gt;="&amp;RelDebut,$C$9:$C585,"&lt;="&amp;RelFin),"")</f>
        <v/>
      </c>
    </row>
    <row r="586" spans="2:18" ht="18" customHeight="1" x14ac:dyDescent="0.25">
      <c r="B586" s="48" t="str">
        <f>IF(C586="","",COUNT($C$9:C586))</f>
        <v/>
      </c>
      <c r="C586" s="49"/>
      <c r="D586" s="50"/>
      <c r="E586" s="51"/>
      <c r="F586" s="52" t="str">
        <f t="shared" si="36"/>
        <v/>
      </c>
      <c r="G586" s="51"/>
      <c r="H586" s="51"/>
      <c r="I586" s="51"/>
      <c r="J586" s="51"/>
      <c r="K586" s="53"/>
      <c r="L586" s="53"/>
      <c r="M586" s="54" t="str">
        <f t="shared" si="37"/>
        <v/>
      </c>
      <c r="N586" s="55" t="str">
        <f t="shared" ref="N586:N649" si="38">IF(OR(C586="",K586="",L585=""),"",K586-L585)</f>
        <v/>
      </c>
      <c r="O586" s="56" t="str">
        <f t="shared" ref="O586:O649" si="39">IF(C586="","",IF(OR(E586="",G586="",H586="",J586="",K586="",L586="",AND(J586="Professionnel",I586="")),"Incomplet",IF(AND(ISNUMBER(C585),C586&lt;C585),"Ordre des dates",IF(L586&lt;K586,"Compteur incohérent",IF(AND(ISNUMBER(N586),N586&gt;ToleranceKm),"Km non enregistrés",IF(AND(ISNUMBER(N586),N586&lt;-ToleranceKm),"Chevauchement",IF(AND(J586="Personnel",UsagePrive="Non"),"Usage privé non autorisé","Conforme")))))))</f>
        <v/>
      </c>
      <c r="P586" s="51"/>
      <c r="R586" s="57" t="str">
        <f>IF(AND($E586=RelConducteur,$J586="Professionnel",ISNUMBER($C586),$C586&gt;=RelDebut,$C586&lt;=RelFin),COUNTIFS($E$9:$E586,RelConducteur,$J$9:$J586,"Professionnel",$C$9:$C586,"&gt;="&amp;RelDebut,$C$9:$C586,"&lt;="&amp;RelFin),"")</f>
        <v/>
      </c>
    </row>
    <row r="587" spans="2:18" ht="18" customHeight="1" x14ac:dyDescent="0.25">
      <c r="B587" s="48" t="str">
        <f>IF(C587="","",COUNT($C$9:C587))</f>
        <v/>
      </c>
      <c r="C587" s="49"/>
      <c r="D587" s="50"/>
      <c r="E587" s="51"/>
      <c r="F587" s="52" t="str">
        <f t="shared" si="36"/>
        <v/>
      </c>
      <c r="G587" s="51"/>
      <c r="H587" s="51"/>
      <c r="I587" s="51"/>
      <c r="J587" s="51"/>
      <c r="K587" s="53"/>
      <c r="L587" s="53"/>
      <c r="M587" s="54" t="str">
        <f t="shared" si="37"/>
        <v/>
      </c>
      <c r="N587" s="55" t="str">
        <f t="shared" si="38"/>
        <v/>
      </c>
      <c r="O587" s="56" t="str">
        <f t="shared" si="39"/>
        <v/>
      </c>
      <c r="P587" s="51"/>
      <c r="R587" s="57" t="str">
        <f>IF(AND($E587=RelConducteur,$J587="Professionnel",ISNUMBER($C587),$C587&gt;=RelDebut,$C587&lt;=RelFin),COUNTIFS($E$9:$E587,RelConducteur,$J$9:$J587,"Professionnel",$C$9:$C587,"&gt;="&amp;RelDebut,$C$9:$C587,"&lt;="&amp;RelFin),"")</f>
        <v/>
      </c>
    </row>
    <row r="588" spans="2:18" ht="18" customHeight="1" x14ac:dyDescent="0.25">
      <c r="B588" s="48" t="str">
        <f>IF(C588="","",COUNT($C$9:C588))</f>
        <v/>
      </c>
      <c r="C588" s="49"/>
      <c r="D588" s="50"/>
      <c r="E588" s="51"/>
      <c r="F588" s="52" t="str">
        <f t="shared" si="36"/>
        <v/>
      </c>
      <c r="G588" s="51"/>
      <c r="H588" s="51"/>
      <c r="I588" s="51"/>
      <c r="J588" s="51"/>
      <c r="K588" s="53"/>
      <c r="L588" s="53"/>
      <c r="M588" s="54" t="str">
        <f t="shared" si="37"/>
        <v/>
      </c>
      <c r="N588" s="55" t="str">
        <f t="shared" si="38"/>
        <v/>
      </c>
      <c r="O588" s="56" t="str">
        <f t="shared" si="39"/>
        <v/>
      </c>
      <c r="P588" s="51"/>
      <c r="R588" s="57" t="str">
        <f>IF(AND($E588=RelConducteur,$J588="Professionnel",ISNUMBER($C588),$C588&gt;=RelDebut,$C588&lt;=RelFin),COUNTIFS($E$9:$E588,RelConducteur,$J$9:$J588,"Professionnel",$C$9:$C588,"&gt;="&amp;RelDebut,$C$9:$C588,"&lt;="&amp;RelFin),"")</f>
        <v/>
      </c>
    </row>
    <row r="589" spans="2:18" ht="18" customHeight="1" x14ac:dyDescent="0.25">
      <c r="B589" s="48" t="str">
        <f>IF(C589="","",COUNT($C$9:C589))</f>
        <v/>
      </c>
      <c r="C589" s="49"/>
      <c r="D589" s="50"/>
      <c r="E589" s="51"/>
      <c r="F589" s="52" t="str">
        <f t="shared" si="36"/>
        <v/>
      </c>
      <c r="G589" s="51"/>
      <c r="H589" s="51"/>
      <c r="I589" s="51"/>
      <c r="J589" s="51"/>
      <c r="K589" s="53"/>
      <c r="L589" s="53"/>
      <c r="M589" s="54" t="str">
        <f t="shared" si="37"/>
        <v/>
      </c>
      <c r="N589" s="55" t="str">
        <f t="shared" si="38"/>
        <v/>
      </c>
      <c r="O589" s="56" t="str">
        <f t="shared" si="39"/>
        <v/>
      </c>
      <c r="P589" s="51"/>
      <c r="R589" s="57" t="str">
        <f>IF(AND($E589=RelConducteur,$J589="Professionnel",ISNUMBER($C589),$C589&gt;=RelDebut,$C589&lt;=RelFin),COUNTIFS($E$9:$E589,RelConducteur,$J$9:$J589,"Professionnel",$C$9:$C589,"&gt;="&amp;RelDebut,$C$9:$C589,"&lt;="&amp;RelFin),"")</f>
        <v/>
      </c>
    </row>
    <row r="590" spans="2:18" ht="18" customHeight="1" x14ac:dyDescent="0.25">
      <c r="B590" s="48" t="str">
        <f>IF(C590="","",COUNT($C$9:C590))</f>
        <v/>
      </c>
      <c r="C590" s="49"/>
      <c r="D590" s="50"/>
      <c r="E590" s="51"/>
      <c r="F590" s="52" t="str">
        <f t="shared" si="36"/>
        <v/>
      </c>
      <c r="G590" s="51"/>
      <c r="H590" s="51"/>
      <c r="I590" s="51"/>
      <c r="J590" s="51"/>
      <c r="K590" s="53"/>
      <c r="L590" s="53"/>
      <c r="M590" s="54" t="str">
        <f t="shared" si="37"/>
        <v/>
      </c>
      <c r="N590" s="55" t="str">
        <f t="shared" si="38"/>
        <v/>
      </c>
      <c r="O590" s="56" t="str">
        <f t="shared" si="39"/>
        <v/>
      </c>
      <c r="P590" s="51"/>
      <c r="R590" s="57" t="str">
        <f>IF(AND($E590=RelConducteur,$J590="Professionnel",ISNUMBER($C590),$C590&gt;=RelDebut,$C590&lt;=RelFin),COUNTIFS($E$9:$E590,RelConducteur,$J$9:$J590,"Professionnel",$C$9:$C590,"&gt;="&amp;RelDebut,$C$9:$C590,"&lt;="&amp;RelFin),"")</f>
        <v/>
      </c>
    </row>
    <row r="591" spans="2:18" ht="18" customHeight="1" x14ac:dyDescent="0.25">
      <c r="B591" s="48" t="str">
        <f>IF(C591="","",COUNT($C$9:C591))</f>
        <v/>
      </c>
      <c r="C591" s="49"/>
      <c r="D591" s="50"/>
      <c r="E591" s="51"/>
      <c r="F591" s="52" t="str">
        <f t="shared" si="36"/>
        <v/>
      </c>
      <c r="G591" s="51"/>
      <c r="H591" s="51"/>
      <c r="I591" s="51"/>
      <c r="J591" s="51"/>
      <c r="K591" s="53"/>
      <c r="L591" s="53"/>
      <c r="M591" s="54" t="str">
        <f t="shared" si="37"/>
        <v/>
      </c>
      <c r="N591" s="55" t="str">
        <f t="shared" si="38"/>
        <v/>
      </c>
      <c r="O591" s="56" t="str">
        <f t="shared" si="39"/>
        <v/>
      </c>
      <c r="P591" s="51"/>
      <c r="R591" s="57" t="str">
        <f>IF(AND($E591=RelConducteur,$J591="Professionnel",ISNUMBER($C591),$C591&gt;=RelDebut,$C591&lt;=RelFin),COUNTIFS($E$9:$E591,RelConducteur,$J$9:$J591,"Professionnel",$C$9:$C591,"&gt;="&amp;RelDebut,$C$9:$C591,"&lt;="&amp;RelFin),"")</f>
        <v/>
      </c>
    </row>
    <row r="592" spans="2:18" ht="18" customHeight="1" x14ac:dyDescent="0.25">
      <c r="B592" s="48" t="str">
        <f>IF(C592="","",COUNT($C$9:C592))</f>
        <v/>
      </c>
      <c r="C592" s="49"/>
      <c r="D592" s="50"/>
      <c r="E592" s="51"/>
      <c r="F592" s="52" t="str">
        <f t="shared" si="36"/>
        <v/>
      </c>
      <c r="G592" s="51"/>
      <c r="H592" s="51"/>
      <c r="I592" s="51"/>
      <c r="J592" s="51"/>
      <c r="K592" s="53"/>
      <c r="L592" s="53"/>
      <c r="M592" s="54" t="str">
        <f t="shared" si="37"/>
        <v/>
      </c>
      <c r="N592" s="55" t="str">
        <f t="shared" si="38"/>
        <v/>
      </c>
      <c r="O592" s="56" t="str">
        <f t="shared" si="39"/>
        <v/>
      </c>
      <c r="P592" s="51"/>
      <c r="R592" s="57" t="str">
        <f>IF(AND($E592=RelConducteur,$J592="Professionnel",ISNUMBER($C592),$C592&gt;=RelDebut,$C592&lt;=RelFin),COUNTIFS($E$9:$E592,RelConducteur,$J$9:$J592,"Professionnel",$C$9:$C592,"&gt;="&amp;RelDebut,$C$9:$C592,"&lt;="&amp;RelFin),"")</f>
        <v/>
      </c>
    </row>
    <row r="593" spans="2:18" ht="18" customHeight="1" x14ac:dyDescent="0.25">
      <c r="B593" s="48" t="str">
        <f>IF(C593="","",COUNT($C$9:C593))</f>
        <v/>
      </c>
      <c r="C593" s="49"/>
      <c r="D593" s="50"/>
      <c r="E593" s="51"/>
      <c r="F593" s="52" t="str">
        <f t="shared" si="36"/>
        <v/>
      </c>
      <c r="G593" s="51"/>
      <c r="H593" s="51"/>
      <c r="I593" s="51"/>
      <c r="J593" s="51"/>
      <c r="K593" s="53"/>
      <c r="L593" s="53"/>
      <c r="M593" s="54" t="str">
        <f t="shared" si="37"/>
        <v/>
      </c>
      <c r="N593" s="55" t="str">
        <f t="shared" si="38"/>
        <v/>
      </c>
      <c r="O593" s="56" t="str">
        <f t="shared" si="39"/>
        <v/>
      </c>
      <c r="P593" s="51"/>
      <c r="R593" s="57" t="str">
        <f>IF(AND($E593=RelConducteur,$J593="Professionnel",ISNUMBER($C593),$C593&gt;=RelDebut,$C593&lt;=RelFin),COUNTIFS($E$9:$E593,RelConducteur,$J$9:$J593,"Professionnel",$C$9:$C593,"&gt;="&amp;RelDebut,$C$9:$C593,"&lt;="&amp;RelFin),"")</f>
        <v/>
      </c>
    </row>
    <row r="594" spans="2:18" ht="18" customHeight="1" x14ac:dyDescent="0.25">
      <c r="B594" s="48" t="str">
        <f>IF(C594="","",COUNT($C$9:C594))</f>
        <v/>
      </c>
      <c r="C594" s="49"/>
      <c r="D594" s="50"/>
      <c r="E594" s="51"/>
      <c r="F594" s="52" t="str">
        <f t="shared" si="36"/>
        <v/>
      </c>
      <c r="G594" s="51"/>
      <c r="H594" s="51"/>
      <c r="I594" s="51"/>
      <c r="J594" s="51"/>
      <c r="K594" s="53"/>
      <c r="L594" s="53"/>
      <c r="M594" s="54" t="str">
        <f t="shared" si="37"/>
        <v/>
      </c>
      <c r="N594" s="55" t="str">
        <f t="shared" si="38"/>
        <v/>
      </c>
      <c r="O594" s="56" t="str">
        <f t="shared" si="39"/>
        <v/>
      </c>
      <c r="P594" s="51"/>
      <c r="R594" s="57" t="str">
        <f>IF(AND($E594=RelConducteur,$J594="Professionnel",ISNUMBER($C594),$C594&gt;=RelDebut,$C594&lt;=RelFin),COUNTIFS($E$9:$E594,RelConducteur,$J$9:$J594,"Professionnel",$C$9:$C594,"&gt;="&amp;RelDebut,$C$9:$C594,"&lt;="&amp;RelFin),"")</f>
        <v/>
      </c>
    </row>
    <row r="595" spans="2:18" ht="18" customHeight="1" x14ac:dyDescent="0.25">
      <c r="B595" s="48" t="str">
        <f>IF(C595="","",COUNT($C$9:C595))</f>
        <v/>
      </c>
      <c r="C595" s="49"/>
      <c r="D595" s="50"/>
      <c r="E595" s="51"/>
      <c r="F595" s="52" t="str">
        <f t="shared" si="36"/>
        <v/>
      </c>
      <c r="G595" s="51"/>
      <c r="H595" s="51"/>
      <c r="I595" s="51"/>
      <c r="J595" s="51"/>
      <c r="K595" s="53"/>
      <c r="L595" s="53"/>
      <c r="M595" s="54" t="str">
        <f t="shared" si="37"/>
        <v/>
      </c>
      <c r="N595" s="55" t="str">
        <f t="shared" si="38"/>
        <v/>
      </c>
      <c r="O595" s="56" t="str">
        <f t="shared" si="39"/>
        <v/>
      </c>
      <c r="P595" s="51"/>
      <c r="R595" s="57" t="str">
        <f>IF(AND($E595=RelConducteur,$J595="Professionnel",ISNUMBER($C595),$C595&gt;=RelDebut,$C595&lt;=RelFin),COUNTIFS($E$9:$E595,RelConducteur,$J$9:$J595,"Professionnel",$C$9:$C595,"&gt;="&amp;RelDebut,$C$9:$C595,"&lt;="&amp;RelFin),"")</f>
        <v/>
      </c>
    </row>
    <row r="596" spans="2:18" ht="18" customHeight="1" x14ac:dyDescent="0.25">
      <c r="B596" s="48" t="str">
        <f>IF(C596="","",COUNT($C$9:C596))</f>
        <v/>
      </c>
      <c r="C596" s="49"/>
      <c r="D596" s="50"/>
      <c r="E596" s="51"/>
      <c r="F596" s="52" t="str">
        <f t="shared" si="36"/>
        <v/>
      </c>
      <c r="G596" s="51"/>
      <c r="H596" s="51"/>
      <c r="I596" s="51"/>
      <c r="J596" s="51"/>
      <c r="K596" s="53"/>
      <c r="L596" s="53"/>
      <c r="M596" s="54" t="str">
        <f t="shared" si="37"/>
        <v/>
      </c>
      <c r="N596" s="55" t="str">
        <f t="shared" si="38"/>
        <v/>
      </c>
      <c r="O596" s="56" t="str">
        <f t="shared" si="39"/>
        <v/>
      </c>
      <c r="P596" s="51"/>
      <c r="R596" s="57" t="str">
        <f>IF(AND($E596=RelConducteur,$J596="Professionnel",ISNUMBER($C596),$C596&gt;=RelDebut,$C596&lt;=RelFin),COUNTIFS($E$9:$E596,RelConducteur,$J$9:$J596,"Professionnel",$C$9:$C596,"&gt;="&amp;RelDebut,$C$9:$C596,"&lt;="&amp;RelFin),"")</f>
        <v/>
      </c>
    </row>
    <row r="597" spans="2:18" ht="18" customHeight="1" x14ac:dyDescent="0.25">
      <c r="B597" s="48" t="str">
        <f>IF(C597="","",COUNT($C$9:C597))</f>
        <v/>
      </c>
      <c r="C597" s="49"/>
      <c r="D597" s="50"/>
      <c r="E597" s="51"/>
      <c r="F597" s="52" t="str">
        <f t="shared" si="36"/>
        <v/>
      </c>
      <c r="G597" s="51"/>
      <c r="H597" s="51"/>
      <c r="I597" s="51"/>
      <c r="J597" s="51"/>
      <c r="K597" s="53"/>
      <c r="L597" s="53"/>
      <c r="M597" s="54" t="str">
        <f t="shared" si="37"/>
        <v/>
      </c>
      <c r="N597" s="55" t="str">
        <f t="shared" si="38"/>
        <v/>
      </c>
      <c r="O597" s="56" t="str">
        <f t="shared" si="39"/>
        <v/>
      </c>
      <c r="P597" s="51"/>
      <c r="R597" s="57" t="str">
        <f>IF(AND($E597=RelConducteur,$J597="Professionnel",ISNUMBER($C597),$C597&gt;=RelDebut,$C597&lt;=RelFin),COUNTIFS($E$9:$E597,RelConducteur,$J$9:$J597,"Professionnel",$C$9:$C597,"&gt;="&amp;RelDebut,$C$9:$C597,"&lt;="&amp;RelFin),"")</f>
        <v/>
      </c>
    </row>
    <row r="598" spans="2:18" ht="18" customHeight="1" x14ac:dyDescent="0.25">
      <c r="B598" s="48" t="str">
        <f>IF(C598="","",COUNT($C$9:C598))</f>
        <v/>
      </c>
      <c r="C598" s="49"/>
      <c r="D598" s="50"/>
      <c r="E598" s="51"/>
      <c r="F598" s="52" t="str">
        <f t="shared" si="36"/>
        <v/>
      </c>
      <c r="G598" s="51"/>
      <c r="H598" s="51"/>
      <c r="I598" s="51"/>
      <c r="J598" s="51"/>
      <c r="K598" s="53"/>
      <c r="L598" s="53"/>
      <c r="M598" s="54" t="str">
        <f t="shared" si="37"/>
        <v/>
      </c>
      <c r="N598" s="55" t="str">
        <f t="shared" si="38"/>
        <v/>
      </c>
      <c r="O598" s="56" t="str">
        <f t="shared" si="39"/>
        <v/>
      </c>
      <c r="P598" s="51"/>
      <c r="R598" s="57" t="str">
        <f>IF(AND($E598=RelConducteur,$J598="Professionnel",ISNUMBER($C598),$C598&gt;=RelDebut,$C598&lt;=RelFin),COUNTIFS($E$9:$E598,RelConducteur,$J$9:$J598,"Professionnel",$C$9:$C598,"&gt;="&amp;RelDebut,$C$9:$C598,"&lt;="&amp;RelFin),"")</f>
        <v/>
      </c>
    </row>
    <row r="599" spans="2:18" ht="18" customHeight="1" x14ac:dyDescent="0.25">
      <c r="B599" s="48" t="str">
        <f>IF(C599="","",COUNT($C$9:C599))</f>
        <v/>
      </c>
      <c r="C599" s="49"/>
      <c r="D599" s="50"/>
      <c r="E599" s="51"/>
      <c r="F599" s="52" t="str">
        <f t="shared" si="36"/>
        <v/>
      </c>
      <c r="G599" s="51"/>
      <c r="H599" s="51"/>
      <c r="I599" s="51"/>
      <c r="J599" s="51"/>
      <c r="K599" s="53"/>
      <c r="L599" s="53"/>
      <c r="M599" s="54" t="str">
        <f t="shared" si="37"/>
        <v/>
      </c>
      <c r="N599" s="55" t="str">
        <f t="shared" si="38"/>
        <v/>
      </c>
      <c r="O599" s="56" t="str">
        <f t="shared" si="39"/>
        <v/>
      </c>
      <c r="P599" s="51"/>
      <c r="R599" s="57" t="str">
        <f>IF(AND($E599=RelConducteur,$J599="Professionnel",ISNUMBER($C599),$C599&gt;=RelDebut,$C599&lt;=RelFin),COUNTIFS($E$9:$E599,RelConducteur,$J$9:$J599,"Professionnel",$C$9:$C599,"&gt;="&amp;RelDebut,$C$9:$C599,"&lt;="&amp;RelFin),"")</f>
        <v/>
      </c>
    </row>
    <row r="600" spans="2:18" ht="18" customHeight="1" x14ac:dyDescent="0.25">
      <c r="B600" s="48" t="str">
        <f>IF(C600="","",COUNT($C$9:C600))</f>
        <v/>
      </c>
      <c r="C600" s="49"/>
      <c r="D600" s="50"/>
      <c r="E600" s="51"/>
      <c r="F600" s="52" t="str">
        <f t="shared" si="36"/>
        <v/>
      </c>
      <c r="G600" s="51"/>
      <c r="H600" s="51"/>
      <c r="I600" s="51"/>
      <c r="J600" s="51"/>
      <c r="K600" s="53"/>
      <c r="L600" s="53"/>
      <c r="M600" s="54" t="str">
        <f t="shared" si="37"/>
        <v/>
      </c>
      <c r="N600" s="55" t="str">
        <f t="shared" si="38"/>
        <v/>
      </c>
      <c r="O600" s="56" t="str">
        <f t="shared" si="39"/>
        <v/>
      </c>
      <c r="P600" s="51"/>
      <c r="R600" s="57" t="str">
        <f>IF(AND($E600=RelConducteur,$J600="Professionnel",ISNUMBER($C600),$C600&gt;=RelDebut,$C600&lt;=RelFin),COUNTIFS($E$9:$E600,RelConducteur,$J$9:$J600,"Professionnel",$C$9:$C600,"&gt;="&amp;RelDebut,$C$9:$C600,"&lt;="&amp;RelFin),"")</f>
        <v/>
      </c>
    </row>
    <row r="601" spans="2:18" ht="18" customHeight="1" x14ac:dyDescent="0.25">
      <c r="B601" s="48" t="str">
        <f>IF(C601="","",COUNT($C$9:C601))</f>
        <v/>
      </c>
      <c r="C601" s="49"/>
      <c r="D601" s="50"/>
      <c r="E601" s="51"/>
      <c r="F601" s="52" t="str">
        <f t="shared" si="36"/>
        <v/>
      </c>
      <c r="G601" s="51"/>
      <c r="H601" s="51"/>
      <c r="I601" s="51"/>
      <c r="J601" s="51"/>
      <c r="K601" s="53"/>
      <c r="L601" s="53"/>
      <c r="M601" s="54" t="str">
        <f t="shared" si="37"/>
        <v/>
      </c>
      <c r="N601" s="55" t="str">
        <f t="shared" si="38"/>
        <v/>
      </c>
      <c r="O601" s="56" t="str">
        <f t="shared" si="39"/>
        <v/>
      </c>
      <c r="P601" s="51"/>
      <c r="R601" s="57" t="str">
        <f>IF(AND($E601=RelConducteur,$J601="Professionnel",ISNUMBER($C601),$C601&gt;=RelDebut,$C601&lt;=RelFin),COUNTIFS($E$9:$E601,RelConducteur,$J$9:$J601,"Professionnel",$C$9:$C601,"&gt;="&amp;RelDebut,$C$9:$C601,"&lt;="&amp;RelFin),"")</f>
        <v/>
      </c>
    </row>
    <row r="602" spans="2:18" ht="18" customHeight="1" x14ac:dyDescent="0.25">
      <c r="B602" s="48" t="str">
        <f>IF(C602="","",COUNT($C$9:C602))</f>
        <v/>
      </c>
      <c r="C602" s="49"/>
      <c r="D602" s="50"/>
      <c r="E602" s="51"/>
      <c r="F602" s="52" t="str">
        <f t="shared" si="36"/>
        <v/>
      </c>
      <c r="G602" s="51"/>
      <c r="H602" s="51"/>
      <c r="I602" s="51"/>
      <c r="J602" s="51"/>
      <c r="K602" s="53"/>
      <c r="L602" s="53"/>
      <c r="M602" s="54" t="str">
        <f t="shared" si="37"/>
        <v/>
      </c>
      <c r="N602" s="55" t="str">
        <f t="shared" si="38"/>
        <v/>
      </c>
      <c r="O602" s="56" t="str">
        <f t="shared" si="39"/>
        <v/>
      </c>
      <c r="P602" s="51"/>
      <c r="R602" s="57" t="str">
        <f>IF(AND($E602=RelConducteur,$J602="Professionnel",ISNUMBER($C602),$C602&gt;=RelDebut,$C602&lt;=RelFin),COUNTIFS($E$9:$E602,RelConducteur,$J$9:$J602,"Professionnel",$C$9:$C602,"&gt;="&amp;RelDebut,$C$9:$C602,"&lt;="&amp;RelFin),"")</f>
        <v/>
      </c>
    </row>
    <row r="603" spans="2:18" ht="18" customHeight="1" x14ac:dyDescent="0.25">
      <c r="B603" s="48" t="str">
        <f>IF(C603="","",COUNT($C$9:C603))</f>
        <v/>
      </c>
      <c r="C603" s="49"/>
      <c r="D603" s="50"/>
      <c r="E603" s="51"/>
      <c r="F603" s="52" t="str">
        <f t="shared" si="36"/>
        <v/>
      </c>
      <c r="G603" s="51"/>
      <c r="H603" s="51"/>
      <c r="I603" s="51"/>
      <c r="J603" s="51"/>
      <c r="K603" s="53"/>
      <c r="L603" s="53"/>
      <c r="M603" s="54" t="str">
        <f t="shared" si="37"/>
        <v/>
      </c>
      <c r="N603" s="55" t="str">
        <f t="shared" si="38"/>
        <v/>
      </c>
      <c r="O603" s="56" t="str">
        <f t="shared" si="39"/>
        <v/>
      </c>
      <c r="P603" s="51"/>
      <c r="R603" s="57" t="str">
        <f>IF(AND($E603=RelConducteur,$J603="Professionnel",ISNUMBER($C603),$C603&gt;=RelDebut,$C603&lt;=RelFin),COUNTIFS($E$9:$E603,RelConducteur,$J$9:$J603,"Professionnel",$C$9:$C603,"&gt;="&amp;RelDebut,$C$9:$C603,"&lt;="&amp;RelFin),"")</f>
        <v/>
      </c>
    </row>
    <row r="604" spans="2:18" ht="18" customHeight="1" x14ac:dyDescent="0.25">
      <c r="B604" s="48" t="str">
        <f>IF(C604="","",COUNT($C$9:C604))</f>
        <v/>
      </c>
      <c r="C604" s="49"/>
      <c r="D604" s="50"/>
      <c r="E604" s="51"/>
      <c r="F604" s="52" t="str">
        <f t="shared" si="36"/>
        <v/>
      </c>
      <c r="G604" s="51"/>
      <c r="H604" s="51"/>
      <c r="I604" s="51"/>
      <c r="J604" s="51"/>
      <c r="K604" s="53"/>
      <c r="L604" s="53"/>
      <c r="M604" s="54" t="str">
        <f t="shared" si="37"/>
        <v/>
      </c>
      <c r="N604" s="55" t="str">
        <f t="shared" si="38"/>
        <v/>
      </c>
      <c r="O604" s="56" t="str">
        <f t="shared" si="39"/>
        <v/>
      </c>
      <c r="P604" s="51"/>
      <c r="R604" s="57" t="str">
        <f>IF(AND($E604=RelConducteur,$J604="Professionnel",ISNUMBER($C604),$C604&gt;=RelDebut,$C604&lt;=RelFin),COUNTIFS($E$9:$E604,RelConducteur,$J$9:$J604,"Professionnel",$C$9:$C604,"&gt;="&amp;RelDebut,$C$9:$C604,"&lt;="&amp;RelFin),"")</f>
        <v/>
      </c>
    </row>
    <row r="605" spans="2:18" ht="18" customHeight="1" x14ac:dyDescent="0.25">
      <c r="B605" s="48" t="str">
        <f>IF(C605="","",COUNT($C$9:C605))</f>
        <v/>
      </c>
      <c r="C605" s="49"/>
      <c r="D605" s="50"/>
      <c r="E605" s="51"/>
      <c r="F605" s="52" t="str">
        <f t="shared" si="36"/>
        <v/>
      </c>
      <c r="G605" s="51"/>
      <c r="H605" s="51"/>
      <c r="I605" s="51"/>
      <c r="J605" s="51"/>
      <c r="K605" s="53"/>
      <c r="L605" s="53"/>
      <c r="M605" s="54" t="str">
        <f t="shared" si="37"/>
        <v/>
      </c>
      <c r="N605" s="55" t="str">
        <f t="shared" si="38"/>
        <v/>
      </c>
      <c r="O605" s="56" t="str">
        <f t="shared" si="39"/>
        <v/>
      </c>
      <c r="P605" s="51"/>
      <c r="R605" s="57" t="str">
        <f>IF(AND($E605=RelConducteur,$J605="Professionnel",ISNUMBER($C605),$C605&gt;=RelDebut,$C605&lt;=RelFin),COUNTIFS($E$9:$E605,RelConducteur,$J$9:$J605,"Professionnel",$C$9:$C605,"&gt;="&amp;RelDebut,$C$9:$C605,"&lt;="&amp;RelFin),"")</f>
        <v/>
      </c>
    </row>
    <row r="606" spans="2:18" ht="18" customHeight="1" x14ac:dyDescent="0.25">
      <c r="B606" s="48" t="str">
        <f>IF(C606="","",COUNT($C$9:C606))</f>
        <v/>
      </c>
      <c r="C606" s="49"/>
      <c r="D606" s="50"/>
      <c r="E606" s="51"/>
      <c r="F606" s="52" t="str">
        <f t="shared" si="36"/>
        <v/>
      </c>
      <c r="G606" s="51"/>
      <c r="H606" s="51"/>
      <c r="I606" s="51"/>
      <c r="J606" s="51"/>
      <c r="K606" s="53"/>
      <c r="L606" s="53"/>
      <c r="M606" s="54" t="str">
        <f t="shared" si="37"/>
        <v/>
      </c>
      <c r="N606" s="55" t="str">
        <f t="shared" si="38"/>
        <v/>
      </c>
      <c r="O606" s="56" t="str">
        <f t="shared" si="39"/>
        <v/>
      </c>
      <c r="P606" s="51"/>
      <c r="R606" s="57" t="str">
        <f>IF(AND($E606=RelConducteur,$J606="Professionnel",ISNUMBER($C606),$C606&gt;=RelDebut,$C606&lt;=RelFin),COUNTIFS($E$9:$E606,RelConducteur,$J$9:$J606,"Professionnel",$C$9:$C606,"&gt;="&amp;RelDebut,$C$9:$C606,"&lt;="&amp;RelFin),"")</f>
        <v/>
      </c>
    </row>
    <row r="607" spans="2:18" ht="18" customHeight="1" x14ac:dyDescent="0.25">
      <c r="B607" s="48" t="str">
        <f>IF(C607="","",COUNT($C$9:C607))</f>
        <v/>
      </c>
      <c r="C607" s="49"/>
      <c r="D607" s="50"/>
      <c r="E607" s="51"/>
      <c r="F607" s="52" t="str">
        <f t="shared" si="36"/>
        <v/>
      </c>
      <c r="G607" s="51"/>
      <c r="H607" s="51"/>
      <c r="I607" s="51"/>
      <c r="J607" s="51"/>
      <c r="K607" s="53"/>
      <c r="L607" s="53"/>
      <c r="M607" s="54" t="str">
        <f t="shared" si="37"/>
        <v/>
      </c>
      <c r="N607" s="55" t="str">
        <f t="shared" si="38"/>
        <v/>
      </c>
      <c r="O607" s="56" t="str">
        <f t="shared" si="39"/>
        <v/>
      </c>
      <c r="P607" s="51"/>
      <c r="R607" s="57" t="str">
        <f>IF(AND($E607=RelConducteur,$J607="Professionnel",ISNUMBER($C607),$C607&gt;=RelDebut,$C607&lt;=RelFin),COUNTIFS($E$9:$E607,RelConducteur,$J$9:$J607,"Professionnel",$C$9:$C607,"&gt;="&amp;RelDebut,$C$9:$C607,"&lt;="&amp;RelFin),"")</f>
        <v/>
      </c>
    </row>
    <row r="608" spans="2:18" ht="18" customHeight="1" x14ac:dyDescent="0.25">
      <c r="B608" s="48" t="str">
        <f>IF(C608="","",COUNT($C$9:C608))</f>
        <v/>
      </c>
      <c r="C608" s="49"/>
      <c r="D608" s="50"/>
      <c r="E608" s="51"/>
      <c r="F608" s="52" t="str">
        <f t="shared" si="36"/>
        <v/>
      </c>
      <c r="G608" s="51"/>
      <c r="H608" s="51"/>
      <c r="I608" s="51"/>
      <c r="J608" s="51"/>
      <c r="K608" s="53"/>
      <c r="L608" s="53"/>
      <c r="M608" s="54" t="str">
        <f t="shared" si="37"/>
        <v/>
      </c>
      <c r="N608" s="55" t="str">
        <f t="shared" si="38"/>
        <v/>
      </c>
      <c r="O608" s="56" t="str">
        <f t="shared" si="39"/>
        <v/>
      </c>
      <c r="P608" s="51"/>
      <c r="R608" s="57" t="str">
        <f>IF(AND($E608=RelConducteur,$J608="Professionnel",ISNUMBER($C608),$C608&gt;=RelDebut,$C608&lt;=RelFin),COUNTIFS($E$9:$E608,RelConducteur,$J$9:$J608,"Professionnel",$C$9:$C608,"&gt;="&amp;RelDebut,$C$9:$C608,"&lt;="&amp;RelFin),"")</f>
        <v/>
      </c>
    </row>
    <row r="609" spans="2:18" ht="18" customHeight="1" x14ac:dyDescent="0.25">
      <c r="B609" s="48" t="str">
        <f>IF(C609="","",COUNT($C$9:C609))</f>
        <v/>
      </c>
      <c r="C609" s="49"/>
      <c r="D609" s="50"/>
      <c r="E609" s="51"/>
      <c r="F609" s="52" t="str">
        <f t="shared" si="36"/>
        <v/>
      </c>
      <c r="G609" s="51"/>
      <c r="H609" s="51"/>
      <c r="I609" s="51"/>
      <c r="J609" s="51"/>
      <c r="K609" s="53"/>
      <c r="L609" s="53"/>
      <c r="M609" s="54" t="str">
        <f t="shared" si="37"/>
        <v/>
      </c>
      <c r="N609" s="55" t="str">
        <f t="shared" si="38"/>
        <v/>
      </c>
      <c r="O609" s="56" t="str">
        <f t="shared" si="39"/>
        <v/>
      </c>
      <c r="P609" s="51"/>
      <c r="R609" s="57" t="str">
        <f>IF(AND($E609=RelConducteur,$J609="Professionnel",ISNUMBER($C609),$C609&gt;=RelDebut,$C609&lt;=RelFin),COUNTIFS($E$9:$E609,RelConducteur,$J$9:$J609,"Professionnel",$C$9:$C609,"&gt;="&amp;RelDebut,$C$9:$C609,"&lt;="&amp;RelFin),"")</f>
        <v/>
      </c>
    </row>
    <row r="610" spans="2:18" ht="18" customHeight="1" x14ac:dyDescent="0.25">
      <c r="B610" s="48" t="str">
        <f>IF(C610="","",COUNT($C$9:C610))</f>
        <v/>
      </c>
      <c r="C610" s="49"/>
      <c r="D610" s="50"/>
      <c r="E610" s="51"/>
      <c r="F610" s="52" t="str">
        <f t="shared" si="36"/>
        <v/>
      </c>
      <c r="G610" s="51"/>
      <c r="H610" s="51"/>
      <c r="I610" s="51"/>
      <c r="J610" s="51"/>
      <c r="K610" s="53"/>
      <c r="L610" s="53"/>
      <c r="M610" s="54" t="str">
        <f t="shared" si="37"/>
        <v/>
      </c>
      <c r="N610" s="55" t="str">
        <f t="shared" si="38"/>
        <v/>
      </c>
      <c r="O610" s="56" t="str">
        <f t="shared" si="39"/>
        <v/>
      </c>
      <c r="P610" s="51"/>
      <c r="R610" s="57" t="str">
        <f>IF(AND($E610=RelConducteur,$J610="Professionnel",ISNUMBER($C610),$C610&gt;=RelDebut,$C610&lt;=RelFin),COUNTIFS($E$9:$E610,RelConducteur,$J$9:$J610,"Professionnel",$C$9:$C610,"&gt;="&amp;RelDebut,$C$9:$C610,"&lt;="&amp;RelFin),"")</f>
        <v/>
      </c>
    </row>
    <row r="611" spans="2:18" ht="18" customHeight="1" x14ac:dyDescent="0.25">
      <c r="B611" s="48" t="str">
        <f>IF(C611="","",COUNT($C$9:C611))</f>
        <v/>
      </c>
      <c r="C611" s="49"/>
      <c r="D611" s="50"/>
      <c r="E611" s="51"/>
      <c r="F611" s="52" t="str">
        <f t="shared" si="36"/>
        <v/>
      </c>
      <c r="G611" s="51"/>
      <c r="H611" s="51"/>
      <c r="I611" s="51"/>
      <c r="J611" s="51"/>
      <c r="K611" s="53"/>
      <c r="L611" s="53"/>
      <c r="M611" s="54" t="str">
        <f t="shared" si="37"/>
        <v/>
      </c>
      <c r="N611" s="55" t="str">
        <f t="shared" si="38"/>
        <v/>
      </c>
      <c r="O611" s="56" t="str">
        <f t="shared" si="39"/>
        <v/>
      </c>
      <c r="P611" s="51"/>
      <c r="R611" s="57" t="str">
        <f>IF(AND($E611=RelConducteur,$J611="Professionnel",ISNUMBER($C611),$C611&gt;=RelDebut,$C611&lt;=RelFin),COUNTIFS($E$9:$E611,RelConducteur,$J$9:$J611,"Professionnel",$C$9:$C611,"&gt;="&amp;RelDebut,$C$9:$C611,"&lt;="&amp;RelFin),"")</f>
        <v/>
      </c>
    </row>
    <row r="612" spans="2:18" ht="18" customHeight="1" x14ac:dyDescent="0.25">
      <c r="B612" s="48" t="str">
        <f>IF(C612="","",COUNT($C$9:C612))</f>
        <v/>
      </c>
      <c r="C612" s="49"/>
      <c r="D612" s="50"/>
      <c r="E612" s="51"/>
      <c r="F612" s="52" t="str">
        <f t="shared" si="36"/>
        <v/>
      </c>
      <c r="G612" s="51"/>
      <c r="H612" s="51"/>
      <c r="I612" s="51"/>
      <c r="J612" s="51"/>
      <c r="K612" s="53"/>
      <c r="L612" s="53"/>
      <c r="M612" s="54" t="str">
        <f t="shared" si="37"/>
        <v/>
      </c>
      <c r="N612" s="55" t="str">
        <f t="shared" si="38"/>
        <v/>
      </c>
      <c r="O612" s="56" t="str">
        <f t="shared" si="39"/>
        <v/>
      </c>
      <c r="P612" s="51"/>
      <c r="R612" s="57" t="str">
        <f>IF(AND($E612=RelConducteur,$J612="Professionnel",ISNUMBER($C612),$C612&gt;=RelDebut,$C612&lt;=RelFin),COUNTIFS($E$9:$E612,RelConducteur,$J$9:$J612,"Professionnel",$C$9:$C612,"&gt;="&amp;RelDebut,$C$9:$C612,"&lt;="&amp;RelFin),"")</f>
        <v/>
      </c>
    </row>
    <row r="613" spans="2:18" ht="18" customHeight="1" x14ac:dyDescent="0.25">
      <c r="B613" s="48" t="str">
        <f>IF(C613="","",COUNT($C$9:C613))</f>
        <v/>
      </c>
      <c r="C613" s="49"/>
      <c r="D613" s="50"/>
      <c r="E613" s="51"/>
      <c r="F613" s="52" t="str">
        <f t="shared" si="36"/>
        <v/>
      </c>
      <c r="G613" s="51"/>
      <c r="H613" s="51"/>
      <c r="I613" s="51"/>
      <c r="J613" s="51"/>
      <c r="K613" s="53"/>
      <c r="L613" s="53"/>
      <c r="M613" s="54" t="str">
        <f t="shared" si="37"/>
        <v/>
      </c>
      <c r="N613" s="55" t="str">
        <f t="shared" si="38"/>
        <v/>
      </c>
      <c r="O613" s="56" t="str">
        <f t="shared" si="39"/>
        <v/>
      </c>
      <c r="P613" s="51"/>
      <c r="R613" s="57" t="str">
        <f>IF(AND($E613=RelConducteur,$J613="Professionnel",ISNUMBER($C613),$C613&gt;=RelDebut,$C613&lt;=RelFin),COUNTIFS($E$9:$E613,RelConducteur,$J$9:$J613,"Professionnel",$C$9:$C613,"&gt;="&amp;RelDebut,$C$9:$C613,"&lt;="&amp;RelFin),"")</f>
        <v/>
      </c>
    </row>
    <row r="614" spans="2:18" ht="18" customHeight="1" x14ac:dyDescent="0.25">
      <c r="B614" s="48" t="str">
        <f>IF(C614="","",COUNT($C$9:C614))</f>
        <v/>
      </c>
      <c r="C614" s="49"/>
      <c r="D614" s="50"/>
      <c r="E614" s="51"/>
      <c r="F614" s="52" t="str">
        <f t="shared" si="36"/>
        <v/>
      </c>
      <c r="G614" s="51"/>
      <c r="H614" s="51"/>
      <c r="I614" s="51"/>
      <c r="J614" s="51"/>
      <c r="K614" s="53"/>
      <c r="L614" s="53"/>
      <c r="M614" s="54" t="str">
        <f t="shared" si="37"/>
        <v/>
      </c>
      <c r="N614" s="55" t="str">
        <f t="shared" si="38"/>
        <v/>
      </c>
      <c r="O614" s="56" t="str">
        <f t="shared" si="39"/>
        <v/>
      </c>
      <c r="P614" s="51"/>
      <c r="R614" s="57" t="str">
        <f>IF(AND($E614=RelConducteur,$J614="Professionnel",ISNUMBER($C614),$C614&gt;=RelDebut,$C614&lt;=RelFin),COUNTIFS($E$9:$E614,RelConducteur,$J$9:$J614,"Professionnel",$C$9:$C614,"&gt;="&amp;RelDebut,$C$9:$C614,"&lt;="&amp;RelFin),"")</f>
        <v/>
      </c>
    </row>
    <row r="615" spans="2:18" ht="18" customHeight="1" x14ac:dyDescent="0.25">
      <c r="B615" s="48" t="str">
        <f>IF(C615="","",COUNT($C$9:C615))</f>
        <v/>
      </c>
      <c r="C615" s="49"/>
      <c r="D615" s="50"/>
      <c r="E615" s="51"/>
      <c r="F615" s="52" t="str">
        <f t="shared" si="36"/>
        <v/>
      </c>
      <c r="G615" s="51"/>
      <c r="H615" s="51"/>
      <c r="I615" s="51"/>
      <c r="J615" s="51"/>
      <c r="K615" s="53"/>
      <c r="L615" s="53"/>
      <c r="M615" s="54" t="str">
        <f t="shared" si="37"/>
        <v/>
      </c>
      <c r="N615" s="55" t="str">
        <f t="shared" si="38"/>
        <v/>
      </c>
      <c r="O615" s="56" t="str">
        <f t="shared" si="39"/>
        <v/>
      </c>
      <c r="P615" s="51"/>
      <c r="R615" s="57" t="str">
        <f>IF(AND($E615=RelConducteur,$J615="Professionnel",ISNUMBER($C615),$C615&gt;=RelDebut,$C615&lt;=RelFin),COUNTIFS($E$9:$E615,RelConducteur,$J$9:$J615,"Professionnel",$C$9:$C615,"&gt;="&amp;RelDebut,$C$9:$C615,"&lt;="&amp;RelFin),"")</f>
        <v/>
      </c>
    </row>
    <row r="616" spans="2:18" ht="18" customHeight="1" x14ac:dyDescent="0.25">
      <c r="B616" s="48" t="str">
        <f>IF(C616="","",COUNT($C$9:C616))</f>
        <v/>
      </c>
      <c r="C616" s="49"/>
      <c r="D616" s="50"/>
      <c r="E616" s="51"/>
      <c r="F616" s="52" t="str">
        <f t="shared" si="36"/>
        <v/>
      </c>
      <c r="G616" s="51"/>
      <c r="H616" s="51"/>
      <c r="I616" s="51"/>
      <c r="J616" s="51"/>
      <c r="K616" s="53"/>
      <c r="L616" s="53"/>
      <c r="M616" s="54" t="str">
        <f t="shared" si="37"/>
        <v/>
      </c>
      <c r="N616" s="55" t="str">
        <f t="shared" si="38"/>
        <v/>
      </c>
      <c r="O616" s="56" t="str">
        <f t="shared" si="39"/>
        <v/>
      </c>
      <c r="P616" s="51"/>
      <c r="R616" s="57" t="str">
        <f>IF(AND($E616=RelConducteur,$J616="Professionnel",ISNUMBER($C616),$C616&gt;=RelDebut,$C616&lt;=RelFin),COUNTIFS($E$9:$E616,RelConducteur,$J$9:$J616,"Professionnel",$C$9:$C616,"&gt;="&amp;RelDebut,$C$9:$C616,"&lt;="&amp;RelFin),"")</f>
        <v/>
      </c>
    </row>
    <row r="617" spans="2:18" ht="18" customHeight="1" x14ac:dyDescent="0.25">
      <c r="B617" s="48" t="str">
        <f>IF(C617="","",COUNT($C$9:C617))</f>
        <v/>
      </c>
      <c r="C617" s="49"/>
      <c r="D617" s="50"/>
      <c r="E617" s="51"/>
      <c r="F617" s="52" t="str">
        <f t="shared" si="36"/>
        <v/>
      </c>
      <c r="G617" s="51"/>
      <c r="H617" s="51"/>
      <c r="I617" s="51"/>
      <c r="J617" s="51"/>
      <c r="K617" s="53"/>
      <c r="L617" s="53"/>
      <c r="M617" s="54" t="str">
        <f t="shared" si="37"/>
        <v/>
      </c>
      <c r="N617" s="55" t="str">
        <f t="shared" si="38"/>
        <v/>
      </c>
      <c r="O617" s="56" t="str">
        <f t="shared" si="39"/>
        <v/>
      </c>
      <c r="P617" s="51"/>
      <c r="R617" s="57" t="str">
        <f>IF(AND($E617=RelConducteur,$J617="Professionnel",ISNUMBER($C617),$C617&gt;=RelDebut,$C617&lt;=RelFin),COUNTIFS($E$9:$E617,RelConducteur,$J$9:$J617,"Professionnel",$C$9:$C617,"&gt;="&amp;RelDebut,$C$9:$C617,"&lt;="&amp;RelFin),"")</f>
        <v/>
      </c>
    </row>
    <row r="618" spans="2:18" ht="18" customHeight="1" x14ac:dyDescent="0.25">
      <c r="B618" s="48" t="str">
        <f>IF(C618="","",COUNT($C$9:C618))</f>
        <v/>
      </c>
      <c r="C618" s="49"/>
      <c r="D618" s="50"/>
      <c r="E618" s="51"/>
      <c r="F618" s="52" t="str">
        <f t="shared" si="36"/>
        <v/>
      </c>
      <c r="G618" s="51"/>
      <c r="H618" s="51"/>
      <c r="I618" s="51"/>
      <c r="J618" s="51"/>
      <c r="K618" s="53"/>
      <c r="L618" s="53"/>
      <c r="M618" s="54" t="str">
        <f t="shared" si="37"/>
        <v/>
      </c>
      <c r="N618" s="55" t="str">
        <f t="shared" si="38"/>
        <v/>
      </c>
      <c r="O618" s="56" t="str">
        <f t="shared" si="39"/>
        <v/>
      </c>
      <c r="P618" s="51"/>
      <c r="R618" s="57" t="str">
        <f>IF(AND($E618=RelConducteur,$J618="Professionnel",ISNUMBER($C618),$C618&gt;=RelDebut,$C618&lt;=RelFin),COUNTIFS($E$9:$E618,RelConducteur,$J$9:$J618,"Professionnel",$C$9:$C618,"&gt;="&amp;RelDebut,$C$9:$C618,"&lt;="&amp;RelFin),"")</f>
        <v/>
      </c>
    </row>
    <row r="619" spans="2:18" ht="18" customHeight="1" x14ac:dyDescent="0.25">
      <c r="B619" s="48" t="str">
        <f>IF(C619="","",COUNT($C$9:C619))</f>
        <v/>
      </c>
      <c r="C619" s="49"/>
      <c r="D619" s="50"/>
      <c r="E619" s="51"/>
      <c r="F619" s="52" t="str">
        <f t="shared" si="36"/>
        <v/>
      </c>
      <c r="G619" s="51"/>
      <c r="H619" s="51"/>
      <c r="I619" s="51"/>
      <c r="J619" s="51"/>
      <c r="K619" s="53"/>
      <c r="L619" s="53"/>
      <c r="M619" s="54" t="str">
        <f t="shared" si="37"/>
        <v/>
      </c>
      <c r="N619" s="55" t="str">
        <f t="shared" si="38"/>
        <v/>
      </c>
      <c r="O619" s="56" t="str">
        <f t="shared" si="39"/>
        <v/>
      </c>
      <c r="P619" s="51"/>
      <c r="R619" s="57" t="str">
        <f>IF(AND($E619=RelConducteur,$J619="Professionnel",ISNUMBER($C619),$C619&gt;=RelDebut,$C619&lt;=RelFin),COUNTIFS($E$9:$E619,RelConducteur,$J$9:$J619,"Professionnel",$C$9:$C619,"&gt;="&amp;RelDebut,$C$9:$C619,"&lt;="&amp;RelFin),"")</f>
        <v/>
      </c>
    </row>
    <row r="620" spans="2:18" ht="18" customHeight="1" x14ac:dyDescent="0.25">
      <c r="B620" s="48" t="str">
        <f>IF(C620="","",COUNT($C$9:C620))</f>
        <v/>
      </c>
      <c r="C620" s="49"/>
      <c r="D620" s="50"/>
      <c r="E620" s="51"/>
      <c r="F620" s="52" t="str">
        <f t="shared" si="36"/>
        <v/>
      </c>
      <c r="G620" s="51"/>
      <c r="H620" s="51"/>
      <c r="I620" s="51"/>
      <c r="J620" s="51"/>
      <c r="K620" s="53"/>
      <c r="L620" s="53"/>
      <c r="M620" s="54" t="str">
        <f t="shared" si="37"/>
        <v/>
      </c>
      <c r="N620" s="55" t="str">
        <f t="shared" si="38"/>
        <v/>
      </c>
      <c r="O620" s="56" t="str">
        <f t="shared" si="39"/>
        <v/>
      </c>
      <c r="P620" s="51"/>
      <c r="R620" s="57" t="str">
        <f>IF(AND($E620=RelConducteur,$J620="Professionnel",ISNUMBER($C620),$C620&gt;=RelDebut,$C620&lt;=RelFin),COUNTIFS($E$9:$E620,RelConducteur,$J$9:$J620,"Professionnel",$C$9:$C620,"&gt;="&amp;RelDebut,$C$9:$C620,"&lt;="&amp;RelFin),"")</f>
        <v/>
      </c>
    </row>
    <row r="621" spans="2:18" ht="18" customHeight="1" x14ac:dyDescent="0.25">
      <c r="B621" s="48" t="str">
        <f>IF(C621="","",COUNT($C$9:C621))</f>
        <v/>
      </c>
      <c r="C621" s="49"/>
      <c r="D621" s="50"/>
      <c r="E621" s="51"/>
      <c r="F621" s="52" t="str">
        <f t="shared" si="36"/>
        <v/>
      </c>
      <c r="G621" s="51"/>
      <c r="H621" s="51"/>
      <c r="I621" s="51"/>
      <c r="J621" s="51"/>
      <c r="K621" s="53"/>
      <c r="L621" s="53"/>
      <c r="M621" s="54" t="str">
        <f t="shared" si="37"/>
        <v/>
      </c>
      <c r="N621" s="55" t="str">
        <f t="shared" si="38"/>
        <v/>
      </c>
      <c r="O621" s="56" t="str">
        <f t="shared" si="39"/>
        <v/>
      </c>
      <c r="P621" s="51"/>
      <c r="R621" s="57" t="str">
        <f>IF(AND($E621=RelConducteur,$J621="Professionnel",ISNUMBER($C621),$C621&gt;=RelDebut,$C621&lt;=RelFin),COUNTIFS($E$9:$E621,RelConducteur,$J$9:$J621,"Professionnel",$C$9:$C621,"&gt;="&amp;RelDebut,$C$9:$C621,"&lt;="&amp;RelFin),"")</f>
        <v/>
      </c>
    </row>
    <row r="622" spans="2:18" ht="18" customHeight="1" x14ac:dyDescent="0.25">
      <c r="B622" s="48" t="str">
        <f>IF(C622="","",COUNT($C$9:C622))</f>
        <v/>
      </c>
      <c r="C622" s="49"/>
      <c r="D622" s="50"/>
      <c r="E622" s="51"/>
      <c r="F622" s="52" t="str">
        <f t="shared" si="36"/>
        <v/>
      </c>
      <c r="G622" s="51"/>
      <c r="H622" s="51"/>
      <c r="I622" s="51"/>
      <c r="J622" s="51"/>
      <c r="K622" s="53"/>
      <c r="L622" s="53"/>
      <c r="M622" s="54" t="str">
        <f t="shared" si="37"/>
        <v/>
      </c>
      <c r="N622" s="55" t="str">
        <f t="shared" si="38"/>
        <v/>
      </c>
      <c r="O622" s="56" t="str">
        <f t="shared" si="39"/>
        <v/>
      </c>
      <c r="P622" s="51"/>
      <c r="R622" s="57" t="str">
        <f>IF(AND($E622=RelConducteur,$J622="Professionnel",ISNUMBER($C622),$C622&gt;=RelDebut,$C622&lt;=RelFin),COUNTIFS($E$9:$E622,RelConducteur,$J$9:$J622,"Professionnel",$C$9:$C622,"&gt;="&amp;RelDebut,$C$9:$C622,"&lt;="&amp;RelFin),"")</f>
        <v/>
      </c>
    </row>
    <row r="623" spans="2:18" ht="18" customHeight="1" x14ac:dyDescent="0.25">
      <c r="B623" s="48" t="str">
        <f>IF(C623="","",COUNT($C$9:C623))</f>
        <v/>
      </c>
      <c r="C623" s="49"/>
      <c r="D623" s="50"/>
      <c r="E623" s="51"/>
      <c r="F623" s="52" t="str">
        <f t="shared" si="36"/>
        <v/>
      </c>
      <c r="G623" s="51"/>
      <c r="H623" s="51"/>
      <c r="I623" s="51"/>
      <c r="J623" s="51"/>
      <c r="K623" s="53"/>
      <c r="L623" s="53"/>
      <c r="M623" s="54" t="str">
        <f t="shared" si="37"/>
        <v/>
      </c>
      <c r="N623" s="55" t="str">
        <f t="shared" si="38"/>
        <v/>
      </c>
      <c r="O623" s="56" t="str">
        <f t="shared" si="39"/>
        <v/>
      </c>
      <c r="P623" s="51"/>
      <c r="R623" s="57" t="str">
        <f>IF(AND($E623=RelConducteur,$J623="Professionnel",ISNUMBER($C623),$C623&gt;=RelDebut,$C623&lt;=RelFin),COUNTIFS($E$9:$E623,RelConducteur,$J$9:$J623,"Professionnel",$C$9:$C623,"&gt;="&amp;RelDebut,$C$9:$C623,"&lt;="&amp;RelFin),"")</f>
        <v/>
      </c>
    </row>
    <row r="624" spans="2:18" ht="18" customHeight="1" x14ac:dyDescent="0.25">
      <c r="B624" s="48" t="str">
        <f>IF(C624="","",COUNT($C$9:C624))</f>
        <v/>
      </c>
      <c r="C624" s="49"/>
      <c r="D624" s="50"/>
      <c r="E624" s="51"/>
      <c r="F624" s="52" t="str">
        <f t="shared" si="36"/>
        <v/>
      </c>
      <c r="G624" s="51"/>
      <c r="H624" s="51"/>
      <c r="I624" s="51"/>
      <c r="J624" s="51"/>
      <c r="K624" s="53"/>
      <c r="L624" s="53"/>
      <c r="M624" s="54" t="str">
        <f t="shared" si="37"/>
        <v/>
      </c>
      <c r="N624" s="55" t="str">
        <f t="shared" si="38"/>
        <v/>
      </c>
      <c r="O624" s="56" t="str">
        <f t="shared" si="39"/>
        <v/>
      </c>
      <c r="P624" s="51"/>
      <c r="R624" s="57" t="str">
        <f>IF(AND($E624=RelConducteur,$J624="Professionnel",ISNUMBER($C624),$C624&gt;=RelDebut,$C624&lt;=RelFin),COUNTIFS($E$9:$E624,RelConducteur,$J$9:$J624,"Professionnel",$C$9:$C624,"&gt;="&amp;RelDebut,$C$9:$C624,"&lt;="&amp;RelFin),"")</f>
        <v/>
      </c>
    </row>
    <row r="625" spans="2:18" ht="18" customHeight="1" x14ac:dyDescent="0.25">
      <c r="B625" s="48" t="str">
        <f>IF(C625="","",COUNT($C$9:C625))</f>
        <v/>
      </c>
      <c r="C625" s="49"/>
      <c r="D625" s="50"/>
      <c r="E625" s="51"/>
      <c r="F625" s="52" t="str">
        <f t="shared" si="36"/>
        <v/>
      </c>
      <c r="G625" s="51"/>
      <c r="H625" s="51"/>
      <c r="I625" s="51"/>
      <c r="J625" s="51"/>
      <c r="K625" s="53"/>
      <c r="L625" s="53"/>
      <c r="M625" s="54" t="str">
        <f t="shared" si="37"/>
        <v/>
      </c>
      <c r="N625" s="55" t="str">
        <f t="shared" si="38"/>
        <v/>
      </c>
      <c r="O625" s="56" t="str">
        <f t="shared" si="39"/>
        <v/>
      </c>
      <c r="P625" s="51"/>
      <c r="R625" s="57" t="str">
        <f>IF(AND($E625=RelConducteur,$J625="Professionnel",ISNUMBER($C625),$C625&gt;=RelDebut,$C625&lt;=RelFin),COUNTIFS($E$9:$E625,RelConducteur,$J$9:$J625,"Professionnel",$C$9:$C625,"&gt;="&amp;RelDebut,$C$9:$C625,"&lt;="&amp;RelFin),"")</f>
        <v/>
      </c>
    </row>
    <row r="626" spans="2:18" ht="18" customHeight="1" x14ac:dyDescent="0.25">
      <c r="B626" s="48" t="str">
        <f>IF(C626="","",COUNT($C$9:C626))</f>
        <v/>
      </c>
      <c r="C626" s="49"/>
      <c r="D626" s="50"/>
      <c r="E626" s="51"/>
      <c r="F626" s="52" t="str">
        <f t="shared" si="36"/>
        <v/>
      </c>
      <c r="G626" s="51"/>
      <c r="H626" s="51"/>
      <c r="I626" s="51"/>
      <c r="J626" s="51"/>
      <c r="K626" s="53"/>
      <c r="L626" s="53"/>
      <c r="M626" s="54" t="str">
        <f t="shared" si="37"/>
        <v/>
      </c>
      <c r="N626" s="55" t="str">
        <f t="shared" si="38"/>
        <v/>
      </c>
      <c r="O626" s="56" t="str">
        <f t="shared" si="39"/>
        <v/>
      </c>
      <c r="P626" s="51"/>
      <c r="R626" s="57" t="str">
        <f>IF(AND($E626=RelConducteur,$J626="Professionnel",ISNUMBER($C626),$C626&gt;=RelDebut,$C626&lt;=RelFin),COUNTIFS($E$9:$E626,RelConducteur,$J$9:$J626,"Professionnel",$C$9:$C626,"&gt;="&amp;RelDebut,$C$9:$C626,"&lt;="&amp;RelFin),"")</f>
        <v/>
      </c>
    </row>
    <row r="627" spans="2:18" ht="18" customHeight="1" x14ac:dyDescent="0.25">
      <c r="B627" s="48" t="str">
        <f>IF(C627="","",COUNT($C$9:C627))</f>
        <v/>
      </c>
      <c r="C627" s="49"/>
      <c r="D627" s="50"/>
      <c r="E627" s="51"/>
      <c r="F627" s="52" t="str">
        <f t="shared" si="36"/>
        <v/>
      </c>
      <c r="G627" s="51"/>
      <c r="H627" s="51"/>
      <c r="I627" s="51"/>
      <c r="J627" s="51"/>
      <c r="K627" s="53"/>
      <c r="L627" s="53"/>
      <c r="M627" s="54" t="str">
        <f t="shared" si="37"/>
        <v/>
      </c>
      <c r="N627" s="55" t="str">
        <f t="shared" si="38"/>
        <v/>
      </c>
      <c r="O627" s="56" t="str">
        <f t="shared" si="39"/>
        <v/>
      </c>
      <c r="P627" s="51"/>
      <c r="R627" s="57" t="str">
        <f>IF(AND($E627=RelConducteur,$J627="Professionnel",ISNUMBER($C627),$C627&gt;=RelDebut,$C627&lt;=RelFin),COUNTIFS($E$9:$E627,RelConducteur,$J$9:$J627,"Professionnel",$C$9:$C627,"&gt;="&amp;RelDebut,$C$9:$C627,"&lt;="&amp;RelFin),"")</f>
        <v/>
      </c>
    </row>
    <row r="628" spans="2:18" ht="18" customHeight="1" x14ac:dyDescent="0.25">
      <c r="B628" s="48" t="str">
        <f>IF(C628="","",COUNT($C$9:C628))</f>
        <v/>
      </c>
      <c r="C628" s="49"/>
      <c r="D628" s="50"/>
      <c r="E628" s="51"/>
      <c r="F628" s="52" t="str">
        <f t="shared" si="36"/>
        <v/>
      </c>
      <c r="G628" s="51"/>
      <c r="H628" s="51"/>
      <c r="I628" s="51"/>
      <c r="J628" s="51"/>
      <c r="K628" s="53"/>
      <c r="L628" s="53"/>
      <c r="M628" s="54" t="str">
        <f t="shared" si="37"/>
        <v/>
      </c>
      <c r="N628" s="55" t="str">
        <f t="shared" si="38"/>
        <v/>
      </c>
      <c r="O628" s="56" t="str">
        <f t="shared" si="39"/>
        <v/>
      </c>
      <c r="P628" s="51"/>
      <c r="R628" s="57" t="str">
        <f>IF(AND($E628=RelConducteur,$J628="Professionnel",ISNUMBER($C628),$C628&gt;=RelDebut,$C628&lt;=RelFin),COUNTIFS($E$9:$E628,RelConducteur,$J$9:$J628,"Professionnel",$C$9:$C628,"&gt;="&amp;RelDebut,$C$9:$C628,"&lt;="&amp;RelFin),"")</f>
        <v/>
      </c>
    </row>
    <row r="629" spans="2:18" ht="18" customHeight="1" x14ac:dyDescent="0.25">
      <c r="B629" s="48" t="str">
        <f>IF(C629="","",COUNT($C$9:C629))</f>
        <v/>
      </c>
      <c r="C629" s="49"/>
      <c r="D629" s="50"/>
      <c r="E629" s="51"/>
      <c r="F629" s="52" t="str">
        <f t="shared" si="36"/>
        <v/>
      </c>
      <c r="G629" s="51"/>
      <c r="H629" s="51"/>
      <c r="I629" s="51"/>
      <c r="J629" s="51"/>
      <c r="K629" s="53"/>
      <c r="L629" s="53"/>
      <c r="M629" s="54" t="str">
        <f t="shared" si="37"/>
        <v/>
      </c>
      <c r="N629" s="55" t="str">
        <f t="shared" si="38"/>
        <v/>
      </c>
      <c r="O629" s="56" t="str">
        <f t="shared" si="39"/>
        <v/>
      </c>
      <c r="P629" s="51"/>
      <c r="R629" s="57" t="str">
        <f>IF(AND($E629=RelConducteur,$J629="Professionnel",ISNUMBER($C629),$C629&gt;=RelDebut,$C629&lt;=RelFin),COUNTIFS($E$9:$E629,RelConducteur,$J$9:$J629,"Professionnel",$C$9:$C629,"&gt;="&amp;RelDebut,$C$9:$C629,"&lt;="&amp;RelFin),"")</f>
        <v/>
      </c>
    </row>
    <row r="630" spans="2:18" ht="18" customHeight="1" x14ac:dyDescent="0.25">
      <c r="B630" s="48" t="str">
        <f>IF(C630="","",COUNT($C$9:C630))</f>
        <v/>
      </c>
      <c r="C630" s="49"/>
      <c r="D630" s="50"/>
      <c r="E630" s="51"/>
      <c r="F630" s="52" t="str">
        <f t="shared" si="36"/>
        <v/>
      </c>
      <c r="G630" s="51"/>
      <c r="H630" s="51"/>
      <c r="I630" s="51"/>
      <c r="J630" s="51"/>
      <c r="K630" s="53"/>
      <c r="L630" s="53"/>
      <c r="M630" s="54" t="str">
        <f t="shared" si="37"/>
        <v/>
      </c>
      <c r="N630" s="55" t="str">
        <f t="shared" si="38"/>
        <v/>
      </c>
      <c r="O630" s="56" t="str">
        <f t="shared" si="39"/>
        <v/>
      </c>
      <c r="P630" s="51"/>
      <c r="R630" s="57" t="str">
        <f>IF(AND($E630=RelConducteur,$J630="Professionnel",ISNUMBER($C630),$C630&gt;=RelDebut,$C630&lt;=RelFin),COUNTIFS($E$9:$E630,RelConducteur,$J$9:$J630,"Professionnel",$C$9:$C630,"&gt;="&amp;RelDebut,$C$9:$C630,"&lt;="&amp;RelFin),"")</f>
        <v/>
      </c>
    </row>
    <row r="631" spans="2:18" ht="18" customHeight="1" x14ac:dyDescent="0.25">
      <c r="B631" s="48" t="str">
        <f>IF(C631="","",COUNT($C$9:C631))</f>
        <v/>
      </c>
      <c r="C631" s="49"/>
      <c r="D631" s="50"/>
      <c r="E631" s="51"/>
      <c r="F631" s="52" t="str">
        <f t="shared" si="36"/>
        <v/>
      </c>
      <c r="G631" s="51"/>
      <c r="H631" s="51"/>
      <c r="I631" s="51"/>
      <c r="J631" s="51"/>
      <c r="K631" s="53"/>
      <c r="L631" s="53"/>
      <c r="M631" s="54" t="str">
        <f t="shared" si="37"/>
        <v/>
      </c>
      <c r="N631" s="55" t="str">
        <f t="shared" si="38"/>
        <v/>
      </c>
      <c r="O631" s="56" t="str">
        <f t="shared" si="39"/>
        <v/>
      </c>
      <c r="P631" s="51"/>
      <c r="R631" s="57" t="str">
        <f>IF(AND($E631=RelConducteur,$J631="Professionnel",ISNUMBER($C631),$C631&gt;=RelDebut,$C631&lt;=RelFin),COUNTIFS($E$9:$E631,RelConducteur,$J$9:$J631,"Professionnel",$C$9:$C631,"&gt;="&amp;RelDebut,$C$9:$C631,"&lt;="&amp;RelFin),"")</f>
        <v/>
      </c>
    </row>
    <row r="632" spans="2:18" ht="18" customHeight="1" x14ac:dyDescent="0.25">
      <c r="B632" s="48" t="str">
        <f>IF(C632="","",COUNT($C$9:C632))</f>
        <v/>
      </c>
      <c r="C632" s="49"/>
      <c r="D632" s="50"/>
      <c r="E632" s="51"/>
      <c r="F632" s="52" t="str">
        <f t="shared" si="36"/>
        <v/>
      </c>
      <c r="G632" s="51"/>
      <c r="H632" s="51"/>
      <c r="I632" s="51"/>
      <c r="J632" s="51"/>
      <c r="K632" s="53"/>
      <c r="L632" s="53"/>
      <c r="M632" s="54" t="str">
        <f t="shared" si="37"/>
        <v/>
      </c>
      <c r="N632" s="55" t="str">
        <f t="shared" si="38"/>
        <v/>
      </c>
      <c r="O632" s="56" t="str">
        <f t="shared" si="39"/>
        <v/>
      </c>
      <c r="P632" s="51"/>
      <c r="R632" s="57" t="str">
        <f>IF(AND($E632=RelConducteur,$J632="Professionnel",ISNUMBER($C632),$C632&gt;=RelDebut,$C632&lt;=RelFin),COUNTIFS($E$9:$E632,RelConducteur,$J$9:$J632,"Professionnel",$C$9:$C632,"&gt;="&amp;RelDebut,$C$9:$C632,"&lt;="&amp;RelFin),"")</f>
        <v/>
      </c>
    </row>
    <row r="633" spans="2:18" ht="18" customHeight="1" x14ac:dyDescent="0.25">
      <c r="B633" s="48" t="str">
        <f>IF(C633="","",COUNT($C$9:C633))</f>
        <v/>
      </c>
      <c r="C633" s="49"/>
      <c r="D633" s="50"/>
      <c r="E633" s="51"/>
      <c r="F633" s="52" t="str">
        <f t="shared" si="36"/>
        <v/>
      </c>
      <c r="G633" s="51"/>
      <c r="H633" s="51"/>
      <c r="I633" s="51"/>
      <c r="J633" s="51"/>
      <c r="K633" s="53"/>
      <c r="L633" s="53"/>
      <c r="M633" s="54" t="str">
        <f t="shared" si="37"/>
        <v/>
      </c>
      <c r="N633" s="55" t="str">
        <f t="shared" si="38"/>
        <v/>
      </c>
      <c r="O633" s="56" t="str">
        <f t="shared" si="39"/>
        <v/>
      </c>
      <c r="P633" s="51"/>
      <c r="R633" s="57" t="str">
        <f>IF(AND($E633=RelConducteur,$J633="Professionnel",ISNUMBER($C633),$C633&gt;=RelDebut,$C633&lt;=RelFin),COUNTIFS($E$9:$E633,RelConducteur,$J$9:$J633,"Professionnel",$C$9:$C633,"&gt;="&amp;RelDebut,$C$9:$C633,"&lt;="&amp;RelFin),"")</f>
        <v/>
      </c>
    </row>
    <row r="634" spans="2:18" ht="18" customHeight="1" x14ac:dyDescent="0.25">
      <c r="B634" s="48" t="str">
        <f>IF(C634="","",COUNT($C$9:C634))</f>
        <v/>
      </c>
      <c r="C634" s="49"/>
      <c r="D634" s="50"/>
      <c r="E634" s="51"/>
      <c r="F634" s="52" t="str">
        <f t="shared" si="36"/>
        <v/>
      </c>
      <c r="G634" s="51"/>
      <c r="H634" s="51"/>
      <c r="I634" s="51"/>
      <c r="J634" s="51"/>
      <c r="K634" s="53"/>
      <c r="L634" s="53"/>
      <c r="M634" s="54" t="str">
        <f t="shared" si="37"/>
        <v/>
      </c>
      <c r="N634" s="55" t="str">
        <f t="shared" si="38"/>
        <v/>
      </c>
      <c r="O634" s="56" t="str">
        <f t="shared" si="39"/>
        <v/>
      </c>
      <c r="P634" s="51"/>
      <c r="R634" s="57" t="str">
        <f>IF(AND($E634=RelConducteur,$J634="Professionnel",ISNUMBER($C634),$C634&gt;=RelDebut,$C634&lt;=RelFin),COUNTIFS($E$9:$E634,RelConducteur,$J$9:$J634,"Professionnel",$C$9:$C634,"&gt;="&amp;RelDebut,$C$9:$C634,"&lt;="&amp;RelFin),"")</f>
        <v/>
      </c>
    </row>
    <row r="635" spans="2:18" ht="18" customHeight="1" x14ac:dyDescent="0.25">
      <c r="B635" s="48" t="str">
        <f>IF(C635="","",COUNT($C$9:C635))</f>
        <v/>
      </c>
      <c r="C635" s="49"/>
      <c r="D635" s="50"/>
      <c r="E635" s="51"/>
      <c r="F635" s="52" t="str">
        <f t="shared" si="36"/>
        <v/>
      </c>
      <c r="G635" s="51"/>
      <c r="H635" s="51"/>
      <c r="I635" s="51"/>
      <c r="J635" s="51"/>
      <c r="K635" s="53"/>
      <c r="L635" s="53"/>
      <c r="M635" s="54" t="str">
        <f t="shared" si="37"/>
        <v/>
      </c>
      <c r="N635" s="55" t="str">
        <f t="shared" si="38"/>
        <v/>
      </c>
      <c r="O635" s="56" t="str">
        <f t="shared" si="39"/>
        <v/>
      </c>
      <c r="P635" s="51"/>
      <c r="R635" s="57" t="str">
        <f>IF(AND($E635=RelConducteur,$J635="Professionnel",ISNUMBER($C635),$C635&gt;=RelDebut,$C635&lt;=RelFin),COUNTIFS($E$9:$E635,RelConducteur,$J$9:$J635,"Professionnel",$C$9:$C635,"&gt;="&amp;RelDebut,$C$9:$C635,"&lt;="&amp;RelFin),"")</f>
        <v/>
      </c>
    </row>
    <row r="636" spans="2:18" ht="18" customHeight="1" x14ac:dyDescent="0.25">
      <c r="B636" s="48" t="str">
        <f>IF(C636="","",COUNT($C$9:C636))</f>
        <v/>
      </c>
      <c r="C636" s="49"/>
      <c r="D636" s="50"/>
      <c r="E636" s="51"/>
      <c r="F636" s="52" t="str">
        <f t="shared" si="36"/>
        <v/>
      </c>
      <c r="G636" s="51"/>
      <c r="H636" s="51"/>
      <c r="I636" s="51"/>
      <c r="J636" s="51"/>
      <c r="K636" s="53"/>
      <c r="L636" s="53"/>
      <c r="M636" s="54" t="str">
        <f t="shared" si="37"/>
        <v/>
      </c>
      <c r="N636" s="55" t="str">
        <f t="shared" si="38"/>
        <v/>
      </c>
      <c r="O636" s="56" t="str">
        <f t="shared" si="39"/>
        <v/>
      </c>
      <c r="P636" s="51"/>
      <c r="R636" s="57" t="str">
        <f>IF(AND($E636=RelConducteur,$J636="Professionnel",ISNUMBER($C636),$C636&gt;=RelDebut,$C636&lt;=RelFin),COUNTIFS($E$9:$E636,RelConducteur,$J$9:$J636,"Professionnel",$C$9:$C636,"&gt;="&amp;RelDebut,$C$9:$C636,"&lt;="&amp;RelFin),"")</f>
        <v/>
      </c>
    </row>
    <row r="637" spans="2:18" ht="18" customHeight="1" x14ac:dyDescent="0.25">
      <c r="B637" s="48" t="str">
        <f>IF(C637="","",COUNT($C$9:C637))</f>
        <v/>
      </c>
      <c r="C637" s="49"/>
      <c r="D637" s="50"/>
      <c r="E637" s="51"/>
      <c r="F637" s="52" t="str">
        <f t="shared" si="36"/>
        <v/>
      </c>
      <c r="G637" s="51"/>
      <c r="H637" s="51"/>
      <c r="I637" s="51"/>
      <c r="J637" s="51"/>
      <c r="K637" s="53"/>
      <c r="L637" s="53"/>
      <c r="M637" s="54" t="str">
        <f t="shared" si="37"/>
        <v/>
      </c>
      <c r="N637" s="55" t="str">
        <f t="shared" si="38"/>
        <v/>
      </c>
      <c r="O637" s="56" t="str">
        <f t="shared" si="39"/>
        <v/>
      </c>
      <c r="P637" s="51"/>
      <c r="R637" s="57" t="str">
        <f>IF(AND($E637=RelConducteur,$J637="Professionnel",ISNUMBER($C637),$C637&gt;=RelDebut,$C637&lt;=RelFin),COUNTIFS($E$9:$E637,RelConducteur,$J$9:$J637,"Professionnel",$C$9:$C637,"&gt;="&amp;RelDebut,$C$9:$C637,"&lt;="&amp;RelFin),"")</f>
        <v/>
      </c>
    </row>
    <row r="638" spans="2:18" ht="18" customHeight="1" x14ac:dyDescent="0.25">
      <c r="B638" s="48" t="str">
        <f>IF(C638="","",COUNT($C$9:C638))</f>
        <v/>
      </c>
      <c r="C638" s="49"/>
      <c r="D638" s="50"/>
      <c r="E638" s="51"/>
      <c r="F638" s="52" t="str">
        <f t="shared" si="36"/>
        <v/>
      </c>
      <c r="G638" s="51"/>
      <c r="H638" s="51"/>
      <c r="I638" s="51"/>
      <c r="J638" s="51"/>
      <c r="K638" s="53"/>
      <c r="L638" s="53"/>
      <c r="M638" s="54" t="str">
        <f t="shared" si="37"/>
        <v/>
      </c>
      <c r="N638" s="55" t="str">
        <f t="shared" si="38"/>
        <v/>
      </c>
      <c r="O638" s="56" t="str">
        <f t="shared" si="39"/>
        <v/>
      </c>
      <c r="P638" s="51"/>
      <c r="R638" s="57" t="str">
        <f>IF(AND($E638=RelConducteur,$J638="Professionnel",ISNUMBER($C638),$C638&gt;=RelDebut,$C638&lt;=RelFin),COUNTIFS($E$9:$E638,RelConducteur,$J$9:$J638,"Professionnel",$C$9:$C638,"&gt;="&amp;RelDebut,$C$9:$C638,"&lt;="&amp;RelFin),"")</f>
        <v/>
      </c>
    </row>
    <row r="639" spans="2:18" ht="18" customHeight="1" x14ac:dyDescent="0.25">
      <c r="B639" s="48" t="str">
        <f>IF(C639="","",COUNT($C$9:C639))</f>
        <v/>
      </c>
      <c r="C639" s="49"/>
      <c r="D639" s="50"/>
      <c r="E639" s="51"/>
      <c r="F639" s="52" t="str">
        <f t="shared" si="36"/>
        <v/>
      </c>
      <c r="G639" s="51"/>
      <c r="H639" s="51"/>
      <c r="I639" s="51"/>
      <c r="J639" s="51"/>
      <c r="K639" s="53"/>
      <c r="L639" s="53"/>
      <c r="M639" s="54" t="str">
        <f t="shared" si="37"/>
        <v/>
      </c>
      <c r="N639" s="55" t="str">
        <f t="shared" si="38"/>
        <v/>
      </c>
      <c r="O639" s="56" t="str">
        <f t="shared" si="39"/>
        <v/>
      </c>
      <c r="P639" s="51"/>
      <c r="R639" s="57" t="str">
        <f>IF(AND($E639=RelConducteur,$J639="Professionnel",ISNUMBER($C639),$C639&gt;=RelDebut,$C639&lt;=RelFin),COUNTIFS($E$9:$E639,RelConducteur,$J$9:$J639,"Professionnel",$C$9:$C639,"&gt;="&amp;RelDebut,$C$9:$C639,"&lt;="&amp;RelFin),"")</f>
        <v/>
      </c>
    </row>
    <row r="640" spans="2:18" ht="18" customHeight="1" x14ac:dyDescent="0.25">
      <c r="B640" s="48" t="str">
        <f>IF(C640="","",COUNT($C$9:C640))</f>
        <v/>
      </c>
      <c r="C640" s="49"/>
      <c r="D640" s="50"/>
      <c r="E640" s="51"/>
      <c r="F640" s="52" t="str">
        <f t="shared" si="36"/>
        <v/>
      </c>
      <c r="G640" s="51"/>
      <c r="H640" s="51"/>
      <c r="I640" s="51"/>
      <c r="J640" s="51"/>
      <c r="K640" s="53"/>
      <c r="L640" s="53"/>
      <c r="M640" s="54" t="str">
        <f t="shared" si="37"/>
        <v/>
      </c>
      <c r="N640" s="55" t="str">
        <f t="shared" si="38"/>
        <v/>
      </c>
      <c r="O640" s="56" t="str">
        <f t="shared" si="39"/>
        <v/>
      </c>
      <c r="P640" s="51"/>
      <c r="R640" s="57" t="str">
        <f>IF(AND($E640=RelConducteur,$J640="Professionnel",ISNUMBER($C640),$C640&gt;=RelDebut,$C640&lt;=RelFin),COUNTIFS($E$9:$E640,RelConducteur,$J$9:$J640,"Professionnel",$C$9:$C640,"&gt;="&amp;RelDebut,$C$9:$C640,"&lt;="&amp;RelFin),"")</f>
        <v/>
      </c>
    </row>
    <row r="641" spans="2:18" ht="18" customHeight="1" x14ac:dyDescent="0.25">
      <c r="B641" s="48" t="str">
        <f>IF(C641="","",COUNT($C$9:C641))</f>
        <v/>
      </c>
      <c r="C641" s="49"/>
      <c r="D641" s="50"/>
      <c r="E641" s="51"/>
      <c r="F641" s="52" t="str">
        <f t="shared" si="36"/>
        <v/>
      </c>
      <c r="G641" s="51"/>
      <c r="H641" s="51"/>
      <c r="I641" s="51"/>
      <c r="J641" s="51"/>
      <c r="K641" s="53"/>
      <c r="L641" s="53"/>
      <c r="M641" s="54" t="str">
        <f t="shared" si="37"/>
        <v/>
      </c>
      <c r="N641" s="55" t="str">
        <f t="shared" si="38"/>
        <v/>
      </c>
      <c r="O641" s="56" t="str">
        <f t="shared" si="39"/>
        <v/>
      </c>
      <c r="P641" s="51"/>
      <c r="R641" s="57" t="str">
        <f>IF(AND($E641=RelConducteur,$J641="Professionnel",ISNUMBER($C641),$C641&gt;=RelDebut,$C641&lt;=RelFin),COUNTIFS($E$9:$E641,RelConducteur,$J$9:$J641,"Professionnel",$C$9:$C641,"&gt;="&amp;RelDebut,$C$9:$C641,"&lt;="&amp;RelFin),"")</f>
        <v/>
      </c>
    </row>
    <row r="642" spans="2:18" ht="18" customHeight="1" x14ac:dyDescent="0.25">
      <c r="B642" s="48" t="str">
        <f>IF(C642="","",COUNT($C$9:C642))</f>
        <v/>
      </c>
      <c r="C642" s="49"/>
      <c r="D642" s="50"/>
      <c r="E642" s="51"/>
      <c r="F642" s="52" t="str">
        <f t="shared" si="36"/>
        <v/>
      </c>
      <c r="G642" s="51"/>
      <c r="H642" s="51"/>
      <c r="I642" s="51"/>
      <c r="J642" s="51"/>
      <c r="K642" s="53"/>
      <c r="L642" s="53"/>
      <c r="M642" s="54" t="str">
        <f t="shared" si="37"/>
        <v/>
      </c>
      <c r="N642" s="55" t="str">
        <f t="shared" si="38"/>
        <v/>
      </c>
      <c r="O642" s="56" t="str">
        <f t="shared" si="39"/>
        <v/>
      </c>
      <c r="P642" s="51"/>
      <c r="R642" s="57" t="str">
        <f>IF(AND($E642=RelConducteur,$J642="Professionnel",ISNUMBER($C642),$C642&gt;=RelDebut,$C642&lt;=RelFin),COUNTIFS($E$9:$E642,RelConducteur,$J$9:$J642,"Professionnel",$C$9:$C642,"&gt;="&amp;RelDebut,$C$9:$C642,"&lt;="&amp;RelFin),"")</f>
        <v/>
      </c>
    </row>
    <row r="643" spans="2:18" ht="18" customHeight="1" x14ac:dyDescent="0.25">
      <c r="B643" s="48" t="str">
        <f>IF(C643="","",COUNT($C$9:C643))</f>
        <v/>
      </c>
      <c r="C643" s="49"/>
      <c r="D643" s="50"/>
      <c r="E643" s="51"/>
      <c r="F643" s="52" t="str">
        <f t="shared" si="36"/>
        <v/>
      </c>
      <c r="G643" s="51"/>
      <c r="H643" s="51"/>
      <c r="I643" s="51"/>
      <c r="J643" s="51"/>
      <c r="K643" s="53"/>
      <c r="L643" s="53"/>
      <c r="M643" s="54" t="str">
        <f t="shared" si="37"/>
        <v/>
      </c>
      <c r="N643" s="55" t="str">
        <f t="shared" si="38"/>
        <v/>
      </c>
      <c r="O643" s="56" t="str">
        <f t="shared" si="39"/>
        <v/>
      </c>
      <c r="P643" s="51"/>
      <c r="R643" s="57" t="str">
        <f>IF(AND($E643=RelConducteur,$J643="Professionnel",ISNUMBER($C643),$C643&gt;=RelDebut,$C643&lt;=RelFin),COUNTIFS($E$9:$E643,RelConducteur,$J$9:$J643,"Professionnel",$C$9:$C643,"&gt;="&amp;RelDebut,$C$9:$C643,"&lt;="&amp;RelFin),"")</f>
        <v/>
      </c>
    </row>
    <row r="644" spans="2:18" ht="18" customHeight="1" x14ac:dyDescent="0.25">
      <c r="B644" s="48" t="str">
        <f>IF(C644="","",COUNT($C$9:C644))</f>
        <v/>
      </c>
      <c r="C644" s="49"/>
      <c r="D644" s="50"/>
      <c r="E644" s="51"/>
      <c r="F644" s="52" t="str">
        <f t="shared" si="36"/>
        <v/>
      </c>
      <c r="G644" s="51"/>
      <c r="H644" s="51"/>
      <c r="I644" s="51"/>
      <c r="J644" s="51"/>
      <c r="K644" s="53"/>
      <c r="L644" s="53"/>
      <c r="M644" s="54" t="str">
        <f t="shared" si="37"/>
        <v/>
      </c>
      <c r="N644" s="55" t="str">
        <f t="shared" si="38"/>
        <v/>
      </c>
      <c r="O644" s="56" t="str">
        <f t="shared" si="39"/>
        <v/>
      </c>
      <c r="P644" s="51"/>
      <c r="R644" s="57" t="str">
        <f>IF(AND($E644=RelConducteur,$J644="Professionnel",ISNUMBER($C644),$C644&gt;=RelDebut,$C644&lt;=RelFin),COUNTIFS($E$9:$E644,RelConducteur,$J$9:$J644,"Professionnel",$C$9:$C644,"&gt;="&amp;RelDebut,$C$9:$C644,"&lt;="&amp;RelFin),"")</f>
        <v/>
      </c>
    </row>
    <row r="645" spans="2:18" ht="18" customHeight="1" x14ac:dyDescent="0.25">
      <c r="B645" s="48" t="str">
        <f>IF(C645="","",COUNT($C$9:C645))</f>
        <v/>
      </c>
      <c r="C645" s="49"/>
      <c r="D645" s="50"/>
      <c r="E645" s="51"/>
      <c r="F645" s="52" t="str">
        <f t="shared" si="36"/>
        <v/>
      </c>
      <c r="G645" s="51"/>
      <c r="H645" s="51"/>
      <c r="I645" s="51"/>
      <c r="J645" s="51"/>
      <c r="K645" s="53"/>
      <c r="L645" s="53"/>
      <c r="M645" s="54" t="str">
        <f t="shared" si="37"/>
        <v/>
      </c>
      <c r="N645" s="55" t="str">
        <f t="shared" si="38"/>
        <v/>
      </c>
      <c r="O645" s="56" t="str">
        <f t="shared" si="39"/>
        <v/>
      </c>
      <c r="P645" s="51"/>
      <c r="R645" s="57" t="str">
        <f>IF(AND($E645=RelConducteur,$J645="Professionnel",ISNUMBER($C645),$C645&gt;=RelDebut,$C645&lt;=RelFin),COUNTIFS($E$9:$E645,RelConducteur,$J$9:$J645,"Professionnel",$C$9:$C645,"&gt;="&amp;RelDebut,$C$9:$C645,"&lt;="&amp;RelFin),"")</f>
        <v/>
      </c>
    </row>
    <row r="646" spans="2:18" ht="18" customHeight="1" x14ac:dyDescent="0.25">
      <c r="B646" s="48" t="str">
        <f>IF(C646="","",COUNT($C$9:C646))</f>
        <v/>
      </c>
      <c r="C646" s="49"/>
      <c r="D646" s="50"/>
      <c r="E646" s="51"/>
      <c r="F646" s="52" t="str">
        <f t="shared" si="36"/>
        <v/>
      </c>
      <c r="G646" s="51"/>
      <c r="H646" s="51"/>
      <c r="I646" s="51"/>
      <c r="J646" s="51"/>
      <c r="K646" s="53"/>
      <c r="L646" s="53"/>
      <c r="M646" s="54" t="str">
        <f t="shared" si="37"/>
        <v/>
      </c>
      <c r="N646" s="55" t="str">
        <f t="shared" si="38"/>
        <v/>
      </c>
      <c r="O646" s="56" t="str">
        <f t="shared" si="39"/>
        <v/>
      </c>
      <c r="P646" s="51"/>
      <c r="R646" s="57" t="str">
        <f>IF(AND($E646=RelConducteur,$J646="Professionnel",ISNUMBER($C646),$C646&gt;=RelDebut,$C646&lt;=RelFin),COUNTIFS($E$9:$E646,RelConducteur,$J$9:$J646,"Professionnel",$C$9:$C646,"&gt;="&amp;RelDebut,$C$9:$C646,"&lt;="&amp;RelFin),"")</f>
        <v/>
      </c>
    </row>
    <row r="647" spans="2:18" ht="18" customHeight="1" x14ac:dyDescent="0.25">
      <c r="B647" s="48" t="str">
        <f>IF(C647="","",COUNT($C$9:C647))</f>
        <v/>
      </c>
      <c r="C647" s="49"/>
      <c r="D647" s="50"/>
      <c r="E647" s="51"/>
      <c r="F647" s="52" t="str">
        <f t="shared" si="36"/>
        <v/>
      </c>
      <c r="G647" s="51"/>
      <c r="H647" s="51"/>
      <c r="I647" s="51"/>
      <c r="J647" s="51"/>
      <c r="K647" s="53"/>
      <c r="L647" s="53"/>
      <c r="M647" s="54" t="str">
        <f t="shared" si="37"/>
        <v/>
      </c>
      <c r="N647" s="55" t="str">
        <f t="shared" si="38"/>
        <v/>
      </c>
      <c r="O647" s="56" t="str">
        <f t="shared" si="39"/>
        <v/>
      </c>
      <c r="P647" s="51"/>
      <c r="R647" s="57" t="str">
        <f>IF(AND($E647=RelConducteur,$J647="Professionnel",ISNUMBER($C647),$C647&gt;=RelDebut,$C647&lt;=RelFin),COUNTIFS($E$9:$E647,RelConducteur,$J$9:$J647,"Professionnel",$C$9:$C647,"&gt;="&amp;RelDebut,$C$9:$C647,"&lt;="&amp;RelFin),"")</f>
        <v/>
      </c>
    </row>
    <row r="648" spans="2:18" ht="18" customHeight="1" x14ac:dyDescent="0.25">
      <c r="B648" s="48" t="str">
        <f>IF(C648="","",COUNT($C$9:C648))</f>
        <v/>
      </c>
      <c r="C648" s="49"/>
      <c r="D648" s="50"/>
      <c r="E648" s="51"/>
      <c r="F648" s="52" t="str">
        <f t="shared" si="36"/>
        <v/>
      </c>
      <c r="G648" s="51"/>
      <c r="H648" s="51"/>
      <c r="I648" s="51"/>
      <c r="J648" s="51"/>
      <c r="K648" s="53"/>
      <c r="L648" s="53"/>
      <c r="M648" s="54" t="str">
        <f t="shared" si="37"/>
        <v/>
      </c>
      <c r="N648" s="55" t="str">
        <f t="shared" si="38"/>
        <v/>
      </c>
      <c r="O648" s="56" t="str">
        <f t="shared" si="39"/>
        <v/>
      </c>
      <c r="P648" s="51"/>
      <c r="R648" s="57" t="str">
        <f>IF(AND($E648=RelConducteur,$J648="Professionnel",ISNUMBER($C648),$C648&gt;=RelDebut,$C648&lt;=RelFin),COUNTIFS($E$9:$E648,RelConducteur,$J$9:$J648,"Professionnel",$C$9:$C648,"&gt;="&amp;RelDebut,$C$9:$C648,"&lt;="&amp;RelFin),"")</f>
        <v/>
      </c>
    </row>
    <row r="649" spans="2:18" ht="18" customHeight="1" x14ac:dyDescent="0.25">
      <c r="B649" s="48" t="str">
        <f>IF(C649="","",COUNT($C$9:C649))</f>
        <v/>
      </c>
      <c r="C649" s="49"/>
      <c r="D649" s="50"/>
      <c r="E649" s="51"/>
      <c r="F649" s="52" t="str">
        <f t="shared" ref="F649:F712" si="40">IF(OR(C649="",E649=""),"",IFERROR(INDEX(CondService,MATCH(E649,CondNoms,0))&amp;"","Conducteur inconnu"))</f>
        <v/>
      </c>
      <c r="G649" s="51"/>
      <c r="H649" s="51"/>
      <c r="I649" s="51"/>
      <c r="J649" s="51"/>
      <c r="K649" s="53"/>
      <c r="L649" s="53"/>
      <c r="M649" s="54" t="str">
        <f t="shared" ref="M649:M712" si="41">IF(OR(K649="",L649=""),"",L649-K649)</f>
        <v/>
      </c>
      <c r="N649" s="55" t="str">
        <f t="shared" si="38"/>
        <v/>
      </c>
      <c r="O649" s="56" t="str">
        <f t="shared" si="39"/>
        <v/>
      </c>
      <c r="P649" s="51"/>
      <c r="R649" s="57" t="str">
        <f>IF(AND($E649=RelConducteur,$J649="Professionnel",ISNUMBER($C649),$C649&gt;=RelDebut,$C649&lt;=RelFin),COUNTIFS($E$9:$E649,RelConducteur,$J$9:$J649,"Professionnel",$C$9:$C649,"&gt;="&amp;RelDebut,$C$9:$C649,"&lt;="&amp;RelFin),"")</f>
        <v/>
      </c>
    </row>
    <row r="650" spans="2:18" ht="18" customHeight="1" x14ac:dyDescent="0.25">
      <c r="B650" s="48" t="str">
        <f>IF(C650="","",COUNT($C$9:C650))</f>
        <v/>
      </c>
      <c r="C650" s="49"/>
      <c r="D650" s="50"/>
      <c r="E650" s="51"/>
      <c r="F650" s="52" t="str">
        <f t="shared" si="40"/>
        <v/>
      </c>
      <c r="G650" s="51"/>
      <c r="H650" s="51"/>
      <c r="I650" s="51"/>
      <c r="J650" s="51"/>
      <c r="K650" s="53"/>
      <c r="L650" s="53"/>
      <c r="M650" s="54" t="str">
        <f t="shared" si="41"/>
        <v/>
      </c>
      <c r="N650" s="55" t="str">
        <f t="shared" ref="N650:N713" si="42">IF(OR(C650="",K650="",L649=""),"",K650-L649)</f>
        <v/>
      </c>
      <c r="O650" s="56" t="str">
        <f t="shared" ref="O650:O713" si="43">IF(C650="","",IF(OR(E650="",G650="",H650="",J650="",K650="",L650="",AND(J650="Professionnel",I650="")),"Incomplet",IF(AND(ISNUMBER(C649),C650&lt;C649),"Ordre des dates",IF(L650&lt;K650,"Compteur incohérent",IF(AND(ISNUMBER(N650),N650&gt;ToleranceKm),"Km non enregistrés",IF(AND(ISNUMBER(N650),N650&lt;-ToleranceKm),"Chevauchement",IF(AND(J650="Personnel",UsagePrive="Non"),"Usage privé non autorisé","Conforme")))))))</f>
        <v/>
      </c>
      <c r="P650" s="51"/>
      <c r="R650" s="57" t="str">
        <f>IF(AND($E650=RelConducteur,$J650="Professionnel",ISNUMBER($C650),$C650&gt;=RelDebut,$C650&lt;=RelFin),COUNTIFS($E$9:$E650,RelConducteur,$J$9:$J650,"Professionnel",$C$9:$C650,"&gt;="&amp;RelDebut,$C$9:$C650,"&lt;="&amp;RelFin),"")</f>
        <v/>
      </c>
    </row>
    <row r="651" spans="2:18" ht="18" customHeight="1" x14ac:dyDescent="0.25">
      <c r="B651" s="48" t="str">
        <f>IF(C651="","",COUNT($C$9:C651))</f>
        <v/>
      </c>
      <c r="C651" s="49"/>
      <c r="D651" s="50"/>
      <c r="E651" s="51"/>
      <c r="F651" s="52" t="str">
        <f t="shared" si="40"/>
        <v/>
      </c>
      <c r="G651" s="51"/>
      <c r="H651" s="51"/>
      <c r="I651" s="51"/>
      <c r="J651" s="51"/>
      <c r="K651" s="53"/>
      <c r="L651" s="53"/>
      <c r="M651" s="54" t="str">
        <f t="shared" si="41"/>
        <v/>
      </c>
      <c r="N651" s="55" t="str">
        <f t="shared" si="42"/>
        <v/>
      </c>
      <c r="O651" s="56" t="str">
        <f t="shared" si="43"/>
        <v/>
      </c>
      <c r="P651" s="51"/>
      <c r="R651" s="57" t="str">
        <f>IF(AND($E651=RelConducteur,$J651="Professionnel",ISNUMBER($C651),$C651&gt;=RelDebut,$C651&lt;=RelFin),COUNTIFS($E$9:$E651,RelConducteur,$J$9:$J651,"Professionnel",$C$9:$C651,"&gt;="&amp;RelDebut,$C$9:$C651,"&lt;="&amp;RelFin),"")</f>
        <v/>
      </c>
    </row>
    <row r="652" spans="2:18" ht="18" customHeight="1" x14ac:dyDescent="0.25">
      <c r="B652" s="48" t="str">
        <f>IF(C652="","",COUNT($C$9:C652))</f>
        <v/>
      </c>
      <c r="C652" s="49"/>
      <c r="D652" s="50"/>
      <c r="E652" s="51"/>
      <c r="F652" s="52" t="str">
        <f t="shared" si="40"/>
        <v/>
      </c>
      <c r="G652" s="51"/>
      <c r="H652" s="51"/>
      <c r="I652" s="51"/>
      <c r="J652" s="51"/>
      <c r="K652" s="53"/>
      <c r="L652" s="53"/>
      <c r="M652" s="54" t="str">
        <f t="shared" si="41"/>
        <v/>
      </c>
      <c r="N652" s="55" t="str">
        <f t="shared" si="42"/>
        <v/>
      </c>
      <c r="O652" s="56" t="str">
        <f t="shared" si="43"/>
        <v/>
      </c>
      <c r="P652" s="51"/>
      <c r="R652" s="57" t="str">
        <f>IF(AND($E652=RelConducteur,$J652="Professionnel",ISNUMBER($C652),$C652&gt;=RelDebut,$C652&lt;=RelFin),COUNTIFS($E$9:$E652,RelConducteur,$J$9:$J652,"Professionnel",$C$9:$C652,"&gt;="&amp;RelDebut,$C$9:$C652,"&lt;="&amp;RelFin),"")</f>
        <v/>
      </c>
    </row>
    <row r="653" spans="2:18" ht="18" customHeight="1" x14ac:dyDescent="0.25">
      <c r="B653" s="48" t="str">
        <f>IF(C653="","",COUNT($C$9:C653))</f>
        <v/>
      </c>
      <c r="C653" s="49"/>
      <c r="D653" s="50"/>
      <c r="E653" s="51"/>
      <c r="F653" s="52" t="str">
        <f t="shared" si="40"/>
        <v/>
      </c>
      <c r="G653" s="51"/>
      <c r="H653" s="51"/>
      <c r="I653" s="51"/>
      <c r="J653" s="51"/>
      <c r="K653" s="53"/>
      <c r="L653" s="53"/>
      <c r="M653" s="54" t="str">
        <f t="shared" si="41"/>
        <v/>
      </c>
      <c r="N653" s="55" t="str">
        <f t="shared" si="42"/>
        <v/>
      </c>
      <c r="O653" s="56" t="str">
        <f t="shared" si="43"/>
        <v/>
      </c>
      <c r="P653" s="51"/>
      <c r="R653" s="57" t="str">
        <f>IF(AND($E653=RelConducteur,$J653="Professionnel",ISNUMBER($C653),$C653&gt;=RelDebut,$C653&lt;=RelFin),COUNTIFS($E$9:$E653,RelConducteur,$J$9:$J653,"Professionnel",$C$9:$C653,"&gt;="&amp;RelDebut,$C$9:$C653,"&lt;="&amp;RelFin),"")</f>
        <v/>
      </c>
    </row>
    <row r="654" spans="2:18" ht="18" customHeight="1" x14ac:dyDescent="0.25">
      <c r="B654" s="48" t="str">
        <f>IF(C654="","",COUNT($C$9:C654))</f>
        <v/>
      </c>
      <c r="C654" s="49"/>
      <c r="D654" s="50"/>
      <c r="E654" s="51"/>
      <c r="F654" s="52" t="str">
        <f t="shared" si="40"/>
        <v/>
      </c>
      <c r="G654" s="51"/>
      <c r="H654" s="51"/>
      <c r="I654" s="51"/>
      <c r="J654" s="51"/>
      <c r="K654" s="53"/>
      <c r="L654" s="53"/>
      <c r="M654" s="54" t="str">
        <f t="shared" si="41"/>
        <v/>
      </c>
      <c r="N654" s="55" t="str">
        <f t="shared" si="42"/>
        <v/>
      </c>
      <c r="O654" s="56" t="str">
        <f t="shared" si="43"/>
        <v/>
      </c>
      <c r="P654" s="51"/>
      <c r="R654" s="57" t="str">
        <f>IF(AND($E654=RelConducteur,$J654="Professionnel",ISNUMBER($C654),$C654&gt;=RelDebut,$C654&lt;=RelFin),COUNTIFS($E$9:$E654,RelConducteur,$J$9:$J654,"Professionnel",$C$9:$C654,"&gt;="&amp;RelDebut,$C$9:$C654,"&lt;="&amp;RelFin),"")</f>
        <v/>
      </c>
    </row>
    <row r="655" spans="2:18" ht="18" customHeight="1" x14ac:dyDescent="0.25">
      <c r="B655" s="48" t="str">
        <f>IF(C655="","",COUNT($C$9:C655))</f>
        <v/>
      </c>
      <c r="C655" s="49"/>
      <c r="D655" s="50"/>
      <c r="E655" s="51"/>
      <c r="F655" s="52" t="str">
        <f t="shared" si="40"/>
        <v/>
      </c>
      <c r="G655" s="51"/>
      <c r="H655" s="51"/>
      <c r="I655" s="51"/>
      <c r="J655" s="51"/>
      <c r="K655" s="53"/>
      <c r="L655" s="53"/>
      <c r="M655" s="54" t="str">
        <f t="shared" si="41"/>
        <v/>
      </c>
      <c r="N655" s="55" t="str">
        <f t="shared" si="42"/>
        <v/>
      </c>
      <c r="O655" s="56" t="str">
        <f t="shared" si="43"/>
        <v/>
      </c>
      <c r="P655" s="51"/>
      <c r="R655" s="57" t="str">
        <f>IF(AND($E655=RelConducteur,$J655="Professionnel",ISNUMBER($C655),$C655&gt;=RelDebut,$C655&lt;=RelFin),COUNTIFS($E$9:$E655,RelConducteur,$J$9:$J655,"Professionnel",$C$9:$C655,"&gt;="&amp;RelDebut,$C$9:$C655,"&lt;="&amp;RelFin),"")</f>
        <v/>
      </c>
    </row>
    <row r="656" spans="2:18" ht="18" customHeight="1" x14ac:dyDescent="0.25">
      <c r="B656" s="48" t="str">
        <f>IF(C656="","",COUNT($C$9:C656))</f>
        <v/>
      </c>
      <c r="C656" s="49"/>
      <c r="D656" s="50"/>
      <c r="E656" s="51"/>
      <c r="F656" s="52" t="str">
        <f t="shared" si="40"/>
        <v/>
      </c>
      <c r="G656" s="51"/>
      <c r="H656" s="51"/>
      <c r="I656" s="51"/>
      <c r="J656" s="51"/>
      <c r="K656" s="53"/>
      <c r="L656" s="53"/>
      <c r="M656" s="54" t="str">
        <f t="shared" si="41"/>
        <v/>
      </c>
      <c r="N656" s="55" t="str">
        <f t="shared" si="42"/>
        <v/>
      </c>
      <c r="O656" s="56" t="str">
        <f t="shared" si="43"/>
        <v/>
      </c>
      <c r="P656" s="51"/>
      <c r="R656" s="57" t="str">
        <f>IF(AND($E656=RelConducteur,$J656="Professionnel",ISNUMBER($C656),$C656&gt;=RelDebut,$C656&lt;=RelFin),COUNTIFS($E$9:$E656,RelConducteur,$J$9:$J656,"Professionnel",$C$9:$C656,"&gt;="&amp;RelDebut,$C$9:$C656,"&lt;="&amp;RelFin),"")</f>
        <v/>
      </c>
    </row>
    <row r="657" spans="2:18" ht="18" customHeight="1" x14ac:dyDescent="0.25">
      <c r="B657" s="48" t="str">
        <f>IF(C657="","",COUNT($C$9:C657))</f>
        <v/>
      </c>
      <c r="C657" s="49"/>
      <c r="D657" s="50"/>
      <c r="E657" s="51"/>
      <c r="F657" s="52" t="str">
        <f t="shared" si="40"/>
        <v/>
      </c>
      <c r="G657" s="51"/>
      <c r="H657" s="51"/>
      <c r="I657" s="51"/>
      <c r="J657" s="51"/>
      <c r="K657" s="53"/>
      <c r="L657" s="53"/>
      <c r="M657" s="54" t="str">
        <f t="shared" si="41"/>
        <v/>
      </c>
      <c r="N657" s="55" t="str">
        <f t="shared" si="42"/>
        <v/>
      </c>
      <c r="O657" s="56" t="str">
        <f t="shared" si="43"/>
        <v/>
      </c>
      <c r="P657" s="51"/>
      <c r="R657" s="57" t="str">
        <f>IF(AND($E657=RelConducteur,$J657="Professionnel",ISNUMBER($C657),$C657&gt;=RelDebut,$C657&lt;=RelFin),COUNTIFS($E$9:$E657,RelConducteur,$J$9:$J657,"Professionnel",$C$9:$C657,"&gt;="&amp;RelDebut,$C$9:$C657,"&lt;="&amp;RelFin),"")</f>
        <v/>
      </c>
    </row>
    <row r="658" spans="2:18" ht="18" customHeight="1" x14ac:dyDescent="0.25">
      <c r="B658" s="48" t="str">
        <f>IF(C658="","",COUNT($C$9:C658))</f>
        <v/>
      </c>
      <c r="C658" s="49"/>
      <c r="D658" s="50"/>
      <c r="E658" s="51"/>
      <c r="F658" s="52" t="str">
        <f t="shared" si="40"/>
        <v/>
      </c>
      <c r="G658" s="51"/>
      <c r="H658" s="51"/>
      <c r="I658" s="51"/>
      <c r="J658" s="51"/>
      <c r="K658" s="53"/>
      <c r="L658" s="53"/>
      <c r="M658" s="54" t="str">
        <f t="shared" si="41"/>
        <v/>
      </c>
      <c r="N658" s="55" t="str">
        <f t="shared" si="42"/>
        <v/>
      </c>
      <c r="O658" s="56" t="str">
        <f t="shared" si="43"/>
        <v/>
      </c>
      <c r="P658" s="51"/>
      <c r="R658" s="57" t="str">
        <f>IF(AND($E658=RelConducteur,$J658="Professionnel",ISNUMBER($C658),$C658&gt;=RelDebut,$C658&lt;=RelFin),COUNTIFS($E$9:$E658,RelConducteur,$J$9:$J658,"Professionnel",$C$9:$C658,"&gt;="&amp;RelDebut,$C$9:$C658,"&lt;="&amp;RelFin),"")</f>
        <v/>
      </c>
    </row>
    <row r="659" spans="2:18" ht="18" customHeight="1" x14ac:dyDescent="0.25">
      <c r="B659" s="48" t="str">
        <f>IF(C659="","",COUNT($C$9:C659))</f>
        <v/>
      </c>
      <c r="C659" s="49"/>
      <c r="D659" s="50"/>
      <c r="E659" s="51"/>
      <c r="F659" s="52" t="str">
        <f t="shared" si="40"/>
        <v/>
      </c>
      <c r="G659" s="51"/>
      <c r="H659" s="51"/>
      <c r="I659" s="51"/>
      <c r="J659" s="51"/>
      <c r="K659" s="53"/>
      <c r="L659" s="53"/>
      <c r="M659" s="54" t="str">
        <f t="shared" si="41"/>
        <v/>
      </c>
      <c r="N659" s="55" t="str">
        <f t="shared" si="42"/>
        <v/>
      </c>
      <c r="O659" s="56" t="str">
        <f t="shared" si="43"/>
        <v/>
      </c>
      <c r="P659" s="51"/>
      <c r="R659" s="57" t="str">
        <f>IF(AND($E659=RelConducteur,$J659="Professionnel",ISNUMBER($C659),$C659&gt;=RelDebut,$C659&lt;=RelFin),COUNTIFS($E$9:$E659,RelConducteur,$J$9:$J659,"Professionnel",$C$9:$C659,"&gt;="&amp;RelDebut,$C$9:$C659,"&lt;="&amp;RelFin),"")</f>
        <v/>
      </c>
    </row>
    <row r="660" spans="2:18" ht="18" customHeight="1" x14ac:dyDescent="0.25">
      <c r="B660" s="48" t="str">
        <f>IF(C660="","",COUNT($C$9:C660))</f>
        <v/>
      </c>
      <c r="C660" s="49"/>
      <c r="D660" s="50"/>
      <c r="E660" s="51"/>
      <c r="F660" s="52" t="str">
        <f t="shared" si="40"/>
        <v/>
      </c>
      <c r="G660" s="51"/>
      <c r="H660" s="51"/>
      <c r="I660" s="51"/>
      <c r="J660" s="51"/>
      <c r="K660" s="53"/>
      <c r="L660" s="53"/>
      <c r="M660" s="54" t="str">
        <f t="shared" si="41"/>
        <v/>
      </c>
      <c r="N660" s="55" t="str">
        <f t="shared" si="42"/>
        <v/>
      </c>
      <c r="O660" s="56" t="str">
        <f t="shared" si="43"/>
        <v/>
      </c>
      <c r="P660" s="51"/>
      <c r="R660" s="57" t="str">
        <f>IF(AND($E660=RelConducteur,$J660="Professionnel",ISNUMBER($C660),$C660&gt;=RelDebut,$C660&lt;=RelFin),COUNTIFS($E$9:$E660,RelConducteur,$J$9:$J660,"Professionnel",$C$9:$C660,"&gt;="&amp;RelDebut,$C$9:$C660,"&lt;="&amp;RelFin),"")</f>
        <v/>
      </c>
    </row>
    <row r="661" spans="2:18" ht="18" customHeight="1" x14ac:dyDescent="0.25">
      <c r="B661" s="48" t="str">
        <f>IF(C661="","",COUNT($C$9:C661))</f>
        <v/>
      </c>
      <c r="C661" s="49"/>
      <c r="D661" s="50"/>
      <c r="E661" s="51"/>
      <c r="F661" s="52" t="str">
        <f t="shared" si="40"/>
        <v/>
      </c>
      <c r="G661" s="51"/>
      <c r="H661" s="51"/>
      <c r="I661" s="51"/>
      <c r="J661" s="51"/>
      <c r="K661" s="53"/>
      <c r="L661" s="53"/>
      <c r="M661" s="54" t="str">
        <f t="shared" si="41"/>
        <v/>
      </c>
      <c r="N661" s="55" t="str">
        <f t="shared" si="42"/>
        <v/>
      </c>
      <c r="O661" s="56" t="str">
        <f t="shared" si="43"/>
        <v/>
      </c>
      <c r="P661" s="51"/>
      <c r="R661" s="57" t="str">
        <f>IF(AND($E661=RelConducteur,$J661="Professionnel",ISNUMBER($C661),$C661&gt;=RelDebut,$C661&lt;=RelFin),COUNTIFS($E$9:$E661,RelConducteur,$J$9:$J661,"Professionnel",$C$9:$C661,"&gt;="&amp;RelDebut,$C$9:$C661,"&lt;="&amp;RelFin),"")</f>
        <v/>
      </c>
    </row>
    <row r="662" spans="2:18" ht="18" customHeight="1" x14ac:dyDescent="0.25">
      <c r="B662" s="48" t="str">
        <f>IF(C662="","",COUNT($C$9:C662))</f>
        <v/>
      </c>
      <c r="C662" s="49"/>
      <c r="D662" s="50"/>
      <c r="E662" s="51"/>
      <c r="F662" s="52" t="str">
        <f t="shared" si="40"/>
        <v/>
      </c>
      <c r="G662" s="51"/>
      <c r="H662" s="51"/>
      <c r="I662" s="51"/>
      <c r="J662" s="51"/>
      <c r="K662" s="53"/>
      <c r="L662" s="53"/>
      <c r="M662" s="54" t="str">
        <f t="shared" si="41"/>
        <v/>
      </c>
      <c r="N662" s="55" t="str">
        <f t="shared" si="42"/>
        <v/>
      </c>
      <c r="O662" s="56" t="str">
        <f t="shared" si="43"/>
        <v/>
      </c>
      <c r="P662" s="51"/>
      <c r="R662" s="57" t="str">
        <f>IF(AND($E662=RelConducteur,$J662="Professionnel",ISNUMBER($C662),$C662&gt;=RelDebut,$C662&lt;=RelFin),COUNTIFS($E$9:$E662,RelConducteur,$J$9:$J662,"Professionnel",$C$9:$C662,"&gt;="&amp;RelDebut,$C$9:$C662,"&lt;="&amp;RelFin),"")</f>
        <v/>
      </c>
    </row>
    <row r="663" spans="2:18" ht="18" customHeight="1" x14ac:dyDescent="0.25">
      <c r="B663" s="48" t="str">
        <f>IF(C663="","",COUNT($C$9:C663))</f>
        <v/>
      </c>
      <c r="C663" s="49"/>
      <c r="D663" s="50"/>
      <c r="E663" s="51"/>
      <c r="F663" s="52" t="str">
        <f t="shared" si="40"/>
        <v/>
      </c>
      <c r="G663" s="51"/>
      <c r="H663" s="51"/>
      <c r="I663" s="51"/>
      <c r="J663" s="51"/>
      <c r="K663" s="53"/>
      <c r="L663" s="53"/>
      <c r="M663" s="54" t="str">
        <f t="shared" si="41"/>
        <v/>
      </c>
      <c r="N663" s="55" t="str">
        <f t="shared" si="42"/>
        <v/>
      </c>
      <c r="O663" s="56" t="str">
        <f t="shared" si="43"/>
        <v/>
      </c>
      <c r="P663" s="51"/>
      <c r="R663" s="57" t="str">
        <f>IF(AND($E663=RelConducteur,$J663="Professionnel",ISNUMBER($C663),$C663&gt;=RelDebut,$C663&lt;=RelFin),COUNTIFS($E$9:$E663,RelConducteur,$J$9:$J663,"Professionnel",$C$9:$C663,"&gt;="&amp;RelDebut,$C$9:$C663,"&lt;="&amp;RelFin),"")</f>
        <v/>
      </c>
    </row>
    <row r="664" spans="2:18" ht="18" customHeight="1" x14ac:dyDescent="0.25">
      <c r="B664" s="48" t="str">
        <f>IF(C664="","",COUNT($C$9:C664))</f>
        <v/>
      </c>
      <c r="C664" s="49"/>
      <c r="D664" s="50"/>
      <c r="E664" s="51"/>
      <c r="F664" s="52" t="str">
        <f t="shared" si="40"/>
        <v/>
      </c>
      <c r="G664" s="51"/>
      <c r="H664" s="51"/>
      <c r="I664" s="51"/>
      <c r="J664" s="51"/>
      <c r="K664" s="53"/>
      <c r="L664" s="53"/>
      <c r="M664" s="54" t="str">
        <f t="shared" si="41"/>
        <v/>
      </c>
      <c r="N664" s="55" t="str">
        <f t="shared" si="42"/>
        <v/>
      </c>
      <c r="O664" s="56" t="str">
        <f t="shared" si="43"/>
        <v/>
      </c>
      <c r="P664" s="51"/>
      <c r="R664" s="57" t="str">
        <f>IF(AND($E664=RelConducteur,$J664="Professionnel",ISNUMBER($C664),$C664&gt;=RelDebut,$C664&lt;=RelFin),COUNTIFS($E$9:$E664,RelConducteur,$J$9:$J664,"Professionnel",$C$9:$C664,"&gt;="&amp;RelDebut,$C$9:$C664,"&lt;="&amp;RelFin),"")</f>
        <v/>
      </c>
    </row>
    <row r="665" spans="2:18" ht="18" customHeight="1" x14ac:dyDescent="0.25">
      <c r="B665" s="48" t="str">
        <f>IF(C665="","",COUNT($C$9:C665))</f>
        <v/>
      </c>
      <c r="C665" s="49"/>
      <c r="D665" s="50"/>
      <c r="E665" s="51"/>
      <c r="F665" s="52" t="str">
        <f t="shared" si="40"/>
        <v/>
      </c>
      <c r="G665" s="51"/>
      <c r="H665" s="51"/>
      <c r="I665" s="51"/>
      <c r="J665" s="51"/>
      <c r="K665" s="53"/>
      <c r="L665" s="53"/>
      <c r="M665" s="54" t="str">
        <f t="shared" si="41"/>
        <v/>
      </c>
      <c r="N665" s="55" t="str">
        <f t="shared" si="42"/>
        <v/>
      </c>
      <c r="O665" s="56" t="str">
        <f t="shared" si="43"/>
        <v/>
      </c>
      <c r="P665" s="51"/>
      <c r="R665" s="57" t="str">
        <f>IF(AND($E665=RelConducteur,$J665="Professionnel",ISNUMBER($C665),$C665&gt;=RelDebut,$C665&lt;=RelFin),COUNTIFS($E$9:$E665,RelConducteur,$J$9:$J665,"Professionnel",$C$9:$C665,"&gt;="&amp;RelDebut,$C$9:$C665,"&lt;="&amp;RelFin),"")</f>
        <v/>
      </c>
    </row>
    <row r="666" spans="2:18" ht="18" customHeight="1" x14ac:dyDescent="0.25">
      <c r="B666" s="48" t="str">
        <f>IF(C666="","",COUNT($C$9:C666))</f>
        <v/>
      </c>
      <c r="C666" s="49"/>
      <c r="D666" s="50"/>
      <c r="E666" s="51"/>
      <c r="F666" s="52" t="str">
        <f t="shared" si="40"/>
        <v/>
      </c>
      <c r="G666" s="51"/>
      <c r="H666" s="51"/>
      <c r="I666" s="51"/>
      <c r="J666" s="51"/>
      <c r="K666" s="53"/>
      <c r="L666" s="53"/>
      <c r="M666" s="54" t="str">
        <f t="shared" si="41"/>
        <v/>
      </c>
      <c r="N666" s="55" t="str">
        <f t="shared" si="42"/>
        <v/>
      </c>
      <c r="O666" s="56" t="str">
        <f t="shared" si="43"/>
        <v/>
      </c>
      <c r="P666" s="51"/>
      <c r="R666" s="57" t="str">
        <f>IF(AND($E666=RelConducteur,$J666="Professionnel",ISNUMBER($C666),$C666&gt;=RelDebut,$C666&lt;=RelFin),COUNTIFS($E$9:$E666,RelConducteur,$J$9:$J666,"Professionnel",$C$9:$C666,"&gt;="&amp;RelDebut,$C$9:$C666,"&lt;="&amp;RelFin),"")</f>
        <v/>
      </c>
    </row>
    <row r="667" spans="2:18" ht="18" customHeight="1" x14ac:dyDescent="0.25">
      <c r="B667" s="48" t="str">
        <f>IF(C667="","",COUNT($C$9:C667))</f>
        <v/>
      </c>
      <c r="C667" s="49"/>
      <c r="D667" s="50"/>
      <c r="E667" s="51"/>
      <c r="F667" s="52" t="str">
        <f t="shared" si="40"/>
        <v/>
      </c>
      <c r="G667" s="51"/>
      <c r="H667" s="51"/>
      <c r="I667" s="51"/>
      <c r="J667" s="51"/>
      <c r="K667" s="53"/>
      <c r="L667" s="53"/>
      <c r="M667" s="54" t="str">
        <f t="shared" si="41"/>
        <v/>
      </c>
      <c r="N667" s="55" t="str">
        <f t="shared" si="42"/>
        <v/>
      </c>
      <c r="O667" s="56" t="str">
        <f t="shared" si="43"/>
        <v/>
      </c>
      <c r="P667" s="51"/>
      <c r="R667" s="57" t="str">
        <f>IF(AND($E667=RelConducteur,$J667="Professionnel",ISNUMBER($C667),$C667&gt;=RelDebut,$C667&lt;=RelFin),COUNTIFS($E$9:$E667,RelConducteur,$J$9:$J667,"Professionnel",$C$9:$C667,"&gt;="&amp;RelDebut,$C$9:$C667,"&lt;="&amp;RelFin),"")</f>
        <v/>
      </c>
    </row>
    <row r="668" spans="2:18" ht="18" customHeight="1" x14ac:dyDescent="0.25">
      <c r="B668" s="48" t="str">
        <f>IF(C668="","",COUNT($C$9:C668))</f>
        <v/>
      </c>
      <c r="C668" s="49"/>
      <c r="D668" s="50"/>
      <c r="E668" s="51"/>
      <c r="F668" s="52" t="str">
        <f t="shared" si="40"/>
        <v/>
      </c>
      <c r="G668" s="51"/>
      <c r="H668" s="51"/>
      <c r="I668" s="51"/>
      <c r="J668" s="51"/>
      <c r="K668" s="53"/>
      <c r="L668" s="53"/>
      <c r="M668" s="54" t="str">
        <f t="shared" si="41"/>
        <v/>
      </c>
      <c r="N668" s="55" t="str">
        <f t="shared" si="42"/>
        <v/>
      </c>
      <c r="O668" s="56" t="str">
        <f t="shared" si="43"/>
        <v/>
      </c>
      <c r="P668" s="51"/>
      <c r="R668" s="57" t="str">
        <f>IF(AND($E668=RelConducteur,$J668="Professionnel",ISNUMBER($C668),$C668&gt;=RelDebut,$C668&lt;=RelFin),COUNTIFS($E$9:$E668,RelConducteur,$J$9:$J668,"Professionnel",$C$9:$C668,"&gt;="&amp;RelDebut,$C$9:$C668,"&lt;="&amp;RelFin),"")</f>
        <v/>
      </c>
    </row>
    <row r="669" spans="2:18" ht="18" customHeight="1" x14ac:dyDescent="0.25">
      <c r="B669" s="48" t="str">
        <f>IF(C669="","",COUNT($C$9:C669))</f>
        <v/>
      </c>
      <c r="C669" s="49"/>
      <c r="D669" s="50"/>
      <c r="E669" s="51"/>
      <c r="F669" s="52" t="str">
        <f t="shared" si="40"/>
        <v/>
      </c>
      <c r="G669" s="51"/>
      <c r="H669" s="51"/>
      <c r="I669" s="51"/>
      <c r="J669" s="51"/>
      <c r="K669" s="53"/>
      <c r="L669" s="53"/>
      <c r="M669" s="54" t="str">
        <f t="shared" si="41"/>
        <v/>
      </c>
      <c r="N669" s="55" t="str">
        <f t="shared" si="42"/>
        <v/>
      </c>
      <c r="O669" s="56" t="str">
        <f t="shared" si="43"/>
        <v/>
      </c>
      <c r="P669" s="51"/>
      <c r="R669" s="57" t="str">
        <f>IF(AND($E669=RelConducteur,$J669="Professionnel",ISNUMBER($C669),$C669&gt;=RelDebut,$C669&lt;=RelFin),COUNTIFS($E$9:$E669,RelConducteur,$J$9:$J669,"Professionnel",$C$9:$C669,"&gt;="&amp;RelDebut,$C$9:$C669,"&lt;="&amp;RelFin),"")</f>
        <v/>
      </c>
    </row>
    <row r="670" spans="2:18" ht="18" customHeight="1" x14ac:dyDescent="0.25">
      <c r="B670" s="48" t="str">
        <f>IF(C670="","",COUNT($C$9:C670))</f>
        <v/>
      </c>
      <c r="C670" s="49"/>
      <c r="D670" s="50"/>
      <c r="E670" s="51"/>
      <c r="F670" s="52" t="str">
        <f t="shared" si="40"/>
        <v/>
      </c>
      <c r="G670" s="51"/>
      <c r="H670" s="51"/>
      <c r="I670" s="51"/>
      <c r="J670" s="51"/>
      <c r="K670" s="53"/>
      <c r="L670" s="53"/>
      <c r="M670" s="54" t="str">
        <f t="shared" si="41"/>
        <v/>
      </c>
      <c r="N670" s="55" t="str">
        <f t="shared" si="42"/>
        <v/>
      </c>
      <c r="O670" s="56" t="str">
        <f t="shared" si="43"/>
        <v/>
      </c>
      <c r="P670" s="51"/>
      <c r="R670" s="57" t="str">
        <f>IF(AND($E670=RelConducteur,$J670="Professionnel",ISNUMBER($C670),$C670&gt;=RelDebut,$C670&lt;=RelFin),COUNTIFS($E$9:$E670,RelConducteur,$J$9:$J670,"Professionnel",$C$9:$C670,"&gt;="&amp;RelDebut,$C$9:$C670,"&lt;="&amp;RelFin),"")</f>
        <v/>
      </c>
    </row>
    <row r="671" spans="2:18" ht="18" customHeight="1" x14ac:dyDescent="0.25">
      <c r="B671" s="48" t="str">
        <f>IF(C671="","",COUNT($C$9:C671))</f>
        <v/>
      </c>
      <c r="C671" s="49"/>
      <c r="D671" s="50"/>
      <c r="E671" s="51"/>
      <c r="F671" s="52" t="str">
        <f t="shared" si="40"/>
        <v/>
      </c>
      <c r="G671" s="51"/>
      <c r="H671" s="51"/>
      <c r="I671" s="51"/>
      <c r="J671" s="51"/>
      <c r="K671" s="53"/>
      <c r="L671" s="53"/>
      <c r="M671" s="54" t="str">
        <f t="shared" si="41"/>
        <v/>
      </c>
      <c r="N671" s="55" t="str">
        <f t="shared" si="42"/>
        <v/>
      </c>
      <c r="O671" s="56" t="str">
        <f t="shared" si="43"/>
        <v/>
      </c>
      <c r="P671" s="51"/>
      <c r="R671" s="57" t="str">
        <f>IF(AND($E671=RelConducteur,$J671="Professionnel",ISNUMBER($C671),$C671&gt;=RelDebut,$C671&lt;=RelFin),COUNTIFS($E$9:$E671,RelConducteur,$J$9:$J671,"Professionnel",$C$9:$C671,"&gt;="&amp;RelDebut,$C$9:$C671,"&lt;="&amp;RelFin),"")</f>
        <v/>
      </c>
    </row>
    <row r="672" spans="2:18" ht="18" customHeight="1" x14ac:dyDescent="0.25">
      <c r="B672" s="48" t="str">
        <f>IF(C672="","",COUNT($C$9:C672))</f>
        <v/>
      </c>
      <c r="C672" s="49"/>
      <c r="D672" s="50"/>
      <c r="E672" s="51"/>
      <c r="F672" s="52" t="str">
        <f t="shared" si="40"/>
        <v/>
      </c>
      <c r="G672" s="51"/>
      <c r="H672" s="51"/>
      <c r="I672" s="51"/>
      <c r="J672" s="51"/>
      <c r="K672" s="53"/>
      <c r="L672" s="53"/>
      <c r="M672" s="54" t="str">
        <f t="shared" si="41"/>
        <v/>
      </c>
      <c r="N672" s="55" t="str">
        <f t="shared" si="42"/>
        <v/>
      </c>
      <c r="O672" s="56" t="str">
        <f t="shared" si="43"/>
        <v/>
      </c>
      <c r="P672" s="51"/>
      <c r="R672" s="57" t="str">
        <f>IF(AND($E672=RelConducteur,$J672="Professionnel",ISNUMBER($C672),$C672&gt;=RelDebut,$C672&lt;=RelFin),COUNTIFS($E$9:$E672,RelConducteur,$J$9:$J672,"Professionnel",$C$9:$C672,"&gt;="&amp;RelDebut,$C$9:$C672,"&lt;="&amp;RelFin),"")</f>
        <v/>
      </c>
    </row>
    <row r="673" spans="2:18" ht="18" customHeight="1" x14ac:dyDescent="0.25">
      <c r="B673" s="48" t="str">
        <f>IF(C673="","",COUNT($C$9:C673))</f>
        <v/>
      </c>
      <c r="C673" s="49"/>
      <c r="D673" s="50"/>
      <c r="E673" s="51"/>
      <c r="F673" s="52" t="str">
        <f t="shared" si="40"/>
        <v/>
      </c>
      <c r="G673" s="51"/>
      <c r="H673" s="51"/>
      <c r="I673" s="51"/>
      <c r="J673" s="51"/>
      <c r="K673" s="53"/>
      <c r="L673" s="53"/>
      <c r="M673" s="54" t="str">
        <f t="shared" si="41"/>
        <v/>
      </c>
      <c r="N673" s="55" t="str">
        <f t="shared" si="42"/>
        <v/>
      </c>
      <c r="O673" s="56" t="str">
        <f t="shared" si="43"/>
        <v/>
      </c>
      <c r="P673" s="51"/>
      <c r="R673" s="57" t="str">
        <f>IF(AND($E673=RelConducteur,$J673="Professionnel",ISNUMBER($C673),$C673&gt;=RelDebut,$C673&lt;=RelFin),COUNTIFS($E$9:$E673,RelConducteur,$J$9:$J673,"Professionnel",$C$9:$C673,"&gt;="&amp;RelDebut,$C$9:$C673,"&lt;="&amp;RelFin),"")</f>
        <v/>
      </c>
    </row>
    <row r="674" spans="2:18" ht="18" customHeight="1" x14ac:dyDescent="0.25">
      <c r="B674" s="48" t="str">
        <f>IF(C674="","",COUNT($C$9:C674))</f>
        <v/>
      </c>
      <c r="C674" s="49"/>
      <c r="D674" s="50"/>
      <c r="E674" s="51"/>
      <c r="F674" s="52" t="str">
        <f t="shared" si="40"/>
        <v/>
      </c>
      <c r="G674" s="51"/>
      <c r="H674" s="51"/>
      <c r="I674" s="51"/>
      <c r="J674" s="51"/>
      <c r="K674" s="53"/>
      <c r="L674" s="53"/>
      <c r="M674" s="54" t="str">
        <f t="shared" si="41"/>
        <v/>
      </c>
      <c r="N674" s="55" t="str">
        <f t="shared" si="42"/>
        <v/>
      </c>
      <c r="O674" s="56" t="str">
        <f t="shared" si="43"/>
        <v/>
      </c>
      <c r="P674" s="51"/>
      <c r="R674" s="57" t="str">
        <f>IF(AND($E674=RelConducteur,$J674="Professionnel",ISNUMBER($C674),$C674&gt;=RelDebut,$C674&lt;=RelFin),COUNTIFS($E$9:$E674,RelConducteur,$J$9:$J674,"Professionnel",$C$9:$C674,"&gt;="&amp;RelDebut,$C$9:$C674,"&lt;="&amp;RelFin),"")</f>
        <v/>
      </c>
    </row>
    <row r="675" spans="2:18" ht="18" customHeight="1" x14ac:dyDescent="0.25">
      <c r="B675" s="48" t="str">
        <f>IF(C675="","",COUNT($C$9:C675))</f>
        <v/>
      </c>
      <c r="C675" s="49"/>
      <c r="D675" s="50"/>
      <c r="E675" s="51"/>
      <c r="F675" s="52" t="str">
        <f t="shared" si="40"/>
        <v/>
      </c>
      <c r="G675" s="51"/>
      <c r="H675" s="51"/>
      <c r="I675" s="51"/>
      <c r="J675" s="51"/>
      <c r="K675" s="53"/>
      <c r="L675" s="53"/>
      <c r="M675" s="54" t="str">
        <f t="shared" si="41"/>
        <v/>
      </c>
      <c r="N675" s="55" t="str">
        <f t="shared" si="42"/>
        <v/>
      </c>
      <c r="O675" s="56" t="str">
        <f t="shared" si="43"/>
        <v/>
      </c>
      <c r="P675" s="51"/>
      <c r="R675" s="57" t="str">
        <f>IF(AND($E675=RelConducteur,$J675="Professionnel",ISNUMBER($C675),$C675&gt;=RelDebut,$C675&lt;=RelFin),COUNTIFS($E$9:$E675,RelConducteur,$J$9:$J675,"Professionnel",$C$9:$C675,"&gt;="&amp;RelDebut,$C$9:$C675,"&lt;="&amp;RelFin),"")</f>
        <v/>
      </c>
    </row>
    <row r="676" spans="2:18" ht="18" customHeight="1" x14ac:dyDescent="0.25">
      <c r="B676" s="48" t="str">
        <f>IF(C676="","",COUNT($C$9:C676))</f>
        <v/>
      </c>
      <c r="C676" s="49"/>
      <c r="D676" s="50"/>
      <c r="E676" s="51"/>
      <c r="F676" s="52" t="str">
        <f t="shared" si="40"/>
        <v/>
      </c>
      <c r="G676" s="51"/>
      <c r="H676" s="51"/>
      <c r="I676" s="51"/>
      <c r="J676" s="51"/>
      <c r="K676" s="53"/>
      <c r="L676" s="53"/>
      <c r="M676" s="54" t="str">
        <f t="shared" si="41"/>
        <v/>
      </c>
      <c r="N676" s="55" t="str">
        <f t="shared" si="42"/>
        <v/>
      </c>
      <c r="O676" s="56" t="str">
        <f t="shared" si="43"/>
        <v/>
      </c>
      <c r="P676" s="51"/>
      <c r="R676" s="57" t="str">
        <f>IF(AND($E676=RelConducteur,$J676="Professionnel",ISNUMBER($C676),$C676&gt;=RelDebut,$C676&lt;=RelFin),COUNTIFS($E$9:$E676,RelConducteur,$J$9:$J676,"Professionnel",$C$9:$C676,"&gt;="&amp;RelDebut,$C$9:$C676,"&lt;="&amp;RelFin),"")</f>
        <v/>
      </c>
    </row>
    <row r="677" spans="2:18" ht="18" customHeight="1" x14ac:dyDescent="0.25">
      <c r="B677" s="48" t="str">
        <f>IF(C677="","",COUNT($C$9:C677))</f>
        <v/>
      </c>
      <c r="C677" s="49"/>
      <c r="D677" s="50"/>
      <c r="E677" s="51"/>
      <c r="F677" s="52" t="str">
        <f t="shared" si="40"/>
        <v/>
      </c>
      <c r="G677" s="51"/>
      <c r="H677" s="51"/>
      <c r="I677" s="51"/>
      <c r="J677" s="51"/>
      <c r="K677" s="53"/>
      <c r="L677" s="53"/>
      <c r="M677" s="54" t="str">
        <f t="shared" si="41"/>
        <v/>
      </c>
      <c r="N677" s="55" t="str">
        <f t="shared" si="42"/>
        <v/>
      </c>
      <c r="O677" s="56" t="str">
        <f t="shared" si="43"/>
        <v/>
      </c>
      <c r="P677" s="51"/>
      <c r="R677" s="57" t="str">
        <f>IF(AND($E677=RelConducteur,$J677="Professionnel",ISNUMBER($C677),$C677&gt;=RelDebut,$C677&lt;=RelFin),COUNTIFS($E$9:$E677,RelConducteur,$J$9:$J677,"Professionnel",$C$9:$C677,"&gt;="&amp;RelDebut,$C$9:$C677,"&lt;="&amp;RelFin),"")</f>
        <v/>
      </c>
    </row>
    <row r="678" spans="2:18" ht="18" customHeight="1" x14ac:dyDescent="0.25">
      <c r="B678" s="48" t="str">
        <f>IF(C678="","",COUNT($C$9:C678))</f>
        <v/>
      </c>
      <c r="C678" s="49"/>
      <c r="D678" s="50"/>
      <c r="E678" s="51"/>
      <c r="F678" s="52" t="str">
        <f t="shared" si="40"/>
        <v/>
      </c>
      <c r="G678" s="51"/>
      <c r="H678" s="51"/>
      <c r="I678" s="51"/>
      <c r="J678" s="51"/>
      <c r="K678" s="53"/>
      <c r="L678" s="53"/>
      <c r="M678" s="54" t="str">
        <f t="shared" si="41"/>
        <v/>
      </c>
      <c r="N678" s="55" t="str">
        <f t="shared" si="42"/>
        <v/>
      </c>
      <c r="O678" s="56" t="str">
        <f t="shared" si="43"/>
        <v/>
      </c>
      <c r="P678" s="51"/>
      <c r="R678" s="57" t="str">
        <f>IF(AND($E678=RelConducteur,$J678="Professionnel",ISNUMBER($C678),$C678&gt;=RelDebut,$C678&lt;=RelFin),COUNTIFS($E$9:$E678,RelConducteur,$J$9:$J678,"Professionnel",$C$9:$C678,"&gt;="&amp;RelDebut,$C$9:$C678,"&lt;="&amp;RelFin),"")</f>
        <v/>
      </c>
    </row>
    <row r="679" spans="2:18" ht="18" customHeight="1" x14ac:dyDescent="0.25">
      <c r="B679" s="48" t="str">
        <f>IF(C679="","",COUNT($C$9:C679))</f>
        <v/>
      </c>
      <c r="C679" s="49"/>
      <c r="D679" s="50"/>
      <c r="E679" s="51"/>
      <c r="F679" s="52" t="str">
        <f t="shared" si="40"/>
        <v/>
      </c>
      <c r="G679" s="51"/>
      <c r="H679" s="51"/>
      <c r="I679" s="51"/>
      <c r="J679" s="51"/>
      <c r="K679" s="53"/>
      <c r="L679" s="53"/>
      <c r="M679" s="54" t="str">
        <f t="shared" si="41"/>
        <v/>
      </c>
      <c r="N679" s="55" t="str">
        <f t="shared" si="42"/>
        <v/>
      </c>
      <c r="O679" s="56" t="str">
        <f t="shared" si="43"/>
        <v/>
      </c>
      <c r="P679" s="51"/>
      <c r="R679" s="57" t="str">
        <f>IF(AND($E679=RelConducteur,$J679="Professionnel",ISNUMBER($C679),$C679&gt;=RelDebut,$C679&lt;=RelFin),COUNTIFS($E$9:$E679,RelConducteur,$J$9:$J679,"Professionnel",$C$9:$C679,"&gt;="&amp;RelDebut,$C$9:$C679,"&lt;="&amp;RelFin),"")</f>
        <v/>
      </c>
    </row>
    <row r="680" spans="2:18" ht="18" customHeight="1" x14ac:dyDescent="0.25">
      <c r="B680" s="48" t="str">
        <f>IF(C680="","",COUNT($C$9:C680))</f>
        <v/>
      </c>
      <c r="C680" s="49"/>
      <c r="D680" s="50"/>
      <c r="E680" s="51"/>
      <c r="F680" s="52" t="str">
        <f t="shared" si="40"/>
        <v/>
      </c>
      <c r="G680" s="51"/>
      <c r="H680" s="51"/>
      <c r="I680" s="51"/>
      <c r="J680" s="51"/>
      <c r="K680" s="53"/>
      <c r="L680" s="53"/>
      <c r="M680" s="54" t="str">
        <f t="shared" si="41"/>
        <v/>
      </c>
      <c r="N680" s="55" t="str">
        <f t="shared" si="42"/>
        <v/>
      </c>
      <c r="O680" s="56" t="str">
        <f t="shared" si="43"/>
        <v/>
      </c>
      <c r="P680" s="51"/>
      <c r="R680" s="57" t="str">
        <f>IF(AND($E680=RelConducteur,$J680="Professionnel",ISNUMBER($C680),$C680&gt;=RelDebut,$C680&lt;=RelFin),COUNTIFS($E$9:$E680,RelConducteur,$J$9:$J680,"Professionnel",$C$9:$C680,"&gt;="&amp;RelDebut,$C$9:$C680,"&lt;="&amp;RelFin),"")</f>
        <v/>
      </c>
    </row>
    <row r="681" spans="2:18" ht="18" customHeight="1" x14ac:dyDescent="0.25">
      <c r="B681" s="48" t="str">
        <f>IF(C681="","",COUNT($C$9:C681))</f>
        <v/>
      </c>
      <c r="C681" s="49"/>
      <c r="D681" s="50"/>
      <c r="E681" s="51"/>
      <c r="F681" s="52" t="str">
        <f t="shared" si="40"/>
        <v/>
      </c>
      <c r="G681" s="51"/>
      <c r="H681" s="51"/>
      <c r="I681" s="51"/>
      <c r="J681" s="51"/>
      <c r="K681" s="53"/>
      <c r="L681" s="53"/>
      <c r="M681" s="54" t="str">
        <f t="shared" si="41"/>
        <v/>
      </c>
      <c r="N681" s="55" t="str">
        <f t="shared" si="42"/>
        <v/>
      </c>
      <c r="O681" s="56" t="str">
        <f t="shared" si="43"/>
        <v/>
      </c>
      <c r="P681" s="51"/>
      <c r="R681" s="57" t="str">
        <f>IF(AND($E681=RelConducteur,$J681="Professionnel",ISNUMBER($C681),$C681&gt;=RelDebut,$C681&lt;=RelFin),COUNTIFS($E$9:$E681,RelConducteur,$J$9:$J681,"Professionnel",$C$9:$C681,"&gt;="&amp;RelDebut,$C$9:$C681,"&lt;="&amp;RelFin),"")</f>
        <v/>
      </c>
    </row>
    <row r="682" spans="2:18" ht="18" customHeight="1" x14ac:dyDescent="0.25">
      <c r="B682" s="48" t="str">
        <f>IF(C682="","",COUNT($C$9:C682))</f>
        <v/>
      </c>
      <c r="C682" s="49"/>
      <c r="D682" s="50"/>
      <c r="E682" s="51"/>
      <c r="F682" s="52" t="str">
        <f t="shared" si="40"/>
        <v/>
      </c>
      <c r="G682" s="51"/>
      <c r="H682" s="51"/>
      <c r="I682" s="51"/>
      <c r="J682" s="51"/>
      <c r="K682" s="53"/>
      <c r="L682" s="53"/>
      <c r="M682" s="54" t="str">
        <f t="shared" si="41"/>
        <v/>
      </c>
      <c r="N682" s="55" t="str">
        <f t="shared" si="42"/>
        <v/>
      </c>
      <c r="O682" s="56" t="str">
        <f t="shared" si="43"/>
        <v/>
      </c>
      <c r="P682" s="51"/>
      <c r="R682" s="57" t="str">
        <f>IF(AND($E682=RelConducteur,$J682="Professionnel",ISNUMBER($C682),$C682&gt;=RelDebut,$C682&lt;=RelFin),COUNTIFS($E$9:$E682,RelConducteur,$J$9:$J682,"Professionnel",$C$9:$C682,"&gt;="&amp;RelDebut,$C$9:$C682,"&lt;="&amp;RelFin),"")</f>
        <v/>
      </c>
    </row>
    <row r="683" spans="2:18" ht="18" customHeight="1" x14ac:dyDescent="0.25">
      <c r="B683" s="48" t="str">
        <f>IF(C683="","",COUNT($C$9:C683))</f>
        <v/>
      </c>
      <c r="C683" s="49"/>
      <c r="D683" s="50"/>
      <c r="E683" s="51"/>
      <c r="F683" s="52" t="str">
        <f t="shared" si="40"/>
        <v/>
      </c>
      <c r="G683" s="51"/>
      <c r="H683" s="51"/>
      <c r="I683" s="51"/>
      <c r="J683" s="51"/>
      <c r="K683" s="53"/>
      <c r="L683" s="53"/>
      <c r="M683" s="54" t="str">
        <f t="shared" si="41"/>
        <v/>
      </c>
      <c r="N683" s="55" t="str">
        <f t="shared" si="42"/>
        <v/>
      </c>
      <c r="O683" s="56" t="str">
        <f t="shared" si="43"/>
        <v/>
      </c>
      <c r="P683" s="51"/>
      <c r="R683" s="57" t="str">
        <f>IF(AND($E683=RelConducteur,$J683="Professionnel",ISNUMBER($C683),$C683&gt;=RelDebut,$C683&lt;=RelFin),COUNTIFS($E$9:$E683,RelConducteur,$J$9:$J683,"Professionnel",$C$9:$C683,"&gt;="&amp;RelDebut,$C$9:$C683,"&lt;="&amp;RelFin),"")</f>
        <v/>
      </c>
    </row>
    <row r="684" spans="2:18" ht="18" customHeight="1" x14ac:dyDescent="0.25">
      <c r="B684" s="48" t="str">
        <f>IF(C684="","",COUNT($C$9:C684))</f>
        <v/>
      </c>
      <c r="C684" s="49"/>
      <c r="D684" s="50"/>
      <c r="E684" s="51"/>
      <c r="F684" s="52" t="str">
        <f t="shared" si="40"/>
        <v/>
      </c>
      <c r="G684" s="51"/>
      <c r="H684" s="51"/>
      <c r="I684" s="51"/>
      <c r="J684" s="51"/>
      <c r="K684" s="53"/>
      <c r="L684" s="53"/>
      <c r="M684" s="54" t="str">
        <f t="shared" si="41"/>
        <v/>
      </c>
      <c r="N684" s="55" t="str">
        <f t="shared" si="42"/>
        <v/>
      </c>
      <c r="O684" s="56" t="str">
        <f t="shared" si="43"/>
        <v/>
      </c>
      <c r="P684" s="51"/>
      <c r="R684" s="57" t="str">
        <f>IF(AND($E684=RelConducteur,$J684="Professionnel",ISNUMBER($C684),$C684&gt;=RelDebut,$C684&lt;=RelFin),COUNTIFS($E$9:$E684,RelConducteur,$J$9:$J684,"Professionnel",$C$9:$C684,"&gt;="&amp;RelDebut,$C$9:$C684,"&lt;="&amp;RelFin),"")</f>
        <v/>
      </c>
    </row>
    <row r="685" spans="2:18" ht="18" customHeight="1" x14ac:dyDescent="0.25">
      <c r="B685" s="48" t="str">
        <f>IF(C685="","",COUNT($C$9:C685))</f>
        <v/>
      </c>
      <c r="C685" s="49"/>
      <c r="D685" s="50"/>
      <c r="E685" s="51"/>
      <c r="F685" s="52" t="str">
        <f t="shared" si="40"/>
        <v/>
      </c>
      <c r="G685" s="51"/>
      <c r="H685" s="51"/>
      <c r="I685" s="51"/>
      <c r="J685" s="51"/>
      <c r="K685" s="53"/>
      <c r="L685" s="53"/>
      <c r="M685" s="54" t="str">
        <f t="shared" si="41"/>
        <v/>
      </c>
      <c r="N685" s="55" t="str">
        <f t="shared" si="42"/>
        <v/>
      </c>
      <c r="O685" s="56" t="str">
        <f t="shared" si="43"/>
        <v/>
      </c>
      <c r="P685" s="51"/>
      <c r="R685" s="57" t="str">
        <f>IF(AND($E685=RelConducteur,$J685="Professionnel",ISNUMBER($C685),$C685&gt;=RelDebut,$C685&lt;=RelFin),COUNTIFS($E$9:$E685,RelConducteur,$J$9:$J685,"Professionnel",$C$9:$C685,"&gt;="&amp;RelDebut,$C$9:$C685,"&lt;="&amp;RelFin),"")</f>
        <v/>
      </c>
    </row>
    <row r="686" spans="2:18" ht="18" customHeight="1" x14ac:dyDescent="0.25">
      <c r="B686" s="48" t="str">
        <f>IF(C686="","",COUNT($C$9:C686))</f>
        <v/>
      </c>
      <c r="C686" s="49"/>
      <c r="D686" s="50"/>
      <c r="E686" s="51"/>
      <c r="F686" s="52" t="str">
        <f t="shared" si="40"/>
        <v/>
      </c>
      <c r="G686" s="51"/>
      <c r="H686" s="51"/>
      <c r="I686" s="51"/>
      <c r="J686" s="51"/>
      <c r="K686" s="53"/>
      <c r="L686" s="53"/>
      <c r="M686" s="54" t="str">
        <f t="shared" si="41"/>
        <v/>
      </c>
      <c r="N686" s="55" t="str">
        <f t="shared" si="42"/>
        <v/>
      </c>
      <c r="O686" s="56" t="str">
        <f t="shared" si="43"/>
        <v/>
      </c>
      <c r="P686" s="51"/>
      <c r="R686" s="57" t="str">
        <f>IF(AND($E686=RelConducteur,$J686="Professionnel",ISNUMBER($C686),$C686&gt;=RelDebut,$C686&lt;=RelFin),COUNTIFS($E$9:$E686,RelConducteur,$J$9:$J686,"Professionnel",$C$9:$C686,"&gt;="&amp;RelDebut,$C$9:$C686,"&lt;="&amp;RelFin),"")</f>
        <v/>
      </c>
    </row>
    <row r="687" spans="2:18" ht="18" customHeight="1" x14ac:dyDescent="0.25">
      <c r="B687" s="48" t="str">
        <f>IF(C687="","",COUNT($C$9:C687))</f>
        <v/>
      </c>
      <c r="C687" s="49"/>
      <c r="D687" s="50"/>
      <c r="E687" s="51"/>
      <c r="F687" s="52" t="str">
        <f t="shared" si="40"/>
        <v/>
      </c>
      <c r="G687" s="51"/>
      <c r="H687" s="51"/>
      <c r="I687" s="51"/>
      <c r="J687" s="51"/>
      <c r="K687" s="53"/>
      <c r="L687" s="53"/>
      <c r="M687" s="54" t="str">
        <f t="shared" si="41"/>
        <v/>
      </c>
      <c r="N687" s="55" t="str">
        <f t="shared" si="42"/>
        <v/>
      </c>
      <c r="O687" s="56" t="str">
        <f t="shared" si="43"/>
        <v/>
      </c>
      <c r="P687" s="51"/>
      <c r="R687" s="57" t="str">
        <f>IF(AND($E687=RelConducteur,$J687="Professionnel",ISNUMBER($C687),$C687&gt;=RelDebut,$C687&lt;=RelFin),COUNTIFS($E$9:$E687,RelConducteur,$J$9:$J687,"Professionnel",$C$9:$C687,"&gt;="&amp;RelDebut,$C$9:$C687,"&lt;="&amp;RelFin),"")</f>
        <v/>
      </c>
    </row>
    <row r="688" spans="2:18" ht="18" customHeight="1" x14ac:dyDescent="0.25">
      <c r="B688" s="48" t="str">
        <f>IF(C688="","",COUNT($C$9:C688))</f>
        <v/>
      </c>
      <c r="C688" s="49"/>
      <c r="D688" s="50"/>
      <c r="E688" s="51"/>
      <c r="F688" s="52" t="str">
        <f t="shared" si="40"/>
        <v/>
      </c>
      <c r="G688" s="51"/>
      <c r="H688" s="51"/>
      <c r="I688" s="51"/>
      <c r="J688" s="51"/>
      <c r="K688" s="53"/>
      <c r="L688" s="53"/>
      <c r="M688" s="54" t="str">
        <f t="shared" si="41"/>
        <v/>
      </c>
      <c r="N688" s="55" t="str">
        <f t="shared" si="42"/>
        <v/>
      </c>
      <c r="O688" s="56" t="str">
        <f t="shared" si="43"/>
        <v/>
      </c>
      <c r="P688" s="51"/>
      <c r="R688" s="57" t="str">
        <f>IF(AND($E688=RelConducteur,$J688="Professionnel",ISNUMBER($C688),$C688&gt;=RelDebut,$C688&lt;=RelFin),COUNTIFS($E$9:$E688,RelConducteur,$J$9:$J688,"Professionnel",$C$9:$C688,"&gt;="&amp;RelDebut,$C$9:$C688,"&lt;="&amp;RelFin),"")</f>
        <v/>
      </c>
    </row>
    <row r="689" spans="2:18" ht="18" customHeight="1" x14ac:dyDescent="0.25">
      <c r="B689" s="48" t="str">
        <f>IF(C689="","",COUNT($C$9:C689))</f>
        <v/>
      </c>
      <c r="C689" s="49"/>
      <c r="D689" s="50"/>
      <c r="E689" s="51"/>
      <c r="F689" s="52" t="str">
        <f t="shared" si="40"/>
        <v/>
      </c>
      <c r="G689" s="51"/>
      <c r="H689" s="51"/>
      <c r="I689" s="51"/>
      <c r="J689" s="51"/>
      <c r="K689" s="53"/>
      <c r="L689" s="53"/>
      <c r="M689" s="54" t="str">
        <f t="shared" si="41"/>
        <v/>
      </c>
      <c r="N689" s="55" t="str">
        <f t="shared" si="42"/>
        <v/>
      </c>
      <c r="O689" s="56" t="str">
        <f t="shared" si="43"/>
        <v/>
      </c>
      <c r="P689" s="51"/>
      <c r="R689" s="57" t="str">
        <f>IF(AND($E689=RelConducteur,$J689="Professionnel",ISNUMBER($C689),$C689&gt;=RelDebut,$C689&lt;=RelFin),COUNTIFS($E$9:$E689,RelConducteur,$J$9:$J689,"Professionnel",$C$9:$C689,"&gt;="&amp;RelDebut,$C$9:$C689,"&lt;="&amp;RelFin),"")</f>
        <v/>
      </c>
    </row>
    <row r="690" spans="2:18" ht="18" customHeight="1" x14ac:dyDescent="0.25">
      <c r="B690" s="48" t="str">
        <f>IF(C690="","",COUNT($C$9:C690))</f>
        <v/>
      </c>
      <c r="C690" s="49"/>
      <c r="D690" s="50"/>
      <c r="E690" s="51"/>
      <c r="F690" s="52" t="str">
        <f t="shared" si="40"/>
        <v/>
      </c>
      <c r="G690" s="51"/>
      <c r="H690" s="51"/>
      <c r="I690" s="51"/>
      <c r="J690" s="51"/>
      <c r="K690" s="53"/>
      <c r="L690" s="53"/>
      <c r="M690" s="54" t="str">
        <f t="shared" si="41"/>
        <v/>
      </c>
      <c r="N690" s="55" t="str">
        <f t="shared" si="42"/>
        <v/>
      </c>
      <c r="O690" s="56" t="str">
        <f t="shared" si="43"/>
        <v/>
      </c>
      <c r="P690" s="51"/>
      <c r="R690" s="57" t="str">
        <f>IF(AND($E690=RelConducteur,$J690="Professionnel",ISNUMBER($C690),$C690&gt;=RelDebut,$C690&lt;=RelFin),COUNTIFS($E$9:$E690,RelConducteur,$J$9:$J690,"Professionnel",$C$9:$C690,"&gt;="&amp;RelDebut,$C$9:$C690,"&lt;="&amp;RelFin),"")</f>
        <v/>
      </c>
    </row>
    <row r="691" spans="2:18" ht="18" customHeight="1" x14ac:dyDescent="0.25">
      <c r="B691" s="48" t="str">
        <f>IF(C691="","",COUNT($C$9:C691))</f>
        <v/>
      </c>
      <c r="C691" s="49"/>
      <c r="D691" s="50"/>
      <c r="E691" s="51"/>
      <c r="F691" s="52" t="str">
        <f t="shared" si="40"/>
        <v/>
      </c>
      <c r="G691" s="51"/>
      <c r="H691" s="51"/>
      <c r="I691" s="51"/>
      <c r="J691" s="51"/>
      <c r="K691" s="53"/>
      <c r="L691" s="53"/>
      <c r="M691" s="54" t="str">
        <f t="shared" si="41"/>
        <v/>
      </c>
      <c r="N691" s="55" t="str">
        <f t="shared" si="42"/>
        <v/>
      </c>
      <c r="O691" s="56" t="str">
        <f t="shared" si="43"/>
        <v/>
      </c>
      <c r="P691" s="51"/>
      <c r="R691" s="57" t="str">
        <f>IF(AND($E691=RelConducteur,$J691="Professionnel",ISNUMBER($C691),$C691&gt;=RelDebut,$C691&lt;=RelFin),COUNTIFS($E$9:$E691,RelConducteur,$J$9:$J691,"Professionnel",$C$9:$C691,"&gt;="&amp;RelDebut,$C$9:$C691,"&lt;="&amp;RelFin),"")</f>
        <v/>
      </c>
    </row>
    <row r="692" spans="2:18" ht="18" customHeight="1" x14ac:dyDescent="0.25">
      <c r="B692" s="48" t="str">
        <f>IF(C692="","",COUNT($C$9:C692))</f>
        <v/>
      </c>
      <c r="C692" s="49"/>
      <c r="D692" s="50"/>
      <c r="E692" s="51"/>
      <c r="F692" s="52" t="str">
        <f t="shared" si="40"/>
        <v/>
      </c>
      <c r="G692" s="51"/>
      <c r="H692" s="51"/>
      <c r="I692" s="51"/>
      <c r="J692" s="51"/>
      <c r="K692" s="53"/>
      <c r="L692" s="53"/>
      <c r="M692" s="54" t="str">
        <f t="shared" si="41"/>
        <v/>
      </c>
      <c r="N692" s="55" t="str">
        <f t="shared" si="42"/>
        <v/>
      </c>
      <c r="O692" s="56" t="str">
        <f t="shared" si="43"/>
        <v/>
      </c>
      <c r="P692" s="51"/>
      <c r="R692" s="57" t="str">
        <f>IF(AND($E692=RelConducteur,$J692="Professionnel",ISNUMBER($C692),$C692&gt;=RelDebut,$C692&lt;=RelFin),COUNTIFS($E$9:$E692,RelConducteur,$J$9:$J692,"Professionnel",$C$9:$C692,"&gt;="&amp;RelDebut,$C$9:$C692,"&lt;="&amp;RelFin),"")</f>
        <v/>
      </c>
    </row>
    <row r="693" spans="2:18" ht="18" customHeight="1" x14ac:dyDescent="0.25">
      <c r="B693" s="48" t="str">
        <f>IF(C693="","",COUNT($C$9:C693))</f>
        <v/>
      </c>
      <c r="C693" s="49"/>
      <c r="D693" s="50"/>
      <c r="E693" s="51"/>
      <c r="F693" s="52" t="str">
        <f t="shared" si="40"/>
        <v/>
      </c>
      <c r="G693" s="51"/>
      <c r="H693" s="51"/>
      <c r="I693" s="51"/>
      <c r="J693" s="51"/>
      <c r="K693" s="53"/>
      <c r="L693" s="53"/>
      <c r="M693" s="54" t="str">
        <f t="shared" si="41"/>
        <v/>
      </c>
      <c r="N693" s="55" t="str">
        <f t="shared" si="42"/>
        <v/>
      </c>
      <c r="O693" s="56" t="str">
        <f t="shared" si="43"/>
        <v/>
      </c>
      <c r="P693" s="51"/>
      <c r="R693" s="57" t="str">
        <f>IF(AND($E693=RelConducteur,$J693="Professionnel",ISNUMBER($C693),$C693&gt;=RelDebut,$C693&lt;=RelFin),COUNTIFS($E$9:$E693,RelConducteur,$J$9:$J693,"Professionnel",$C$9:$C693,"&gt;="&amp;RelDebut,$C$9:$C693,"&lt;="&amp;RelFin),"")</f>
        <v/>
      </c>
    </row>
    <row r="694" spans="2:18" ht="18" customHeight="1" x14ac:dyDescent="0.25">
      <c r="B694" s="48" t="str">
        <f>IF(C694="","",COUNT($C$9:C694))</f>
        <v/>
      </c>
      <c r="C694" s="49"/>
      <c r="D694" s="50"/>
      <c r="E694" s="51"/>
      <c r="F694" s="52" t="str">
        <f t="shared" si="40"/>
        <v/>
      </c>
      <c r="G694" s="51"/>
      <c r="H694" s="51"/>
      <c r="I694" s="51"/>
      <c r="J694" s="51"/>
      <c r="K694" s="53"/>
      <c r="L694" s="53"/>
      <c r="M694" s="54" t="str">
        <f t="shared" si="41"/>
        <v/>
      </c>
      <c r="N694" s="55" t="str">
        <f t="shared" si="42"/>
        <v/>
      </c>
      <c r="O694" s="56" t="str">
        <f t="shared" si="43"/>
        <v/>
      </c>
      <c r="P694" s="51"/>
      <c r="R694" s="57" t="str">
        <f>IF(AND($E694=RelConducteur,$J694="Professionnel",ISNUMBER($C694),$C694&gt;=RelDebut,$C694&lt;=RelFin),COUNTIFS($E$9:$E694,RelConducteur,$J$9:$J694,"Professionnel",$C$9:$C694,"&gt;="&amp;RelDebut,$C$9:$C694,"&lt;="&amp;RelFin),"")</f>
        <v/>
      </c>
    </row>
    <row r="695" spans="2:18" ht="18" customHeight="1" x14ac:dyDescent="0.25">
      <c r="B695" s="48" t="str">
        <f>IF(C695="","",COUNT($C$9:C695))</f>
        <v/>
      </c>
      <c r="C695" s="49"/>
      <c r="D695" s="50"/>
      <c r="E695" s="51"/>
      <c r="F695" s="52" t="str">
        <f t="shared" si="40"/>
        <v/>
      </c>
      <c r="G695" s="51"/>
      <c r="H695" s="51"/>
      <c r="I695" s="51"/>
      <c r="J695" s="51"/>
      <c r="K695" s="53"/>
      <c r="L695" s="53"/>
      <c r="M695" s="54" t="str">
        <f t="shared" si="41"/>
        <v/>
      </c>
      <c r="N695" s="55" t="str">
        <f t="shared" si="42"/>
        <v/>
      </c>
      <c r="O695" s="56" t="str">
        <f t="shared" si="43"/>
        <v/>
      </c>
      <c r="P695" s="51"/>
      <c r="R695" s="57" t="str">
        <f>IF(AND($E695=RelConducteur,$J695="Professionnel",ISNUMBER($C695),$C695&gt;=RelDebut,$C695&lt;=RelFin),COUNTIFS($E$9:$E695,RelConducteur,$J$9:$J695,"Professionnel",$C$9:$C695,"&gt;="&amp;RelDebut,$C$9:$C695,"&lt;="&amp;RelFin),"")</f>
        <v/>
      </c>
    </row>
    <row r="696" spans="2:18" ht="18" customHeight="1" x14ac:dyDescent="0.25">
      <c r="B696" s="48" t="str">
        <f>IF(C696="","",COUNT($C$9:C696))</f>
        <v/>
      </c>
      <c r="C696" s="49"/>
      <c r="D696" s="50"/>
      <c r="E696" s="51"/>
      <c r="F696" s="52" t="str">
        <f t="shared" si="40"/>
        <v/>
      </c>
      <c r="G696" s="51"/>
      <c r="H696" s="51"/>
      <c r="I696" s="51"/>
      <c r="J696" s="51"/>
      <c r="K696" s="53"/>
      <c r="L696" s="53"/>
      <c r="M696" s="54" t="str">
        <f t="shared" si="41"/>
        <v/>
      </c>
      <c r="N696" s="55" t="str">
        <f t="shared" si="42"/>
        <v/>
      </c>
      <c r="O696" s="56" t="str">
        <f t="shared" si="43"/>
        <v/>
      </c>
      <c r="P696" s="51"/>
      <c r="R696" s="57" t="str">
        <f>IF(AND($E696=RelConducteur,$J696="Professionnel",ISNUMBER($C696),$C696&gt;=RelDebut,$C696&lt;=RelFin),COUNTIFS($E$9:$E696,RelConducteur,$J$9:$J696,"Professionnel",$C$9:$C696,"&gt;="&amp;RelDebut,$C$9:$C696,"&lt;="&amp;RelFin),"")</f>
        <v/>
      </c>
    </row>
    <row r="697" spans="2:18" ht="18" customHeight="1" x14ac:dyDescent="0.25">
      <c r="B697" s="48" t="str">
        <f>IF(C697="","",COUNT($C$9:C697))</f>
        <v/>
      </c>
      <c r="C697" s="49"/>
      <c r="D697" s="50"/>
      <c r="E697" s="51"/>
      <c r="F697" s="52" t="str">
        <f t="shared" si="40"/>
        <v/>
      </c>
      <c r="G697" s="51"/>
      <c r="H697" s="51"/>
      <c r="I697" s="51"/>
      <c r="J697" s="51"/>
      <c r="K697" s="53"/>
      <c r="L697" s="53"/>
      <c r="M697" s="54" t="str">
        <f t="shared" si="41"/>
        <v/>
      </c>
      <c r="N697" s="55" t="str">
        <f t="shared" si="42"/>
        <v/>
      </c>
      <c r="O697" s="56" t="str">
        <f t="shared" si="43"/>
        <v/>
      </c>
      <c r="P697" s="51"/>
      <c r="R697" s="57" t="str">
        <f>IF(AND($E697=RelConducteur,$J697="Professionnel",ISNUMBER($C697),$C697&gt;=RelDebut,$C697&lt;=RelFin),COUNTIFS($E$9:$E697,RelConducteur,$J$9:$J697,"Professionnel",$C$9:$C697,"&gt;="&amp;RelDebut,$C$9:$C697,"&lt;="&amp;RelFin),"")</f>
        <v/>
      </c>
    </row>
    <row r="698" spans="2:18" ht="18" customHeight="1" x14ac:dyDescent="0.25">
      <c r="B698" s="48" t="str">
        <f>IF(C698="","",COUNT($C$9:C698))</f>
        <v/>
      </c>
      <c r="C698" s="49"/>
      <c r="D698" s="50"/>
      <c r="E698" s="51"/>
      <c r="F698" s="52" t="str">
        <f t="shared" si="40"/>
        <v/>
      </c>
      <c r="G698" s="51"/>
      <c r="H698" s="51"/>
      <c r="I698" s="51"/>
      <c r="J698" s="51"/>
      <c r="K698" s="53"/>
      <c r="L698" s="53"/>
      <c r="M698" s="54" t="str">
        <f t="shared" si="41"/>
        <v/>
      </c>
      <c r="N698" s="55" t="str">
        <f t="shared" si="42"/>
        <v/>
      </c>
      <c r="O698" s="56" t="str">
        <f t="shared" si="43"/>
        <v/>
      </c>
      <c r="P698" s="51"/>
      <c r="R698" s="57" t="str">
        <f>IF(AND($E698=RelConducteur,$J698="Professionnel",ISNUMBER($C698),$C698&gt;=RelDebut,$C698&lt;=RelFin),COUNTIFS($E$9:$E698,RelConducteur,$J$9:$J698,"Professionnel",$C$9:$C698,"&gt;="&amp;RelDebut,$C$9:$C698,"&lt;="&amp;RelFin),"")</f>
        <v/>
      </c>
    </row>
    <row r="699" spans="2:18" ht="18" customHeight="1" x14ac:dyDescent="0.25">
      <c r="B699" s="48" t="str">
        <f>IF(C699="","",COUNT($C$9:C699))</f>
        <v/>
      </c>
      <c r="C699" s="49"/>
      <c r="D699" s="50"/>
      <c r="E699" s="51"/>
      <c r="F699" s="52" t="str">
        <f t="shared" si="40"/>
        <v/>
      </c>
      <c r="G699" s="51"/>
      <c r="H699" s="51"/>
      <c r="I699" s="51"/>
      <c r="J699" s="51"/>
      <c r="K699" s="53"/>
      <c r="L699" s="53"/>
      <c r="M699" s="54" t="str">
        <f t="shared" si="41"/>
        <v/>
      </c>
      <c r="N699" s="55" t="str">
        <f t="shared" si="42"/>
        <v/>
      </c>
      <c r="O699" s="56" t="str">
        <f t="shared" si="43"/>
        <v/>
      </c>
      <c r="P699" s="51"/>
      <c r="R699" s="57" t="str">
        <f>IF(AND($E699=RelConducteur,$J699="Professionnel",ISNUMBER($C699),$C699&gt;=RelDebut,$C699&lt;=RelFin),COUNTIFS($E$9:$E699,RelConducteur,$J$9:$J699,"Professionnel",$C$9:$C699,"&gt;="&amp;RelDebut,$C$9:$C699,"&lt;="&amp;RelFin),"")</f>
        <v/>
      </c>
    </row>
    <row r="700" spans="2:18" ht="18" customHeight="1" x14ac:dyDescent="0.25">
      <c r="B700" s="48" t="str">
        <f>IF(C700="","",COUNT($C$9:C700))</f>
        <v/>
      </c>
      <c r="C700" s="49"/>
      <c r="D700" s="50"/>
      <c r="E700" s="51"/>
      <c r="F700" s="52" t="str">
        <f t="shared" si="40"/>
        <v/>
      </c>
      <c r="G700" s="51"/>
      <c r="H700" s="51"/>
      <c r="I700" s="51"/>
      <c r="J700" s="51"/>
      <c r="K700" s="53"/>
      <c r="L700" s="53"/>
      <c r="M700" s="54" t="str">
        <f t="shared" si="41"/>
        <v/>
      </c>
      <c r="N700" s="55" t="str">
        <f t="shared" si="42"/>
        <v/>
      </c>
      <c r="O700" s="56" t="str">
        <f t="shared" si="43"/>
        <v/>
      </c>
      <c r="P700" s="51"/>
      <c r="R700" s="57" t="str">
        <f>IF(AND($E700=RelConducteur,$J700="Professionnel",ISNUMBER($C700),$C700&gt;=RelDebut,$C700&lt;=RelFin),COUNTIFS($E$9:$E700,RelConducteur,$J$9:$J700,"Professionnel",$C$9:$C700,"&gt;="&amp;RelDebut,$C$9:$C700,"&lt;="&amp;RelFin),"")</f>
        <v/>
      </c>
    </row>
    <row r="701" spans="2:18" ht="18" customHeight="1" x14ac:dyDescent="0.25">
      <c r="B701" s="48" t="str">
        <f>IF(C701="","",COUNT($C$9:C701))</f>
        <v/>
      </c>
      <c r="C701" s="49"/>
      <c r="D701" s="50"/>
      <c r="E701" s="51"/>
      <c r="F701" s="52" t="str">
        <f t="shared" si="40"/>
        <v/>
      </c>
      <c r="G701" s="51"/>
      <c r="H701" s="51"/>
      <c r="I701" s="51"/>
      <c r="J701" s="51"/>
      <c r="K701" s="53"/>
      <c r="L701" s="53"/>
      <c r="M701" s="54" t="str">
        <f t="shared" si="41"/>
        <v/>
      </c>
      <c r="N701" s="55" t="str">
        <f t="shared" si="42"/>
        <v/>
      </c>
      <c r="O701" s="56" t="str">
        <f t="shared" si="43"/>
        <v/>
      </c>
      <c r="P701" s="51"/>
      <c r="R701" s="57" t="str">
        <f>IF(AND($E701=RelConducteur,$J701="Professionnel",ISNUMBER($C701),$C701&gt;=RelDebut,$C701&lt;=RelFin),COUNTIFS($E$9:$E701,RelConducteur,$J$9:$J701,"Professionnel",$C$9:$C701,"&gt;="&amp;RelDebut,$C$9:$C701,"&lt;="&amp;RelFin),"")</f>
        <v/>
      </c>
    </row>
    <row r="702" spans="2:18" ht="18" customHeight="1" x14ac:dyDescent="0.25">
      <c r="B702" s="48" t="str">
        <f>IF(C702="","",COUNT($C$9:C702))</f>
        <v/>
      </c>
      <c r="C702" s="49"/>
      <c r="D702" s="50"/>
      <c r="E702" s="51"/>
      <c r="F702" s="52" t="str">
        <f t="shared" si="40"/>
        <v/>
      </c>
      <c r="G702" s="51"/>
      <c r="H702" s="51"/>
      <c r="I702" s="51"/>
      <c r="J702" s="51"/>
      <c r="K702" s="53"/>
      <c r="L702" s="53"/>
      <c r="M702" s="54" t="str">
        <f t="shared" si="41"/>
        <v/>
      </c>
      <c r="N702" s="55" t="str">
        <f t="shared" si="42"/>
        <v/>
      </c>
      <c r="O702" s="56" t="str">
        <f t="shared" si="43"/>
        <v/>
      </c>
      <c r="P702" s="51"/>
      <c r="R702" s="57" t="str">
        <f>IF(AND($E702=RelConducteur,$J702="Professionnel",ISNUMBER($C702),$C702&gt;=RelDebut,$C702&lt;=RelFin),COUNTIFS($E$9:$E702,RelConducteur,$J$9:$J702,"Professionnel",$C$9:$C702,"&gt;="&amp;RelDebut,$C$9:$C702,"&lt;="&amp;RelFin),"")</f>
        <v/>
      </c>
    </row>
    <row r="703" spans="2:18" ht="18" customHeight="1" x14ac:dyDescent="0.25">
      <c r="B703" s="48" t="str">
        <f>IF(C703="","",COUNT($C$9:C703))</f>
        <v/>
      </c>
      <c r="C703" s="49"/>
      <c r="D703" s="50"/>
      <c r="E703" s="51"/>
      <c r="F703" s="52" t="str">
        <f t="shared" si="40"/>
        <v/>
      </c>
      <c r="G703" s="51"/>
      <c r="H703" s="51"/>
      <c r="I703" s="51"/>
      <c r="J703" s="51"/>
      <c r="K703" s="53"/>
      <c r="L703" s="53"/>
      <c r="M703" s="54" t="str">
        <f t="shared" si="41"/>
        <v/>
      </c>
      <c r="N703" s="55" t="str">
        <f t="shared" si="42"/>
        <v/>
      </c>
      <c r="O703" s="56" t="str">
        <f t="shared" si="43"/>
        <v/>
      </c>
      <c r="P703" s="51"/>
      <c r="R703" s="57" t="str">
        <f>IF(AND($E703=RelConducteur,$J703="Professionnel",ISNUMBER($C703),$C703&gt;=RelDebut,$C703&lt;=RelFin),COUNTIFS($E$9:$E703,RelConducteur,$J$9:$J703,"Professionnel",$C$9:$C703,"&gt;="&amp;RelDebut,$C$9:$C703,"&lt;="&amp;RelFin),"")</f>
        <v/>
      </c>
    </row>
    <row r="704" spans="2:18" ht="18" customHeight="1" x14ac:dyDescent="0.25">
      <c r="B704" s="48" t="str">
        <f>IF(C704="","",COUNT($C$9:C704))</f>
        <v/>
      </c>
      <c r="C704" s="49"/>
      <c r="D704" s="50"/>
      <c r="E704" s="51"/>
      <c r="F704" s="52" t="str">
        <f t="shared" si="40"/>
        <v/>
      </c>
      <c r="G704" s="51"/>
      <c r="H704" s="51"/>
      <c r="I704" s="51"/>
      <c r="J704" s="51"/>
      <c r="K704" s="53"/>
      <c r="L704" s="53"/>
      <c r="M704" s="54" t="str">
        <f t="shared" si="41"/>
        <v/>
      </c>
      <c r="N704" s="55" t="str">
        <f t="shared" si="42"/>
        <v/>
      </c>
      <c r="O704" s="56" t="str">
        <f t="shared" si="43"/>
        <v/>
      </c>
      <c r="P704" s="51"/>
      <c r="R704" s="57" t="str">
        <f>IF(AND($E704=RelConducteur,$J704="Professionnel",ISNUMBER($C704),$C704&gt;=RelDebut,$C704&lt;=RelFin),COUNTIFS($E$9:$E704,RelConducteur,$J$9:$J704,"Professionnel",$C$9:$C704,"&gt;="&amp;RelDebut,$C$9:$C704,"&lt;="&amp;RelFin),"")</f>
        <v/>
      </c>
    </row>
    <row r="705" spans="2:18" ht="18" customHeight="1" x14ac:dyDescent="0.25">
      <c r="B705" s="48" t="str">
        <f>IF(C705="","",COUNT($C$9:C705))</f>
        <v/>
      </c>
      <c r="C705" s="49"/>
      <c r="D705" s="50"/>
      <c r="E705" s="51"/>
      <c r="F705" s="52" t="str">
        <f t="shared" si="40"/>
        <v/>
      </c>
      <c r="G705" s="51"/>
      <c r="H705" s="51"/>
      <c r="I705" s="51"/>
      <c r="J705" s="51"/>
      <c r="K705" s="53"/>
      <c r="L705" s="53"/>
      <c r="M705" s="54" t="str">
        <f t="shared" si="41"/>
        <v/>
      </c>
      <c r="N705" s="55" t="str">
        <f t="shared" si="42"/>
        <v/>
      </c>
      <c r="O705" s="56" t="str">
        <f t="shared" si="43"/>
        <v/>
      </c>
      <c r="P705" s="51"/>
      <c r="R705" s="57" t="str">
        <f>IF(AND($E705=RelConducteur,$J705="Professionnel",ISNUMBER($C705),$C705&gt;=RelDebut,$C705&lt;=RelFin),COUNTIFS($E$9:$E705,RelConducteur,$J$9:$J705,"Professionnel",$C$9:$C705,"&gt;="&amp;RelDebut,$C$9:$C705,"&lt;="&amp;RelFin),"")</f>
        <v/>
      </c>
    </row>
    <row r="706" spans="2:18" ht="18" customHeight="1" x14ac:dyDescent="0.25">
      <c r="B706" s="48" t="str">
        <f>IF(C706="","",COUNT($C$9:C706))</f>
        <v/>
      </c>
      <c r="C706" s="49"/>
      <c r="D706" s="50"/>
      <c r="E706" s="51"/>
      <c r="F706" s="52" t="str">
        <f t="shared" si="40"/>
        <v/>
      </c>
      <c r="G706" s="51"/>
      <c r="H706" s="51"/>
      <c r="I706" s="51"/>
      <c r="J706" s="51"/>
      <c r="K706" s="53"/>
      <c r="L706" s="53"/>
      <c r="M706" s="54" t="str">
        <f t="shared" si="41"/>
        <v/>
      </c>
      <c r="N706" s="55" t="str">
        <f t="shared" si="42"/>
        <v/>
      </c>
      <c r="O706" s="56" t="str">
        <f t="shared" si="43"/>
        <v/>
      </c>
      <c r="P706" s="51"/>
      <c r="R706" s="57" t="str">
        <f>IF(AND($E706=RelConducteur,$J706="Professionnel",ISNUMBER($C706),$C706&gt;=RelDebut,$C706&lt;=RelFin),COUNTIFS($E$9:$E706,RelConducteur,$J$9:$J706,"Professionnel",$C$9:$C706,"&gt;="&amp;RelDebut,$C$9:$C706,"&lt;="&amp;RelFin),"")</f>
        <v/>
      </c>
    </row>
    <row r="707" spans="2:18" ht="18" customHeight="1" x14ac:dyDescent="0.25">
      <c r="B707" s="48" t="str">
        <f>IF(C707="","",COUNT($C$9:C707))</f>
        <v/>
      </c>
      <c r="C707" s="49"/>
      <c r="D707" s="50"/>
      <c r="E707" s="51"/>
      <c r="F707" s="52" t="str">
        <f t="shared" si="40"/>
        <v/>
      </c>
      <c r="G707" s="51"/>
      <c r="H707" s="51"/>
      <c r="I707" s="51"/>
      <c r="J707" s="51"/>
      <c r="K707" s="53"/>
      <c r="L707" s="53"/>
      <c r="M707" s="54" t="str">
        <f t="shared" si="41"/>
        <v/>
      </c>
      <c r="N707" s="55" t="str">
        <f t="shared" si="42"/>
        <v/>
      </c>
      <c r="O707" s="56" t="str">
        <f t="shared" si="43"/>
        <v/>
      </c>
      <c r="P707" s="51"/>
      <c r="R707" s="57" t="str">
        <f>IF(AND($E707=RelConducteur,$J707="Professionnel",ISNUMBER($C707),$C707&gt;=RelDebut,$C707&lt;=RelFin),COUNTIFS($E$9:$E707,RelConducteur,$J$9:$J707,"Professionnel",$C$9:$C707,"&gt;="&amp;RelDebut,$C$9:$C707,"&lt;="&amp;RelFin),"")</f>
        <v/>
      </c>
    </row>
    <row r="708" spans="2:18" ht="18" customHeight="1" x14ac:dyDescent="0.25">
      <c r="B708" s="48" t="str">
        <f>IF(C708="","",COUNT($C$9:C708))</f>
        <v/>
      </c>
      <c r="C708" s="49"/>
      <c r="D708" s="50"/>
      <c r="E708" s="51"/>
      <c r="F708" s="52" t="str">
        <f t="shared" si="40"/>
        <v/>
      </c>
      <c r="G708" s="51"/>
      <c r="H708" s="51"/>
      <c r="I708" s="51"/>
      <c r="J708" s="51"/>
      <c r="K708" s="53"/>
      <c r="L708" s="53"/>
      <c r="M708" s="54" t="str">
        <f t="shared" si="41"/>
        <v/>
      </c>
      <c r="N708" s="55" t="str">
        <f t="shared" si="42"/>
        <v/>
      </c>
      <c r="O708" s="56" t="str">
        <f t="shared" si="43"/>
        <v/>
      </c>
      <c r="P708" s="51"/>
      <c r="R708" s="57" t="str">
        <f>IF(AND($E708=RelConducteur,$J708="Professionnel",ISNUMBER($C708),$C708&gt;=RelDebut,$C708&lt;=RelFin),COUNTIFS($E$9:$E708,RelConducteur,$J$9:$J708,"Professionnel",$C$9:$C708,"&gt;="&amp;RelDebut,$C$9:$C708,"&lt;="&amp;RelFin),"")</f>
        <v/>
      </c>
    </row>
    <row r="709" spans="2:18" ht="18" customHeight="1" x14ac:dyDescent="0.25">
      <c r="B709" s="48" t="str">
        <f>IF(C709="","",COUNT($C$9:C709))</f>
        <v/>
      </c>
      <c r="C709" s="49"/>
      <c r="D709" s="50"/>
      <c r="E709" s="51"/>
      <c r="F709" s="52" t="str">
        <f t="shared" si="40"/>
        <v/>
      </c>
      <c r="G709" s="51"/>
      <c r="H709" s="51"/>
      <c r="I709" s="51"/>
      <c r="J709" s="51"/>
      <c r="K709" s="53"/>
      <c r="L709" s="53"/>
      <c r="M709" s="54" t="str">
        <f t="shared" si="41"/>
        <v/>
      </c>
      <c r="N709" s="55" t="str">
        <f t="shared" si="42"/>
        <v/>
      </c>
      <c r="O709" s="56" t="str">
        <f t="shared" si="43"/>
        <v/>
      </c>
      <c r="P709" s="51"/>
      <c r="R709" s="57" t="str">
        <f>IF(AND($E709=RelConducteur,$J709="Professionnel",ISNUMBER($C709),$C709&gt;=RelDebut,$C709&lt;=RelFin),COUNTIFS($E$9:$E709,RelConducteur,$J$9:$J709,"Professionnel",$C$9:$C709,"&gt;="&amp;RelDebut,$C$9:$C709,"&lt;="&amp;RelFin),"")</f>
        <v/>
      </c>
    </row>
    <row r="710" spans="2:18" ht="18" customHeight="1" x14ac:dyDescent="0.25">
      <c r="B710" s="48" t="str">
        <f>IF(C710="","",COUNT($C$9:C710))</f>
        <v/>
      </c>
      <c r="C710" s="49"/>
      <c r="D710" s="50"/>
      <c r="E710" s="51"/>
      <c r="F710" s="52" t="str">
        <f t="shared" si="40"/>
        <v/>
      </c>
      <c r="G710" s="51"/>
      <c r="H710" s="51"/>
      <c r="I710" s="51"/>
      <c r="J710" s="51"/>
      <c r="K710" s="53"/>
      <c r="L710" s="53"/>
      <c r="M710" s="54" t="str">
        <f t="shared" si="41"/>
        <v/>
      </c>
      <c r="N710" s="55" t="str">
        <f t="shared" si="42"/>
        <v/>
      </c>
      <c r="O710" s="56" t="str">
        <f t="shared" si="43"/>
        <v/>
      </c>
      <c r="P710" s="51"/>
      <c r="R710" s="57" t="str">
        <f>IF(AND($E710=RelConducteur,$J710="Professionnel",ISNUMBER($C710),$C710&gt;=RelDebut,$C710&lt;=RelFin),COUNTIFS($E$9:$E710,RelConducteur,$J$9:$J710,"Professionnel",$C$9:$C710,"&gt;="&amp;RelDebut,$C$9:$C710,"&lt;="&amp;RelFin),"")</f>
        <v/>
      </c>
    </row>
    <row r="711" spans="2:18" ht="18" customHeight="1" x14ac:dyDescent="0.25">
      <c r="B711" s="48" t="str">
        <f>IF(C711="","",COUNT($C$9:C711))</f>
        <v/>
      </c>
      <c r="C711" s="49"/>
      <c r="D711" s="50"/>
      <c r="E711" s="51"/>
      <c r="F711" s="52" t="str">
        <f t="shared" si="40"/>
        <v/>
      </c>
      <c r="G711" s="51"/>
      <c r="H711" s="51"/>
      <c r="I711" s="51"/>
      <c r="J711" s="51"/>
      <c r="K711" s="53"/>
      <c r="L711" s="53"/>
      <c r="M711" s="54" t="str">
        <f t="shared" si="41"/>
        <v/>
      </c>
      <c r="N711" s="55" t="str">
        <f t="shared" si="42"/>
        <v/>
      </c>
      <c r="O711" s="56" t="str">
        <f t="shared" si="43"/>
        <v/>
      </c>
      <c r="P711" s="51"/>
      <c r="R711" s="57" t="str">
        <f>IF(AND($E711=RelConducteur,$J711="Professionnel",ISNUMBER($C711),$C711&gt;=RelDebut,$C711&lt;=RelFin),COUNTIFS($E$9:$E711,RelConducteur,$J$9:$J711,"Professionnel",$C$9:$C711,"&gt;="&amp;RelDebut,$C$9:$C711,"&lt;="&amp;RelFin),"")</f>
        <v/>
      </c>
    </row>
    <row r="712" spans="2:18" ht="18" customHeight="1" x14ac:dyDescent="0.25">
      <c r="B712" s="48" t="str">
        <f>IF(C712="","",COUNT($C$9:C712))</f>
        <v/>
      </c>
      <c r="C712" s="49"/>
      <c r="D712" s="50"/>
      <c r="E712" s="51"/>
      <c r="F712" s="52" t="str">
        <f t="shared" si="40"/>
        <v/>
      </c>
      <c r="G712" s="51"/>
      <c r="H712" s="51"/>
      <c r="I712" s="51"/>
      <c r="J712" s="51"/>
      <c r="K712" s="53"/>
      <c r="L712" s="53"/>
      <c r="M712" s="54" t="str">
        <f t="shared" si="41"/>
        <v/>
      </c>
      <c r="N712" s="55" t="str">
        <f t="shared" si="42"/>
        <v/>
      </c>
      <c r="O712" s="56" t="str">
        <f t="shared" si="43"/>
        <v/>
      </c>
      <c r="P712" s="51"/>
      <c r="R712" s="57" t="str">
        <f>IF(AND($E712=RelConducteur,$J712="Professionnel",ISNUMBER($C712),$C712&gt;=RelDebut,$C712&lt;=RelFin),COUNTIFS($E$9:$E712,RelConducteur,$J$9:$J712,"Professionnel",$C$9:$C712,"&gt;="&amp;RelDebut,$C$9:$C712,"&lt;="&amp;RelFin),"")</f>
        <v/>
      </c>
    </row>
    <row r="713" spans="2:18" ht="18" customHeight="1" x14ac:dyDescent="0.25">
      <c r="B713" s="48" t="str">
        <f>IF(C713="","",COUNT($C$9:C713))</f>
        <v/>
      </c>
      <c r="C713" s="49"/>
      <c r="D713" s="50"/>
      <c r="E713" s="51"/>
      <c r="F713" s="52" t="str">
        <f t="shared" ref="F713:F776" si="44">IF(OR(C713="",E713=""),"",IFERROR(INDEX(CondService,MATCH(E713,CondNoms,0))&amp;"","Conducteur inconnu"))</f>
        <v/>
      </c>
      <c r="G713" s="51"/>
      <c r="H713" s="51"/>
      <c r="I713" s="51"/>
      <c r="J713" s="51"/>
      <c r="K713" s="53"/>
      <c r="L713" s="53"/>
      <c r="M713" s="54" t="str">
        <f t="shared" ref="M713:M776" si="45">IF(OR(K713="",L713=""),"",L713-K713)</f>
        <v/>
      </c>
      <c r="N713" s="55" t="str">
        <f t="shared" si="42"/>
        <v/>
      </c>
      <c r="O713" s="56" t="str">
        <f t="shared" si="43"/>
        <v/>
      </c>
      <c r="P713" s="51"/>
      <c r="R713" s="57" t="str">
        <f>IF(AND($E713=RelConducteur,$J713="Professionnel",ISNUMBER($C713),$C713&gt;=RelDebut,$C713&lt;=RelFin),COUNTIFS($E$9:$E713,RelConducteur,$J$9:$J713,"Professionnel",$C$9:$C713,"&gt;="&amp;RelDebut,$C$9:$C713,"&lt;="&amp;RelFin),"")</f>
        <v/>
      </c>
    </row>
    <row r="714" spans="2:18" ht="18" customHeight="1" x14ac:dyDescent="0.25">
      <c r="B714" s="48" t="str">
        <f>IF(C714="","",COUNT($C$9:C714))</f>
        <v/>
      </c>
      <c r="C714" s="49"/>
      <c r="D714" s="50"/>
      <c r="E714" s="51"/>
      <c r="F714" s="52" t="str">
        <f t="shared" si="44"/>
        <v/>
      </c>
      <c r="G714" s="51"/>
      <c r="H714" s="51"/>
      <c r="I714" s="51"/>
      <c r="J714" s="51"/>
      <c r="K714" s="53"/>
      <c r="L714" s="53"/>
      <c r="M714" s="54" t="str">
        <f t="shared" si="45"/>
        <v/>
      </c>
      <c r="N714" s="55" t="str">
        <f t="shared" ref="N714:N777" si="46">IF(OR(C714="",K714="",L713=""),"",K714-L713)</f>
        <v/>
      </c>
      <c r="O714" s="56" t="str">
        <f t="shared" ref="O714:O777" si="47">IF(C714="","",IF(OR(E714="",G714="",H714="",J714="",K714="",L714="",AND(J714="Professionnel",I714="")),"Incomplet",IF(AND(ISNUMBER(C713),C714&lt;C713),"Ordre des dates",IF(L714&lt;K714,"Compteur incohérent",IF(AND(ISNUMBER(N714),N714&gt;ToleranceKm),"Km non enregistrés",IF(AND(ISNUMBER(N714),N714&lt;-ToleranceKm),"Chevauchement",IF(AND(J714="Personnel",UsagePrive="Non"),"Usage privé non autorisé","Conforme")))))))</f>
        <v/>
      </c>
      <c r="P714" s="51"/>
      <c r="R714" s="57" t="str">
        <f>IF(AND($E714=RelConducteur,$J714="Professionnel",ISNUMBER($C714),$C714&gt;=RelDebut,$C714&lt;=RelFin),COUNTIFS($E$9:$E714,RelConducteur,$J$9:$J714,"Professionnel",$C$9:$C714,"&gt;="&amp;RelDebut,$C$9:$C714,"&lt;="&amp;RelFin),"")</f>
        <v/>
      </c>
    </row>
    <row r="715" spans="2:18" ht="18" customHeight="1" x14ac:dyDescent="0.25">
      <c r="B715" s="48" t="str">
        <f>IF(C715="","",COUNT($C$9:C715))</f>
        <v/>
      </c>
      <c r="C715" s="49"/>
      <c r="D715" s="50"/>
      <c r="E715" s="51"/>
      <c r="F715" s="52" t="str">
        <f t="shared" si="44"/>
        <v/>
      </c>
      <c r="G715" s="51"/>
      <c r="H715" s="51"/>
      <c r="I715" s="51"/>
      <c r="J715" s="51"/>
      <c r="K715" s="53"/>
      <c r="L715" s="53"/>
      <c r="M715" s="54" t="str">
        <f t="shared" si="45"/>
        <v/>
      </c>
      <c r="N715" s="55" t="str">
        <f t="shared" si="46"/>
        <v/>
      </c>
      <c r="O715" s="56" t="str">
        <f t="shared" si="47"/>
        <v/>
      </c>
      <c r="P715" s="51"/>
      <c r="R715" s="57" t="str">
        <f>IF(AND($E715=RelConducteur,$J715="Professionnel",ISNUMBER($C715),$C715&gt;=RelDebut,$C715&lt;=RelFin),COUNTIFS($E$9:$E715,RelConducteur,$J$9:$J715,"Professionnel",$C$9:$C715,"&gt;="&amp;RelDebut,$C$9:$C715,"&lt;="&amp;RelFin),"")</f>
        <v/>
      </c>
    </row>
    <row r="716" spans="2:18" ht="18" customHeight="1" x14ac:dyDescent="0.25">
      <c r="B716" s="48" t="str">
        <f>IF(C716="","",COUNT($C$9:C716))</f>
        <v/>
      </c>
      <c r="C716" s="49"/>
      <c r="D716" s="50"/>
      <c r="E716" s="51"/>
      <c r="F716" s="52" t="str">
        <f t="shared" si="44"/>
        <v/>
      </c>
      <c r="G716" s="51"/>
      <c r="H716" s="51"/>
      <c r="I716" s="51"/>
      <c r="J716" s="51"/>
      <c r="K716" s="53"/>
      <c r="L716" s="53"/>
      <c r="M716" s="54" t="str">
        <f t="shared" si="45"/>
        <v/>
      </c>
      <c r="N716" s="55" t="str">
        <f t="shared" si="46"/>
        <v/>
      </c>
      <c r="O716" s="56" t="str">
        <f t="shared" si="47"/>
        <v/>
      </c>
      <c r="P716" s="51"/>
      <c r="R716" s="57" t="str">
        <f>IF(AND($E716=RelConducteur,$J716="Professionnel",ISNUMBER($C716),$C716&gt;=RelDebut,$C716&lt;=RelFin),COUNTIFS($E$9:$E716,RelConducteur,$J$9:$J716,"Professionnel",$C$9:$C716,"&gt;="&amp;RelDebut,$C$9:$C716,"&lt;="&amp;RelFin),"")</f>
        <v/>
      </c>
    </row>
    <row r="717" spans="2:18" ht="18" customHeight="1" x14ac:dyDescent="0.25">
      <c r="B717" s="48" t="str">
        <f>IF(C717="","",COUNT($C$9:C717))</f>
        <v/>
      </c>
      <c r="C717" s="49"/>
      <c r="D717" s="50"/>
      <c r="E717" s="51"/>
      <c r="F717" s="52" t="str">
        <f t="shared" si="44"/>
        <v/>
      </c>
      <c r="G717" s="51"/>
      <c r="H717" s="51"/>
      <c r="I717" s="51"/>
      <c r="J717" s="51"/>
      <c r="K717" s="53"/>
      <c r="L717" s="53"/>
      <c r="M717" s="54" t="str">
        <f t="shared" si="45"/>
        <v/>
      </c>
      <c r="N717" s="55" t="str">
        <f t="shared" si="46"/>
        <v/>
      </c>
      <c r="O717" s="56" t="str">
        <f t="shared" si="47"/>
        <v/>
      </c>
      <c r="P717" s="51"/>
      <c r="R717" s="57" t="str">
        <f>IF(AND($E717=RelConducteur,$J717="Professionnel",ISNUMBER($C717),$C717&gt;=RelDebut,$C717&lt;=RelFin),COUNTIFS($E$9:$E717,RelConducteur,$J$9:$J717,"Professionnel",$C$9:$C717,"&gt;="&amp;RelDebut,$C$9:$C717,"&lt;="&amp;RelFin),"")</f>
        <v/>
      </c>
    </row>
    <row r="718" spans="2:18" ht="18" customHeight="1" x14ac:dyDescent="0.25">
      <c r="B718" s="48" t="str">
        <f>IF(C718="","",COUNT($C$9:C718))</f>
        <v/>
      </c>
      <c r="C718" s="49"/>
      <c r="D718" s="50"/>
      <c r="E718" s="51"/>
      <c r="F718" s="52" t="str">
        <f t="shared" si="44"/>
        <v/>
      </c>
      <c r="G718" s="51"/>
      <c r="H718" s="51"/>
      <c r="I718" s="51"/>
      <c r="J718" s="51"/>
      <c r="K718" s="53"/>
      <c r="L718" s="53"/>
      <c r="M718" s="54" t="str">
        <f t="shared" si="45"/>
        <v/>
      </c>
      <c r="N718" s="55" t="str">
        <f t="shared" si="46"/>
        <v/>
      </c>
      <c r="O718" s="56" t="str">
        <f t="shared" si="47"/>
        <v/>
      </c>
      <c r="P718" s="51"/>
      <c r="R718" s="57" t="str">
        <f>IF(AND($E718=RelConducteur,$J718="Professionnel",ISNUMBER($C718),$C718&gt;=RelDebut,$C718&lt;=RelFin),COUNTIFS($E$9:$E718,RelConducteur,$J$9:$J718,"Professionnel",$C$9:$C718,"&gt;="&amp;RelDebut,$C$9:$C718,"&lt;="&amp;RelFin),"")</f>
        <v/>
      </c>
    </row>
    <row r="719" spans="2:18" ht="18" customHeight="1" x14ac:dyDescent="0.25">
      <c r="B719" s="48" t="str">
        <f>IF(C719="","",COUNT($C$9:C719))</f>
        <v/>
      </c>
      <c r="C719" s="49"/>
      <c r="D719" s="50"/>
      <c r="E719" s="51"/>
      <c r="F719" s="52" t="str">
        <f t="shared" si="44"/>
        <v/>
      </c>
      <c r="G719" s="51"/>
      <c r="H719" s="51"/>
      <c r="I719" s="51"/>
      <c r="J719" s="51"/>
      <c r="K719" s="53"/>
      <c r="L719" s="53"/>
      <c r="M719" s="54" t="str">
        <f t="shared" si="45"/>
        <v/>
      </c>
      <c r="N719" s="55" t="str">
        <f t="shared" si="46"/>
        <v/>
      </c>
      <c r="O719" s="56" t="str">
        <f t="shared" si="47"/>
        <v/>
      </c>
      <c r="P719" s="51"/>
      <c r="R719" s="57" t="str">
        <f>IF(AND($E719=RelConducteur,$J719="Professionnel",ISNUMBER($C719),$C719&gt;=RelDebut,$C719&lt;=RelFin),COUNTIFS($E$9:$E719,RelConducteur,$J$9:$J719,"Professionnel",$C$9:$C719,"&gt;="&amp;RelDebut,$C$9:$C719,"&lt;="&amp;RelFin),"")</f>
        <v/>
      </c>
    </row>
    <row r="720" spans="2:18" ht="18" customHeight="1" x14ac:dyDescent="0.25">
      <c r="B720" s="48" t="str">
        <f>IF(C720="","",COUNT($C$9:C720))</f>
        <v/>
      </c>
      <c r="C720" s="49"/>
      <c r="D720" s="50"/>
      <c r="E720" s="51"/>
      <c r="F720" s="52" t="str">
        <f t="shared" si="44"/>
        <v/>
      </c>
      <c r="G720" s="51"/>
      <c r="H720" s="51"/>
      <c r="I720" s="51"/>
      <c r="J720" s="51"/>
      <c r="K720" s="53"/>
      <c r="L720" s="53"/>
      <c r="M720" s="54" t="str">
        <f t="shared" si="45"/>
        <v/>
      </c>
      <c r="N720" s="55" t="str">
        <f t="shared" si="46"/>
        <v/>
      </c>
      <c r="O720" s="56" t="str">
        <f t="shared" si="47"/>
        <v/>
      </c>
      <c r="P720" s="51"/>
      <c r="R720" s="57" t="str">
        <f>IF(AND($E720=RelConducteur,$J720="Professionnel",ISNUMBER($C720),$C720&gt;=RelDebut,$C720&lt;=RelFin),COUNTIFS($E$9:$E720,RelConducteur,$J$9:$J720,"Professionnel",$C$9:$C720,"&gt;="&amp;RelDebut,$C$9:$C720,"&lt;="&amp;RelFin),"")</f>
        <v/>
      </c>
    </row>
    <row r="721" spans="2:18" ht="18" customHeight="1" x14ac:dyDescent="0.25">
      <c r="B721" s="48" t="str">
        <f>IF(C721="","",COUNT($C$9:C721))</f>
        <v/>
      </c>
      <c r="C721" s="49"/>
      <c r="D721" s="50"/>
      <c r="E721" s="51"/>
      <c r="F721" s="52" t="str">
        <f t="shared" si="44"/>
        <v/>
      </c>
      <c r="G721" s="51"/>
      <c r="H721" s="51"/>
      <c r="I721" s="51"/>
      <c r="J721" s="51"/>
      <c r="K721" s="53"/>
      <c r="L721" s="53"/>
      <c r="M721" s="54" t="str">
        <f t="shared" si="45"/>
        <v/>
      </c>
      <c r="N721" s="55" t="str">
        <f t="shared" si="46"/>
        <v/>
      </c>
      <c r="O721" s="56" t="str">
        <f t="shared" si="47"/>
        <v/>
      </c>
      <c r="P721" s="51"/>
      <c r="R721" s="57" t="str">
        <f>IF(AND($E721=RelConducteur,$J721="Professionnel",ISNUMBER($C721),$C721&gt;=RelDebut,$C721&lt;=RelFin),COUNTIFS($E$9:$E721,RelConducteur,$J$9:$J721,"Professionnel",$C$9:$C721,"&gt;="&amp;RelDebut,$C$9:$C721,"&lt;="&amp;RelFin),"")</f>
        <v/>
      </c>
    </row>
    <row r="722" spans="2:18" ht="18" customHeight="1" x14ac:dyDescent="0.25">
      <c r="B722" s="48" t="str">
        <f>IF(C722="","",COUNT($C$9:C722))</f>
        <v/>
      </c>
      <c r="C722" s="49"/>
      <c r="D722" s="50"/>
      <c r="E722" s="51"/>
      <c r="F722" s="52" t="str">
        <f t="shared" si="44"/>
        <v/>
      </c>
      <c r="G722" s="51"/>
      <c r="H722" s="51"/>
      <c r="I722" s="51"/>
      <c r="J722" s="51"/>
      <c r="K722" s="53"/>
      <c r="L722" s="53"/>
      <c r="M722" s="54" t="str">
        <f t="shared" si="45"/>
        <v/>
      </c>
      <c r="N722" s="55" t="str">
        <f t="shared" si="46"/>
        <v/>
      </c>
      <c r="O722" s="56" t="str">
        <f t="shared" si="47"/>
        <v/>
      </c>
      <c r="P722" s="51"/>
      <c r="R722" s="57" t="str">
        <f>IF(AND($E722=RelConducteur,$J722="Professionnel",ISNUMBER($C722),$C722&gt;=RelDebut,$C722&lt;=RelFin),COUNTIFS($E$9:$E722,RelConducteur,$J$9:$J722,"Professionnel",$C$9:$C722,"&gt;="&amp;RelDebut,$C$9:$C722,"&lt;="&amp;RelFin),"")</f>
        <v/>
      </c>
    </row>
    <row r="723" spans="2:18" ht="18" customHeight="1" x14ac:dyDescent="0.25">
      <c r="B723" s="48" t="str">
        <f>IF(C723="","",COUNT($C$9:C723))</f>
        <v/>
      </c>
      <c r="C723" s="49"/>
      <c r="D723" s="50"/>
      <c r="E723" s="51"/>
      <c r="F723" s="52" t="str">
        <f t="shared" si="44"/>
        <v/>
      </c>
      <c r="G723" s="51"/>
      <c r="H723" s="51"/>
      <c r="I723" s="51"/>
      <c r="J723" s="51"/>
      <c r="K723" s="53"/>
      <c r="L723" s="53"/>
      <c r="M723" s="54" t="str">
        <f t="shared" si="45"/>
        <v/>
      </c>
      <c r="N723" s="55" t="str">
        <f t="shared" si="46"/>
        <v/>
      </c>
      <c r="O723" s="56" t="str">
        <f t="shared" si="47"/>
        <v/>
      </c>
      <c r="P723" s="51"/>
      <c r="R723" s="57" t="str">
        <f>IF(AND($E723=RelConducteur,$J723="Professionnel",ISNUMBER($C723),$C723&gt;=RelDebut,$C723&lt;=RelFin),COUNTIFS($E$9:$E723,RelConducteur,$J$9:$J723,"Professionnel",$C$9:$C723,"&gt;="&amp;RelDebut,$C$9:$C723,"&lt;="&amp;RelFin),"")</f>
        <v/>
      </c>
    </row>
    <row r="724" spans="2:18" ht="18" customHeight="1" x14ac:dyDescent="0.25">
      <c r="B724" s="48" t="str">
        <f>IF(C724="","",COUNT($C$9:C724))</f>
        <v/>
      </c>
      <c r="C724" s="49"/>
      <c r="D724" s="50"/>
      <c r="E724" s="51"/>
      <c r="F724" s="52" t="str">
        <f t="shared" si="44"/>
        <v/>
      </c>
      <c r="G724" s="51"/>
      <c r="H724" s="51"/>
      <c r="I724" s="51"/>
      <c r="J724" s="51"/>
      <c r="K724" s="53"/>
      <c r="L724" s="53"/>
      <c r="M724" s="54" t="str">
        <f t="shared" si="45"/>
        <v/>
      </c>
      <c r="N724" s="55" t="str">
        <f t="shared" si="46"/>
        <v/>
      </c>
      <c r="O724" s="56" t="str">
        <f t="shared" si="47"/>
        <v/>
      </c>
      <c r="P724" s="51"/>
      <c r="R724" s="57" t="str">
        <f>IF(AND($E724=RelConducteur,$J724="Professionnel",ISNUMBER($C724),$C724&gt;=RelDebut,$C724&lt;=RelFin),COUNTIFS($E$9:$E724,RelConducteur,$J$9:$J724,"Professionnel",$C$9:$C724,"&gt;="&amp;RelDebut,$C$9:$C724,"&lt;="&amp;RelFin),"")</f>
        <v/>
      </c>
    </row>
    <row r="725" spans="2:18" ht="18" customHeight="1" x14ac:dyDescent="0.25">
      <c r="B725" s="48" t="str">
        <f>IF(C725="","",COUNT($C$9:C725))</f>
        <v/>
      </c>
      <c r="C725" s="49"/>
      <c r="D725" s="50"/>
      <c r="E725" s="51"/>
      <c r="F725" s="52" t="str">
        <f t="shared" si="44"/>
        <v/>
      </c>
      <c r="G725" s="51"/>
      <c r="H725" s="51"/>
      <c r="I725" s="51"/>
      <c r="J725" s="51"/>
      <c r="K725" s="53"/>
      <c r="L725" s="53"/>
      <c r="M725" s="54" t="str">
        <f t="shared" si="45"/>
        <v/>
      </c>
      <c r="N725" s="55" t="str">
        <f t="shared" si="46"/>
        <v/>
      </c>
      <c r="O725" s="56" t="str">
        <f t="shared" si="47"/>
        <v/>
      </c>
      <c r="P725" s="51"/>
      <c r="R725" s="57" t="str">
        <f>IF(AND($E725=RelConducteur,$J725="Professionnel",ISNUMBER($C725),$C725&gt;=RelDebut,$C725&lt;=RelFin),COUNTIFS($E$9:$E725,RelConducteur,$J$9:$J725,"Professionnel",$C$9:$C725,"&gt;="&amp;RelDebut,$C$9:$C725,"&lt;="&amp;RelFin),"")</f>
        <v/>
      </c>
    </row>
    <row r="726" spans="2:18" ht="18" customHeight="1" x14ac:dyDescent="0.25">
      <c r="B726" s="48" t="str">
        <f>IF(C726="","",COUNT($C$9:C726))</f>
        <v/>
      </c>
      <c r="C726" s="49"/>
      <c r="D726" s="50"/>
      <c r="E726" s="51"/>
      <c r="F726" s="52" t="str">
        <f t="shared" si="44"/>
        <v/>
      </c>
      <c r="G726" s="51"/>
      <c r="H726" s="51"/>
      <c r="I726" s="51"/>
      <c r="J726" s="51"/>
      <c r="K726" s="53"/>
      <c r="L726" s="53"/>
      <c r="M726" s="54" t="str">
        <f t="shared" si="45"/>
        <v/>
      </c>
      <c r="N726" s="55" t="str">
        <f t="shared" si="46"/>
        <v/>
      </c>
      <c r="O726" s="56" t="str">
        <f t="shared" si="47"/>
        <v/>
      </c>
      <c r="P726" s="51"/>
      <c r="R726" s="57" t="str">
        <f>IF(AND($E726=RelConducteur,$J726="Professionnel",ISNUMBER($C726),$C726&gt;=RelDebut,$C726&lt;=RelFin),COUNTIFS($E$9:$E726,RelConducteur,$J$9:$J726,"Professionnel",$C$9:$C726,"&gt;="&amp;RelDebut,$C$9:$C726,"&lt;="&amp;RelFin),"")</f>
        <v/>
      </c>
    </row>
    <row r="727" spans="2:18" ht="18" customHeight="1" x14ac:dyDescent="0.25">
      <c r="B727" s="48" t="str">
        <f>IF(C727="","",COUNT($C$9:C727))</f>
        <v/>
      </c>
      <c r="C727" s="49"/>
      <c r="D727" s="50"/>
      <c r="E727" s="51"/>
      <c r="F727" s="52" t="str">
        <f t="shared" si="44"/>
        <v/>
      </c>
      <c r="G727" s="51"/>
      <c r="H727" s="51"/>
      <c r="I727" s="51"/>
      <c r="J727" s="51"/>
      <c r="K727" s="53"/>
      <c r="L727" s="53"/>
      <c r="M727" s="54" t="str">
        <f t="shared" si="45"/>
        <v/>
      </c>
      <c r="N727" s="55" t="str">
        <f t="shared" si="46"/>
        <v/>
      </c>
      <c r="O727" s="56" t="str">
        <f t="shared" si="47"/>
        <v/>
      </c>
      <c r="P727" s="51"/>
      <c r="R727" s="57" t="str">
        <f>IF(AND($E727=RelConducteur,$J727="Professionnel",ISNUMBER($C727),$C727&gt;=RelDebut,$C727&lt;=RelFin),COUNTIFS($E$9:$E727,RelConducteur,$J$9:$J727,"Professionnel",$C$9:$C727,"&gt;="&amp;RelDebut,$C$9:$C727,"&lt;="&amp;RelFin),"")</f>
        <v/>
      </c>
    </row>
    <row r="728" spans="2:18" ht="18" customHeight="1" x14ac:dyDescent="0.25">
      <c r="B728" s="48" t="str">
        <f>IF(C728="","",COUNT($C$9:C728))</f>
        <v/>
      </c>
      <c r="C728" s="49"/>
      <c r="D728" s="50"/>
      <c r="E728" s="51"/>
      <c r="F728" s="52" t="str">
        <f t="shared" si="44"/>
        <v/>
      </c>
      <c r="G728" s="51"/>
      <c r="H728" s="51"/>
      <c r="I728" s="51"/>
      <c r="J728" s="51"/>
      <c r="K728" s="53"/>
      <c r="L728" s="53"/>
      <c r="M728" s="54" t="str">
        <f t="shared" si="45"/>
        <v/>
      </c>
      <c r="N728" s="55" t="str">
        <f t="shared" si="46"/>
        <v/>
      </c>
      <c r="O728" s="56" t="str">
        <f t="shared" si="47"/>
        <v/>
      </c>
      <c r="P728" s="51"/>
      <c r="R728" s="57" t="str">
        <f>IF(AND($E728=RelConducteur,$J728="Professionnel",ISNUMBER($C728),$C728&gt;=RelDebut,$C728&lt;=RelFin),COUNTIFS($E$9:$E728,RelConducteur,$J$9:$J728,"Professionnel",$C$9:$C728,"&gt;="&amp;RelDebut,$C$9:$C728,"&lt;="&amp;RelFin),"")</f>
        <v/>
      </c>
    </row>
    <row r="729" spans="2:18" ht="18" customHeight="1" x14ac:dyDescent="0.25">
      <c r="B729" s="48" t="str">
        <f>IF(C729="","",COUNT($C$9:C729))</f>
        <v/>
      </c>
      <c r="C729" s="49"/>
      <c r="D729" s="50"/>
      <c r="E729" s="51"/>
      <c r="F729" s="52" t="str">
        <f t="shared" si="44"/>
        <v/>
      </c>
      <c r="G729" s="51"/>
      <c r="H729" s="51"/>
      <c r="I729" s="51"/>
      <c r="J729" s="51"/>
      <c r="K729" s="53"/>
      <c r="L729" s="53"/>
      <c r="M729" s="54" t="str">
        <f t="shared" si="45"/>
        <v/>
      </c>
      <c r="N729" s="55" t="str">
        <f t="shared" si="46"/>
        <v/>
      </c>
      <c r="O729" s="56" t="str">
        <f t="shared" si="47"/>
        <v/>
      </c>
      <c r="P729" s="51"/>
      <c r="R729" s="57" t="str">
        <f>IF(AND($E729=RelConducteur,$J729="Professionnel",ISNUMBER($C729),$C729&gt;=RelDebut,$C729&lt;=RelFin),COUNTIFS($E$9:$E729,RelConducteur,$J$9:$J729,"Professionnel",$C$9:$C729,"&gt;="&amp;RelDebut,$C$9:$C729,"&lt;="&amp;RelFin),"")</f>
        <v/>
      </c>
    </row>
    <row r="730" spans="2:18" ht="18" customHeight="1" x14ac:dyDescent="0.25">
      <c r="B730" s="48" t="str">
        <f>IF(C730="","",COUNT($C$9:C730))</f>
        <v/>
      </c>
      <c r="C730" s="49"/>
      <c r="D730" s="50"/>
      <c r="E730" s="51"/>
      <c r="F730" s="52" t="str">
        <f t="shared" si="44"/>
        <v/>
      </c>
      <c r="G730" s="51"/>
      <c r="H730" s="51"/>
      <c r="I730" s="51"/>
      <c r="J730" s="51"/>
      <c r="K730" s="53"/>
      <c r="L730" s="53"/>
      <c r="M730" s="54" t="str">
        <f t="shared" si="45"/>
        <v/>
      </c>
      <c r="N730" s="55" t="str">
        <f t="shared" si="46"/>
        <v/>
      </c>
      <c r="O730" s="56" t="str">
        <f t="shared" si="47"/>
        <v/>
      </c>
      <c r="P730" s="51"/>
      <c r="R730" s="57" t="str">
        <f>IF(AND($E730=RelConducteur,$J730="Professionnel",ISNUMBER($C730),$C730&gt;=RelDebut,$C730&lt;=RelFin),COUNTIFS($E$9:$E730,RelConducteur,$J$9:$J730,"Professionnel",$C$9:$C730,"&gt;="&amp;RelDebut,$C$9:$C730,"&lt;="&amp;RelFin),"")</f>
        <v/>
      </c>
    </row>
    <row r="731" spans="2:18" ht="18" customHeight="1" x14ac:dyDescent="0.25">
      <c r="B731" s="48" t="str">
        <f>IF(C731="","",COUNT($C$9:C731))</f>
        <v/>
      </c>
      <c r="C731" s="49"/>
      <c r="D731" s="50"/>
      <c r="E731" s="51"/>
      <c r="F731" s="52" t="str">
        <f t="shared" si="44"/>
        <v/>
      </c>
      <c r="G731" s="51"/>
      <c r="H731" s="51"/>
      <c r="I731" s="51"/>
      <c r="J731" s="51"/>
      <c r="K731" s="53"/>
      <c r="L731" s="53"/>
      <c r="M731" s="54" t="str">
        <f t="shared" si="45"/>
        <v/>
      </c>
      <c r="N731" s="55" t="str">
        <f t="shared" si="46"/>
        <v/>
      </c>
      <c r="O731" s="56" t="str">
        <f t="shared" si="47"/>
        <v/>
      </c>
      <c r="P731" s="51"/>
      <c r="R731" s="57" t="str">
        <f>IF(AND($E731=RelConducteur,$J731="Professionnel",ISNUMBER($C731),$C731&gt;=RelDebut,$C731&lt;=RelFin),COUNTIFS($E$9:$E731,RelConducteur,$J$9:$J731,"Professionnel",$C$9:$C731,"&gt;="&amp;RelDebut,$C$9:$C731,"&lt;="&amp;RelFin),"")</f>
        <v/>
      </c>
    </row>
    <row r="732" spans="2:18" ht="18" customHeight="1" x14ac:dyDescent="0.25">
      <c r="B732" s="48" t="str">
        <f>IF(C732="","",COUNT($C$9:C732))</f>
        <v/>
      </c>
      <c r="C732" s="49"/>
      <c r="D732" s="50"/>
      <c r="E732" s="51"/>
      <c r="F732" s="52" t="str">
        <f t="shared" si="44"/>
        <v/>
      </c>
      <c r="G732" s="51"/>
      <c r="H732" s="51"/>
      <c r="I732" s="51"/>
      <c r="J732" s="51"/>
      <c r="K732" s="53"/>
      <c r="L732" s="53"/>
      <c r="M732" s="54" t="str">
        <f t="shared" si="45"/>
        <v/>
      </c>
      <c r="N732" s="55" t="str">
        <f t="shared" si="46"/>
        <v/>
      </c>
      <c r="O732" s="56" t="str">
        <f t="shared" si="47"/>
        <v/>
      </c>
      <c r="P732" s="51"/>
      <c r="R732" s="57" t="str">
        <f>IF(AND($E732=RelConducteur,$J732="Professionnel",ISNUMBER($C732),$C732&gt;=RelDebut,$C732&lt;=RelFin),COUNTIFS($E$9:$E732,RelConducteur,$J$9:$J732,"Professionnel",$C$9:$C732,"&gt;="&amp;RelDebut,$C$9:$C732,"&lt;="&amp;RelFin),"")</f>
        <v/>
      </c>
    </row>
    <row r="733" spans="2:18" ht="18" customHeight="1" x14ac:dyDescent="0.25">
      <c r="B733" s="48" t="str">
        <f>IF(C733="","",COUNT($C$9:C733))</f>
        <v/>
      </c>
      <c r="C733" s="49"/>
      <c r="D733" s="50"/>
      <c r="E733" s="51"/>
      <c r="F733" s="52" t="str">
        <f t="shared" si="44"/>
        <v/>
      </c>
      <c r="G733" s="51"/>
      <c r="H733" s="51"/>
      <c r="I733" s="51"/>
      <c r="J733" s="51"/>
      <c r="K733" s="53"/>
      <c r="L733" s="53"/>
      <c r="M733" s="54" t="str">
        <f t="shared" si="45"/>
        <v/>
      </c>
      <c r="N733" s="55" t="str">
        <f t="shared" si="46"/>
        <v/>
      </c>
      <c r="O733" s="56" t="str">
        <f t="shared" si="47"/>
        <v/>
      </c>
      <c r="P733" s="51"/>
      <c r="R733" s="57" t="str">
        <f>IF(AND($E733=RelConducteur,$J733="Professionnel",ISNUMBER($C733),$C733&gt;=RelDebut,$C733&lt;=RelFin),COUNTIFS($E$9:$E733,RelConducteur,$J$9:$J733,"Professionnel",$C$9:$C733,"&gt;="&amp;RelDebut,$C$9:$C733,"&lt;="&amp;RelFin),"")</f>
        <v/>
      </c>
    </row>
    <row r="734" spans="2:18" ht="18" customHeight="1" x14ac:dyDescent="0.25">
      <c r="B734" s="48" t="str">
        <f>IF(C734="","",COUNT($C$9:C734))</f>
        <v/>
      </c>
      <c r="C734" s="49"/>
      <c r="D734" s="50"/>
      <c r="E734" s="51"/>
      <c r="F734" s="52" t="str">
        <f t="shared" si="44"/>
        <v/>
      </c>
      <c r="G734" s="51"/>
      <c r="H734" s="51"/>
      <c r="I734" s="51"/>
      <c r="J734" s="51"/>
      <c r="K734" s="53"/>
      <c r="L734" s="53"/>
      <c r="M734" s="54" t="str">
        <f t="shared" si="45"/>
        <v/>
      </c>
      <c r="N734" s="55" t="str">
        <f t="shared" si="46"/>
        <v/>
      </c>
      <c r="O734" s="56" t="str">
        <f t="shared" si="47"/>
        <v/>
      </c>
      <c r="P734" s="51"/>
      <c r="R734" s="57" t="str">
        <f>IF(AND($E734=RelConducteur,$J734="Professionnel",ISNUMBER($C734),$C734&gt;=RelDebut,$C734&lt;=RelFin),COUNTIFS($E$9:$E734,RelConducteur,$J$9:$J734,"Professionnel",$C$9:$C734,"&gt;="&amp;RelDebut,$C$9:$C734,"&lt;="&amp;RelFin),"")</f>
        <v/>
      </c>
    </row>
    <row r="735" spans="2:18" ht="18" customHeight="1" x14ac:dyDescent="0.25">
      <c r="B735" s="48" t="str">
        <f>IF(C735="","",COUNT($C$9:C735))</f>
        <v/>
      </c>
      <c r="C735" s="49"/>
      <c r="D735" s="50"/>
      <c r="E735" s="51"/>
      <c r="F735" s="52" t="str">
        <f t="shared" si="44"/>
        <v/>
      </c>
      <c r="G735" s="51"/>
      <c r="H735" s="51"/>
      <c r="I735" s="51"/>
      <c r="J735" s="51"/>
      <c r="K735" s="53"/>
      <c r="L735" s="53"/>
      <c r="M735" s="54" t="str">
        <f t="shared" si="45"/>
        <v/>
      </c>
      <c r="N735" s="55" t="str">
        <f t="shared" si="46"/>
        <v/>
      </c>
      <c r="O735" s="56" t="str">
        <f t="shared" si="47"/>
        <v/>
      </c>
      <c r="P735" s="51"/>
      <c r="R735" s="57" t="str">
        <f>IF(AND($E735=RelConducteur,$J735="Professionnel",ISNUMBER($C735),$C735&gt;=RelDebut,$C735&lt;=RelFin),COUNTIFS($E$9:$E735,RelConducteur,$J$9:$J735,"Professionnel",$C$9:$C735,"&gt;="&amp;RelDebut,$C$9:$C735,"&lt;="&amp;RelFin),"")</f>
        <v/>
      </c>
    </row>
    <row r="736" spans="2:18" ht="18" customHeight="1" x14ac:dyDescent="0.25">
      <c r="B736" s="48" t="str">
        <f>IF(C736="","",COUNT($C$9:C736))</f>
        <v/>
      </c>
      <c r="C736" s="49"/>
      <c r="D736" s="50"/>
      <c r="E736" s="51"/>
      <c r="F736" s="52" t="str">
        <f t="shared" si="44"/>
        <v/>
      </c>
      <c r="G736" s="51"/>
      <c r="H736" s="51"/>
      <c r="I736" s="51"/>
      <c r="J736" s="51"/>
      <c r="K736" s="53"/>
      <c r="L736" s="53"/>
      <c r="M736" s="54" t="str">
        <f t="shared" si="45"/>
        <v/>
      </c>
      <c r="N736" s="55" t="str">
        <f t="shared" si="46"/>
        <v/>
      </c>
      <c r="O736" s="56" t="str">
        <f t="shared" si="47"/>
        <v/>
      </c>
      <c r="P736" s="51"/>
      <c r="R736" s="57" t="str">
        <f>IF(AND($E736=RelConducteur,$J736="Professionnel",ISNUMBER($C736),$C736&gt;=RelDebut,$C736&lt;=RelFin),COUNTIFS($E$9:$E736,RelConducteur,$J$9:$J736,"Professionnel",$C$9:$C736,"&gt;="&amp;RelDebut,$C$9:$C736,"&lt;="&amp;RelFin),"")</f>
        <v/>
      </c>
    </row>
    <row r="737" spans="2:18" ht="18" customHeight="1" x14ac:dyDescent="0.25">
      <c r="B737" s="48" t="str">
        <f>IF(C737="","",COUNT($C$9:C737))</f>
        <v/>
      </c>
      <c r="C737" s="49"/>
      <c r="D737" s="50"/>
      <c r="E737" s="51"/>
      <c r="F737" s="52" t="str">
        <f t="shared" si="44"/>
        <v/>
      </c>
      <c r="G737" s="51"/>
      <c r="H737" s="51"/>
      <c r="I737" s="51"/>
      <c r="J737" s="51"/>
      <c r="K737" s="53"/>
      <c r="L737" s="53"/>
      <c r="M737" s="54" t="str">
        <f t="shared" si="45"/>
        <v/>
      </c>
      <c r="N737" s="55" t="str">
        <f t="shared" si="46"/>
        <v/>
      </c>
      <c r="O737" s="56" t="str">
        <f t="shared" si="47"/>
        <v/>
      </c>
      <c r="P737" s="51"/>
      <c r="R737" s="57" t="str">
        <f>IF(AND($E737=RelConducteur,$J737="Professionnel",ISNUMBER($C737),$C737&gt;=RelDebut,$C737&lt;=RelFin),COUNTIFS($E$9:$E737,RelConducteur,$J$9:$J737,"Professionnel",$C$9:$C737,"&gt;="&amp;RelDebut,$C$9:$C737,"&lt;="&amp;RelFin),"")</f>
        <v/>
      </c>
    </row>
    <row r="738" spans="2:18" ht="18" customHeight="1" x14ac:dyDescent="0.25">
      <c r="B738" s="48" t="str">
        <f>IF(C738="","",COUNT($C$9:C738))</f>
        <v/>
      </c>
      <c r="C738" s="49"/>
      <c r="D738" s="50"/>
      <c r="E738" s="51"/>
      <c r="F738" s="52" t="str">
        <f t="shared" si="44"/>
        <v/>
      </c>
      <c r="G738" s="51"/>
      <c r="H738" s="51"/>
      <c r="I738" s="51"/>
      <c r="J738" s="51"/>
      <c r="K738" s="53"/>
      <c r="L738" s="53"/>
      <c r="M738" s="54" t="str">
        <f t="shared" si="45"/>
        <v/>
      </c>
      <c r="N738" s="55" t="str">
        <f t="shared" si="46"/>
        <v/>
      </c>
      <c r="O738" s="56" t="str">
        <f t="shared" si="47"/>
        <v/>
      </c>
      <c r="P738" s="51"/>
      <c r="R738" s="57" t="str">
        <f>IF(AND($E738=RelConducteur,$J738="Professionnel",ISNUMBER($C738),$C738&gt;=RelDebut,$C738&lt;=RelFin),COUNTIFS($E$9:$E738,RelConducteur,$J$9:$J738,"Professionnel",$C$9:$C738,"&gt;="&amp;RelDebut,$C$9:$C738,"&lt;="&amp;RelFin),"")</f>
        <v/>
      </c>
    </row>
    <row r="739" spans="2:18" ht="18" customHeight="1" x14ac:dyDescent="0.25">
      <c r="B739" s="48" t="str">
        <f>IF(C739="","",COUNT($C$9:C739))</f>
        <v/>
      </c>
      <c r="C739" s="49"/>
      <c r="D739" s="50"/>
      <c r="E739" s="51"/>
      <c r="F739" s="52" t="str">
        <f t="shared" si="44"/>
        <v/>
      </c>
      <c r="G739" s="51"/>
      <c r="H739" s="51"/>
      <c r="I739" s="51"/>
      <c r="J739" s="51"/>
      <c r="K739" s="53"/>
      <c r="L739" s="53"/>
      <c r="M739" s="54" t="str">
        <f t="shared" si="45"/>
        <v/>
      </c>
      <c r="N739" s="55" t="str">
        <f t="shared" si="46"/>
        <v/>
      </c>
      <c r="O739" s="56" t="str">
        <f t="shared" si="47"/>
        <v/>
      </c>
      <c r="P739" s="51"/>
      <c r="R739" s="57" t="str">
        <f>IF(AND($E739=RelConducteur,$J739="Professionnel",ISNUMBER($C739),$C739&gt;=RelDebut,$C739&lt;=RelFin),COUNTIFS($E$9:$E739,RelConducteur,$J$9:$J739,"Professionnel",$C$9:$C739,"&gt;="&amp;RelDebut,$C$9:$C739,"&lt;="&amp;RelFin),"")</f>
        <v/>
      </c>
    </row>
    <row r="740" spans="2:18" ht="18" customHeight="1" x14ac:dyDescent="0.25">
      <c r="B740" s="48" t="str">
        <f>IF(C740="","",COUNT($C$9:C740))</f>
        <v/>
      </c>
      <c r="C740" s="49"/>
      <c r="D740" s="50"/>
      <c r="E740" s="51"/>
      <c r="F740" s="52" t="str">
        <f t="shared" si="44"/>
        <v/>
      </c>
      <c r="G740" s="51"/>
      <c r="H740" s="51"/>
      <c r="I740" s="51"/>
      <c r="J740" s="51"/>
      <c r="K740" s="53"/>
      <c r="L740" s="53"/>
      <c r="M740" s="54" t="str">
        <f t="shared" si="45"/>
        <v/>
      </c>
      <c r="N740" s="55" t="str">
        <f t="shared" si="46"/>
        <v/>
      </c>
      <c r="O740" s="56" t="str">
        <f t="shared" si="47"/>
        <v/>
      </c>
      <c r="P740" s="51"/>
      <c r="R740" s="57" t="str">
        <f>IF(AND($E740=RelConducteur,$J740="Professionnel",ISNUMBER($C740),$C740&gt;=RelDebut,$C740&lt;=RelFin),COUNTIFS($E$9:$E740,RelConducteur,$J$9:$J740,"Professionnel",$C$9:$C740,"&gt;="&amp;RelDebut,$C$9:$C740,"&lt;="&amp;RelFin),"")</f>
        <v/>
      </c>
    </row>
    <row r="741" spans="2:18" ht="18" customHeight="1" x14ac:dyDescent="0.25">
      <c r="B741" s="48" t="str">
        <f>IF(C741="","",COUNT($C$9:C741))</f>
        <v/>
      </c>
      <c r="C741" s="49"/>
      <c r="D741" s="50"/>
      <c r="E741" s="51"/>
      <c r="F741" s="52" t="str">
        <f t="shared" si="44"/>
        <v/>
      </c>
      <c r="G741" s="51"/>
      <c r="H741" s="51"/>
      <c r="I741" s="51"/>
      <c r="J741" s="51"/>
      <c r="K741" s="53"/>
      <c r="L741" s="53"/>
      <c r="M741" s="54" t="str">
        <f t="shared" si="45"/>
        <v/>
      </c>
      <c r="N741" s="55" t="str">
        <f t="shared" si="46"/>
        <v/>
      </c>
      <c r="O741" s="56" t="str">
        <f t="shared" si="47"/>
        <v/>
      </c>
      <c r="P741" s="51"/>
      <c r="R741" s="57" t="str">
        <f>IF(AND($E741=RelConducteur,$J741="Professionnel",ISNUMBER($C741),$C741&gt;=RelDebut,$C741&lt;=RelFin),COUNTIFS($E$9:$E741,RelConducteur,$J$9:$J741,"Professionnel",$C$9:$C741,"&gt;="&amp;RelDebut,$C$9:$C741,"&lt;="&amp;RelFin),"")</f>
        <v/>
      </c>
    </row>
    <row r="742" spans="2:18" ht="18" customHeight="1" x14ac:dyDescent="0.25">
      <c r="B742" s="48" t="str">
        <f>IF(C742="","",COUNT($C$9:C742))</f>
        <v/>
      </c>
      <c r="C742" s="49"/>
      <c r="D742" s="50"/>
      <c r="E742" s="51"/>
      <c r="F742" s="52" t="str">
        <f t="shared" si="44"/>
        <v/>
      </c>
      <c r="G742" s="51"/>
      <c r="H742" s="51"/>
      <c r="I742" s="51"/>
      <c r="J742" s="51"/>
      <c r="K742" s="53"/>
      <c r="L742" s="53"/>
      <c r="M742" s="54" t="str">
        <f t="shared" si="45"/>
        <v/>
      </c>
      <c r="N742" s="55" t="str">
        <f t="shared" si="46"/>
        <v/>
      </c>
      <c r="O742" s="56" t="str">
        <f t="shared" si="47"/>
        <v/>
      </c>
      <c r="P742" s="51"/>
      <c r="R742" s="57" t="str">
        <f>IF(AND($E742=RelConducteur,$J742="Professionnel",ISNUMBER($C742),$C742&gt;=RelDebut,$C742&lt;=RelFin),COUNTIFS($E$9:$E742,RelConducteur,$J$9:$J742,"Professionnel",$C$9:$C742,"&gt;="&amp;RelDebut,$C$9:$C742,"&lt;="&amp;RelFin),"")</f>
        <v/>
      </c>
    </row>
    <row r="743" spans="2:18" ht="18" customHeight="1" x14ac:dyDescent="0.25">
      <c r="B743" s="48" t="str">
        <f>IF(C743="","",COUNT($C$9:C743))</f>
        <v/>
      </c>
      <c r="C743" s="49"/>
      <c r="D743" s="50"/>
      <c r="E743" s="51"/>
      <c r="F743" s="52" t="str">
        <f t="shared" si="44"/>
        <v/>
      </c>
      <c r="G743" s="51"/>
      <c r="H743" s="51"/>
      <c r="I743" s="51"/>
      <c r="J743" s="51"/>
      <c r="K743" s="53"/>
      <c r="L743" s="53"/>
      <c r="M743" s="54" t="str">
        <f t="shared" si="45"/>
        <v/>
      </c>
      <c r="N743" s="55" t="str">
        <f t="shared" si="46"/>
        <v/>
      </c>
      <c r="O743" s="56" t="str">
        <f t="shared" si="47"/>
        <v/>
      </c>
      <c r="P743" s="51"/>
      <c r="R743" s="57" t="str">
        <f>IF(AND($E743=RelConducteur,$J743="Professionnel",ISNUMBER($C743),$C743&gt;=RelDebut,$C743&lt;=RelFin),COUNTIFS($E$9:$E743,RelConducteur,$J$9:$J743,"Professionnel",$C$9:$C743,"&gt;="&amp;RelDebut,$C$9:$C743,"&lt;="&amp;RelFin),"")</f>
        <v/>
      </c>
    </row>
    <row r="744" spans="2:18" ht="18" customHeight="1" x14ac:dyDescent="0.25">
      <c r="B744" s="48" t="str">
        <f>IF(C744="","",COUNT($C$9:C744))</f>
        <v/>
      </c>
      <c r="C744" s="49"/>
      <c r="D744" s="50"/>
      <c r="E744" s="51"/>
      <c r="F744" s="52" t="str">
        <f t="shared" si="44"/>
        <v/>
      </c>
      <c r="G744" s="51"/>
      <c r="H744" s="51"/>
      <c r="I744" s="51"/>
      <c r="J744" s="51"/>
      <c r="K744" s="53"/>
      <c r="L744" s="53"/>
      <c r="M744" s="54" t="str">
        <f t="shared" si="45"/>
        <v/>
      </c>
      <c r="N744" s="55" t="str">
        <f t="shared" si="46"/>
        <v/>
      </c>
      <c r="O744" s="56" t="str">
        <f t="shared" si="47"/>
        <v/>
      </c>
      <c r="P744" s="51"/>
      <c r="R744" s="57" t="str">
        <f>IF(AND($E744=RelConducteur,$J744="Professionnel",ISNUMBER($C744),$C744&gt;=RelDebut,$C744&lt;=RelFin),COUNTIFS($E$9:$E744,RelConducteur,$J$9:$J744,"Professionnel",$C$9:$C744,"&gt;="&amp;RelDebut,$C$9:$C744,"&lt;="&amp;RelFin),"")</f>
        <v/>
      </c>
    </row>
    <row r="745" spans="2:18" ht="18" customHeight="1" x14ac:dyDescent="0.25">
      <c r="B745" s="48" t="str">
        <f>IF(C745="","",COUNT($C$9:C745))</f>
        <v/>
      </c>
      <c r="C745" s="49"/>
      <c r="D745" s="50"/>
      <c r="E745" s="51"/>
      <c r="F745" s="52" t="str">
        <f t="shared" si="44"/>
        <v/>
      </c>
      <c r="G745" s="51"/>
      <c r="H745" s="51"/>
      <c r="I745" s="51"/>
      <c r="J745" s="51"/>
      <c r="K745" s="53"/>
      <c r="L745" s="53"/>
      <c r="M745" s="54" t="str">
        <f t="shared" si="45"/>
        <v/>
      </c>
      <c r="N745" s="55" t="str">
        <f t="shared" si="46"/>
        <v/>
      </c>
      <c r="O745" s="56" t="str">
        <f t="shared" si="47"/>
        <v/>
      </c>
      <c r="P745" s="51"/>
      <c r="R745" s="57" t="str">
        <f>IF(AND($E745=RelConducteur,$J745="Professionnel",ISNUMBER($C745),$C745&gt;=RelDebut,$C745&lt;=RelFin),COUNTIFS($E$9:$E745,RelConducteur,$J$9:$J745,"Professionnel",$C$9:$C745,"&gt;="&amp;RelDebut,$C$9:$C745,"&lt;="&amp;RelFin),"")</f>
        <v/>
      </c>
    </row>
    <row r="746" spans="2:18" ht="18" customHeight="1" x14ac:dyDescent="0.25">
      <c r="B746" s="48" t="str">
        <f>IF(C746="","",COUNT($C$9:C746))</f>
        <v/>
      </c>
      <c r="C746" s="49"/>
      <c r="D746" s="50"/>
      <c r="E746" s="51"/>
      <c r="F746" s="52" t="str">
        <f t="shared" si="44"/>
        <v/>
      </c>
      <c r="G746" s="51"/>
      <c r="H746" s="51"/>
      <c r="I746" s="51"/>
      <c r="J746" s="51"/>
      <c r="K746" s="53"/>
      <c r="L746" s="53"/>
      <c r="M746" s="54" t="str">
        <f t="shared" si="45"/>
        <v/>
      </c>
      <c r="N746" s="55" t="str">
        <f t="shared" si="46"/>
        <v/>
      </c>
      <c r="O746" s="56" t="str">
        <f t="shared" si="47"/>
        <v/>
      </c>
      <c r="P746" s="51"/>
      <c r="R746" s="57" t="str">
        <f>IF(AND($E746=RelConducteur,$J746="Professionnel",ISNUMBER($C746),$C746&gt;=RelDebut,$C746&lt;=RelFin),COUNTIFS($E$9:$E746,RelConducteur,$J$9:$J746,"Professionnel",$C$9:$C746,"&gt;="&amp;RelDebut,$C$9:$C746,"&lt;="&amp;RelFin),"")</f>
        <v/>
      </c>
    </row>
    <row r="747" spans="2:18" ht="18" customHeight="1" x14ac:dyDescent="0.25">
      <c r="B747" s="48" t="str">
        <f>IF(C747="","",COUNT($C$9:C747))</f>
        <v/>
      </c>
      <c r="C747" s="49"/>
      <c r="D747" s="50"/>
      <c r="E747" s="51"/>
      <c r="F747" s="52" t="str">
        <f t="shared" si="44"/>
        <v/>
      </c>
      <c r="G747" s="51"/>
      <c r="H747" s="51"/>
      <c r="I747" s="51"/>
      <c r="J747" s="51"/>
      <c r="K747" s="53"/>
      <c r="L747" s="53"/>
      <c r="M747" s="54" t="str">
        <f t="shared" si="45"/>
        <v/>
      </c>
      <c r="N747" s="55" t="str">
        <f t="shared" si="46"/>
        <v/>
      </c>
      <c r="O747" s="56" t="str">
        <f t="shared" si="47"/>
        <v/>
      </c>
      <c r="P747" s="51"/>
      <c r="R747" s="57" t="str">
        <f>IF(AND($E747=RelConducteur,$J747="Professionnel",ISNUMBER($C747),$C747&gt;=RelDebut,$C747&lt;=RelFin),COUNTIFS($E$9:$E747,RelConducteur,$J$9:$J747,"Professionnel",$C$9:$C747,"&gt;="&amp;RelDebut,$C$9:$C747,"&lt;="&amp;RelFin),"")</f>
        <v/>
      </c>
    </row>
    <row r="748" spans="2:18" ht="18" customHeight="1" x14ac:dyDescent="0.25">
      <c r="B748" s="48" t="str">
        <f>IF(C748="","",COUNT($C$9:C748))</f>
        <v/>
      </c>
      <c r="C748" s="49"/>
      <c r="D748" s="50"/>
      <c r="E748" s="51"/>
      <c r="F748" s="52" t="str">
        <f t="shared" si="44"/>
        <v/>
      </c>
      <c r="G748" s="51"/>
      <c r="H748" s="51"/>
      <c r="I748" s="51"/>
      <c r="J748" s="51"/>
      <c r="K748" s="53"/>
      <c r="L748" s="53"/>
      <c r="M748" s="54" t="str">
        <f t="shared" si="45"/>
        <v/>
      </c>
      <c r="N748" s="55" t="str">
        <f t="shared" si="46"/>
        <v/>
      </c>
      <c r="O748" s="56" t="str">
        <f t="shared" si="47"/>
        <v/>
      </c>
      <c r="P748" s="51"/>
      <c r="R748" s="57" t="str">
        <f>IF(AND($E748=RelConducteur,$J748="Professionnel",ISNUMBER($C748),$C748&gt;=RelDebut,$C748&lt;=RelFin),COUNTIFS($E$9:$E748,RelConducteur,$J$9:$J748,"Professionnel",$C$9:$C748,"&gt;="&amp;RelDebut,$C$9:$C748,"&lt;="&amp;RelFin),"")</f>
        <v/>
      </c>
    </row>
    <row r="749" spans="2:18" ht="18" customHeight="1" x14ac:dyDescent="0.25">
      <c r="B749" s="48" t="str">
        <f>IF(C749="","",COUNT($C$9:C749))</f>
        <v/>
      </c>
      <c r="C749" s="49"/>
      <c r="D749" s="50"/>
      <c r="E749" s="51"/>
      <c r="F749" s="52" t="str">
        <f t="shared" si="44"/>
        <v/>
      </c>
      <c r="G749" s="51"/>
      <c r="H749" s="51"/>
      <c r="I749" s="51"/>
      <c r="J749" s="51"/>
      <c r="K749" s="53"/>
      <c r="L749" s="53"/>
      <c r="M749" s="54" t="str">
        <f t="shared" si="45"/>
        <v/>
      </c>
      <c r="N749" s="55" t="str">
        <f t="shared" si="46"/>
        <v/>
      </c>
      <c r="O749" s="56" t="str">
        <f t="shared" si="47"/>
        <v/>
      </c>
      <c r="P749" s="51"/>
      <c r="R749" s="57" t="str">
        <f>IF(AND($E749=RelConducteur,$J749="Professionnel",ISNUMBER($C749),$C749&gt;=RelDebut,$C749&lt;=RelFin),COUNTIFS($E$9:$E749,RelConducteur,$J$9:$J749,"Professionnel",$C$9:$C749,"&gt;="&amp;RelDebut,$C$9:$C749,"&lt;="&amp;RelFin),"")</f>
        <v/>
      </c>
    </row>
    <row r="750" spans="2:18" ht="18" customHeight="1" x14ac:dyDescent="0.25">
      <c r="B750" s="48" t="str">
        <f>IF(C750="","",COUNT($C$9:C750))</f>
        <v/>
      </c>
      <c r="C750" s="49"/>
      <c r="D750" s="50"/>
      <c r="E750" s="51"/>
      <c r="F750" s="52" t="str">
        <f t="shared" si="44"/>
        <v/>
      </c>
      <c r="G750" s="51"/>
      <c r="H750" s="51"/>
      <c r="I750" s="51"/>
      <c r="J750" s="51"/>
      <c r="K750" s="53"/>
      <c r="L750" s="53"/>
      <c r="M750" s="54" t="str">
        <f t="shared" si="45"/>
        <v/>
      </c>
      <c r="N750" s="55" t="str">
        <f t="shared" si="46"/>
        <v/>
      </c>
      <c r="O750" s="56" t="str">
        <f t="shared" si="47"/>
        <v/>
      </c>
      <c r="P750" s="51"/>
      <c r="R750" s="57" t="str">
        <f>IF(AND($E750=RelConducteur,$J750="Professionnel",ISNUMBER($C750),$C750&gt;=RelDebut,$C750&lt;=RelFin),COUNTIFS($E$9:$E750,RelConducteur,$J$9:$J750,"Professionnel",$C$9:$C750,"&gt;="&amp;RelDebut,$C$9:$C750,"&lt;="&amp;RelFin),"")</f>
        <v/>
      </c>
    </row>
    <row r="751" spans="2:18" ht="18" customHeight="1" x14ac:dyDescent="0.25">
      <c r="B751" s="48" t="str">
        <f>IF(C751="","",COUNT($C$9:C751))</f>
        <v/>
      </c>
      <c r="C751" s="49"/>
      <c r="D751" s="50"/>
      <c r="E751" s="51"/>
      <c r="F751" s="52" t="str">
        <f t="shared" si="44"/>
        <v/>
      </c>
      <c r="G751" s="51"/>
      <c r="H751" s="51"/>
      <c r="I751" s="51"/>
      <c r="J751" s="51"/>
      <c r="K751" s="53"/>
      <c r="L751" s="53"/>
      <c r="M751" s="54" t="str">
        <f t="shared" si="45"/>
        <v/>
      </c>
      <c r="N751" s="55" t="str">
        <f t="shared" si="46"/>
        <v/>
      </c>
      <c r="O751" s="56" t="str">
        <f t="shared" si="47"/>
        <v/>
      </c>
      <c r="P751" s="51"/>
      <c r="R751" s="57" t="str">
        <f>IF(AND($E751=RelConducteur,$J751="Professionnel",ISNUMBER($C751),$C751&gt;=RelDebut,$C751&lt;=RelFin),COUNTIFS($E$9:$E751,RelConducteur,$J$9:$J751,"Professionnel",$C$9:$C751,"&gt;="&amp;RelDebut,$C$9:$C751,"&lt;="&amp;RelFin),"")</f>
        <v/>
      </c>
    </row>
    <row r="752" spans="2:18" ht="18" customHeight="1" x14ac:dyDescent="0.25">
      <c r="B752" s="48" t="str">
        <f>IF(C752="","",COUNT($C$9:C752))</f>
        <v/>
      </c>
      <c r="C752" s="49"/>
      <c r="D752" s="50"/>
      <c r="E752" s="51"/>
      <c r="F752" s="52" t="str">
        <f t="shared" si="44"/>
        <v/>
      </c>
      <c r="G752" s="51"/>
      <c r="H752" s="51"/>
      <c r="I752" s="51"/>
      <c r="J752" s="51"/>
      <c r="K752" s="53"/>
      <c r="L752" s="53"/>
      <c r="M752" s="54" t="str">
        <f t="shared" si="45"/>
        <v/>
      </c>
      <c r="N752" s="55" t="str">
        <f t="shared" si="46"/>
        <v/>
      </c>
      <c r="O752" s="56" t="str">
        <f t="shared" si="47"/>
        <v/>
      </c>
      <c r="P752" s="51"/>
      <c r="R752" s="57" t="str">
        <f>IF(AND($E752=RelConducteur,$J752="Professionnel",ISNUMBER($C752),$C752&gt;=RelDebut,$C752&lt;=RelFin),COUNTIFS($E$9:$E752,RelConducteur,$J$9:$J752,"Professionnel",$C$9:$C752,"&gt;="&amp;RelDebut,$C$9:$C752,"&lt;="&amp;RelFin),"")</f>
        <v/>
      </c>
    </row>
    <row r="753" spans="2:18" ht="18" customHeight="1" x14ac:dyDescent="0.25">
      <c r="B753" s="48" t="str">
        <f>IF(C753="","",COUNT($C$9:C753))</f>
        <v/>
      </c>
      <c r="C753" s="49"/>
      <c r="D753" s="50"/>
      <c r="E753" s="51"/>
      <c r="F753" s="52" t="str">
        <f t="shared" si="44"/>
        <v/>
      </c>
      <c r="G753" s="51"/>
      <c r="H753" s="51"/>
      <c r="I753" s="51"/>
      <c r="J753" s="51"/>
      <c r="K753" s="53"/>
      <c r="L753" s="53"/>
      <c r="M753" s="54" t="str">
        <f t="shared" si="45"/>
        <v/>
      </c>
      <c r="N753" s="55" t="str">
        <f t="shared" si="46"/>
        <v/>
      </c>
      <c r="O753" s="56" t="str">
        <f t="shared" si="47"/>
        <v/>
      </c>
      <c r="P753" s="51"/>
      <c r="R753" s="57" t="str">
        <f>IF(AND($E753=RelConducteur,$J753="Professionnel",ISNUMBER($C753),$C753&gt;=RelDebut,$C753&lt;=RelFin),COUNTIFS($E$9:$E753,RelConducteur,$J$9:$J753,"Professionnel",$C$9:$C753,"&gt;="&amp;RelDebut,$C$9:$C753,"&lt;="&amp;RelFin),"")</f>
        <v/>
      </c>
    </row>
    <row r="754" spans="2:18" ht="18" customHeight="1" x14ac:dyDescent="0.25">
      <c r="B754" s="48" t="str">
        <f>IF(C754="","",COUNT($C$9:C754))</f>
        <v/>
      </c>
      <c r="C754" s="49"/>
      <c r="D754" s="50"/>
      <c r="E754" s="51"/>
      <c r="F754" s="52" t="str">
        <f t="shared" si="44"/>
        <v/>
      </c>
      <c r="G754" s="51"/>
      <c r="H754" s="51"/>
      <c r="I754" s="51"/>
      <c r="J754" s="51"/>
      <c r="K754" s="53"/>
      <c r="L754" s="53"/>
      <c r="M754" s="54" t="str">
        <f t="shared" si="45"/>
        <v/>
      </c>
      <c r="N754" s="55" t="str">
        <f t="shared" si="46"/>
        <v/>
      </c>
      <c r="O754" s="56" t="str">
        <f t="shared" si="47"/>
        <v/>
      </c>
      <c r="P754" s="51"/>
      <c r="R754" s="57" t="str">
        <f>IF(AND($E754=RelConducteur,$J754="Professionnel",ISNUMBER($C754),$C754&gt;=RelDebut,$C754&lt;=RelFin),COUNTIFS($E$9:$E754,RelConducteur,$J$9:$J754,"Professionnel",$C$9:$C754,"&gt;="&amp;RelDebut,$C$9:$C754,"&lt;="&amp;RelFin),"")</f>
        <v/>
      </c>
    </row>
    <row r="755" spans="2:18" ht="18" customHeight="1" x14ac:dyDescent="0.25">
      <c r="B755" s="48" t="str">
        <f>IF(C755="","",COUNT($C$9:C755))</f>
        <v/>
      </c>
      <c r="C755" s="49"/>
      <c r="D755" s="50"/>
      <c r="E755" s="51"/>
      <c r="F755" s="52" t="str">
        <f t="shared" si="44"/>
        <v/>
      </c>
      <c r="G755" s="51"/>
      <c r="H755" s="51"/>
      <c r="I755" s="51"/>
      <c r="J755" s="51"/>
      <c r="K755" s="53"/>
      <c r="L755" s="53"/>
      <c r="M755" s="54" t="str">
        <f t="shared" si="45"/>
        <v/>
      </c>
      <c r="N755" s="55" t="str">
        <f t="shared" si="46"/>
        <v/>
      </c>
      <c r="O755" s="56" t="str">
        <f t="shared" si="47"/>
        <v/>
      </c>
      <c r="P755" s="51"/>
      <c r="R755" s="57" t="str">
        <f>IF(AND($E755=RelConducteur,$J755="Professionnel",ISNUMBER($C755),$C755&gt;=RelDebut,$C755&lt;=RelFin),COUNTIFS($E$9:$E755,RelConducteur,$J$9:$J755,"Professionnel",$C$9:$C755,"&gt;="&amp;RelDebut,$C$9:$C755,"&lt;="&amp;RelFin),"")</f>
        <v/>
      </c>
    </row>
    <row r="756" spans="2:18" ht="18" customHeight="1" x14ac:dyDescent="0.25">
      <c r="B756" s="48" t="str">
        <f>IF(C756="","",COUNT($C$9:C756))</f>
        <v/>
      </c>
      <c r="C756" s="49"/>
      <c r="D756" s="50"/>
      <c r="E756" s="51"/>
      <c r="F756" s="52" t="str">
        <f t="shared" si="44"/>
        <v/>
      </c>
      <c r="G756" s="51"/>
      <c r="H756" s="51"/>
      <c r="I756" s="51"/>
      <c r="J756" s="51"/>
      <c r="K756" s="53"/>
      <c r="L756" s="53"/>
      <c r="M756" s="54" t="str">
        <f t="shared" si="45"/>
        <v/>
      </c>
      <c r="N756" s="55" t="str">
        <f t="shared" si="46"/>
        <v/>
      </c>
      <c r="O756" s="56" t="str">
        <f t="shared" si="47"/>
        <v/>
      </c>
      <c r="P756" s="51"/>
      <c r="R756" s="57" t="str">
        <f>IF(AND($E756=RelConducteur,$J756="Professionnel",ISNUMBER($C756),$C756&gt;=RelDebut,$C756&lt;=RelFin),COUNTIFS($E$9:$E756,RelConducteur,$J$9:$J756,"Professionnel",$C$9:$C756,"&gt;="&amp;RelDebut,$C$9:$C756,"&lt;="&amp;RelFin),"")</f>
        <v/>
      </c>
    </row>
    <row r="757" spans="2:18" ht="18" customHeight="1" x14ac:dyDescent="0.25">
      <c r="B757" s="48" t="str">
        <f>IF(C757="","",COUNT($C$9:C757))</f>
        <v/>
      </c>
      <c r="C757" s="49"/>
      <c r="D757" s="50"/>
      <c r="E757" s="51"/>
      <c r="F757" s="52" t="str">
        <f t="shared" si="44"/>
        <v/>
      </c>
      <c r="G757" s="51"/>
      <c r="H757" s="51"/>
      <c r="I757" s="51"/>
      <c r="J757" s="51"/>
      <c r="K757" s="53"/>
      <c r="L757" s="53"/>
      <c r="M757" s="54" t="str">
        <f t="shared" si="45"/>
        <v/>
      </c>
      <c r="N757" s="55" t="str">
        <f t="shared" si="46"/>
        <v/>
      </c>
      <c r="O757" s="56" t="str">
        <f t="shared" si="47"/>
        <v/>
      </c>
      <c r="P757" s="51"/>
      <c r="R757" s="57" t="str">
        <f>IF(AND($E757=RelConducteur,$J757="Professionnel",ISNUMBER($C757),$C757&gt;=RelDebut,$C757&lt;=RelFin),COUNTIFS($E$9:$E757,RelConducteur,$J$9:$J757,"Professionnel",$C$9:$C757,"&gt;="&amp;RelDebut,$C$9:$C757,"&lt;="&amp;RelFin),"")</f>
        <v/>
      </c>
    </row>
    <row r="758" spans="2:18" ht="18" customHeight="1" x14ac:dyDescent="0.25">
      <c r="B758" s="48" t="str">
        <f>IF(C758="","",COUNT($C$9:C758))</f>
        <v/>
      </c>
      <c r="C758" s="49"/>
      <c r="D758" s="50"/>
      <c r="E758" s="51"/>
      <c r="F758" s="52" t="str">
        <f t="shared" si="44"/>
        <v/>
      </c>
      <c r="G758" s="51"/>
      <c r="H758" s="51"/>
      <c r="I758" s="51"/>
      <c r="J758" s="51"/>
      <c r="K758" s="53"/>
      <c r="L758" s="53"/>
      <c r="M758" s="54" t="str">
        <f t="shared" si="45"/>
        <v/>
      </c>
      <c r="N758" s="55" t="str">
        <f t="shared" si="46"/>
        <v/>
      </c>
      <c r="O758" s="56" t="str">
        <f t="shared" si="47"/>
        <v/>
      </c>
      <c r="P758" s="51"/>
      <c r="R758" s="57" t="str">
        <f>IF(AND($E758=RelConducteur,$J758="Professionnel",ISNUMBER($C758),$C758&gt;=RelDebut,$C758&lt;=RelFin),COUNTIFS($E$9:$E758,RelConducteur,$J$9:$J758,"Professionnel",$C$9:$C758,"&gt;="&amp;RelDebut,$C$9:$C758,"&lt;="&amp;RelFin),"")</f>
        <v/>
      </c>
    </row>
    <row r="759" spans="2:18" ht="18" customHeight="1" x14ac:dyDescent="0.25">
      <c r="B759" s="48" t="str">
        <f>IF(C759="","",COUNT($C$9:C759))</f>
        <v/>
      </c>
      <c r="C759" s="49"/>
      <c r="D759" s="50"/>
      <c r="E759" s="51"/>
      <c r="F759" s="52" t="str">
        <f t="shared" si="44"/>
        <v/>
      </c>
      <c r="G759" s="51"/>
      <c r="H759" s="51"/>
      <c r="I759" s="51"/>
      <c r="J759" s="51"/>
      <c r="K759" s="53"/>
      <c r="L759" s="53"/>
      <c r="M759" s="54" t="str">
        <f t="shared" si="45"/>
        <v/>
      </c>
      <c r="N759" s="55" t="str">
        <f t="shared" si="46"/>
        <v/>
      </c>
      <c r="O759" s="56" t="str">
        <f t="shared" si="47"/>
        <v/>
      </c>
      <c r="P759" s="51"/>
      <c r="R759" s="57" t="str">
        <f>IF(AND($E759=RelConducteur,$J759="Professionnel",ISNUMBER($C759),$C759&gt;=RelDebut,$C759&lt;=RelFin),COUNTIFS($E$9:$E759,RelConducteur,$J$9:$J759,"Professionnel",$C$9:$C759,"&gt;="&amp;RelDebut,$C$9:$C759,"&lt;="&amp;RelFin),"")</f>
        <v/>
      </c>
    </row>
    <row r="760" spans="2:18" ht="18" customHeight="1" x14ac:dyDescent="0.25">
      <c r="B760" s="48" t="str">
        <f>IF(C760="","",COUNT($C$9:C760))</f>
        <v/>
      </c>
      <c r="C760" s="49"/>
      <c r="D760" s="50"/>
      <c r="E760" s="51"/>
      <c r="F760" s="52" t="str">
        <f t="shared" si="44"/>
        <v/>
      </c>
      <c r="G760" s="51"/>
      <c r="H760" s="51"/>
      <c r="I760" s="51"/>
      <c r="J760" s="51"/>
      <c r="K760" s="53"/>
      <c r="L760" s="53"/>
      <c r="M760" s="54" t="str">
        <f t="shared" si="45"/>
        <v/>
      </c>
      <c r="N760" s="55" t="str">
        <f t="shared" si="46"/>
        <v/>
      </c>
      <c r="O760" s="56" t="str">
        <f t="shared" si="47"/>
        <v/>
      </c>
      <c r="P760" s="51"/>
      <c r="R760" s="57" t="str">
        <f>IF(AND($E760=RelConducteur,$J760="Professionnel",ISNUMBER($C760),$C760&gt;=RelDebut,$C760&lt;=RelFin),COUNTIFS($E$9:$E760,RelConducteur,$J$9:$J760,"Professionnel",$C$9:$C760,"&gt;="&amp;RelDebut,$C$9:$C760,"&lt;="&amp;RelFin),"")</f>
        <v/>
      </c>
    </row>
    <row r="761" spans="2:18" ht="18" customHeight="1" x14ac:dyDescent="0.25">
      <c r="B761" s="48" t="str">
        <f>IF(C761="","",COUNT($C$9:C761))</f>
        <v/>
      </c>
      <c r="C761" s="49"/>
      <c r="D761" s="50"/>
      <c r="E761" s="51"/>
      <c r="F761" s="52" t="str">
        <f t="shared" si="44"/>
        <v/>
      </c>
      <c r="G761" s="51"/>
      <c r="H761" s="51"/>
      <c r="I761" s="51"/>
      <c r="J761" s="51"/>
      <c r="K761" s="53"/>
      <c r="L761" s="53"/>
      <c r="M761" s="54" t="str">
        <f t="shared" si="45"/>
        <v/>
      </c>
      <c r="N761" s="55" t="str">
        <f t="shared" si="46"/>
        <v/>
      </c>
      <c r="O761" s="56" t="str">
        <f t="shared" si="47"/>
        <v/>
      </c>
      <c r="P761" s="51"/>
      <c r="R761" s="57" t="str">
        <f>IF(AND($E761=RelConducteur,$J761="Professionnel",ISNUMBER($C761),$C761&gt;=RelDebut,$C761&lt;=RelFin),COUNTIFS($E$9:$E761,RelConducteur,$J$9:$J761,"Professionnel",$C$9:$C761,"&gt;="&amp;RelDebut,$C$9:$C761,"&lt;="&amp;RelFin),"")</f>
        <v/>
      </c>
    </row>
    <row r="762" spans="2:18" ht="18" customHeight="1" x14ac:dyDescent="0.25">
      <c r="B762" s="48" t="str">
        <f>IF(C762="","",COUNT($C$9:C762))</f>
        <v/>
      </c>
      <c r="C762" s="49"/>
      <c r="D762" s="50"/>
      <c r="E762" s="51"/>
      <c r="F762" s="52" t="str">
        <f t="shared" si="44"/>
        <v/>
      </c>
      <c r="G762" s="51"/>
      <c r="H762" s="51"/>
      <c r="I762" s="51"/>
      <c r="J762" s="51"/>
      <c r="K762" s="53"/>
      <c r="L762" s="53"/>
      <c r="M762" s="54" t="str">
        <f t="shared" si="45"/>
        <v/>
      </c>
      <c r="N762" s="55" t="str">
        <f t="shared" si="46"/>
        <v/>
      </c>
      <c r="O762" s="56" t="str">
        <f t="shared" si="47"/>
        <v/>
      </c>
      <c r="P762" s="51"/>
      <c r="R762" s="57" t="str">
        <f>IF(AND($E762=RelConducteur,$J762="Professionnel",ISNUMBER($C762),$C762&gt;=RelDebut,$C762&lt;=RelFin),COUNTIFS($E$9:$E762,RelConducteur,$J$9:$J762,"Professionnel",$C$9:$C762,"&gt;="&amp;RelDebut,$C$9:$C762,"&lt;="&amp;RelFin),"")</f>
        <v/>
      </c>
    </row>
    <row r="763" spans="2:18" ht="18" customHeight="1" x14ac:dyDescent="0.25">
      <c r="B763" s="48" t="str">
        <f>IF(C763="","",COUNT($C$9:C763))</f>
        <v/>
      </c>
      <c r="C763" s="49"/>
      <c r="D763" s="50"/>
      <c r="E763" s="51"/>
      <c r="F763" s="52" t="str">
        <f t="shared" si="44"/>
        <v/>
      </c>
      <c r="G763" s="51"/>
      <c r="H763" s="51"/>
      <c r="I763" s="51"/>
      <c r="J763" s="51"/>
      <c r="K763" s="53"/>
      <c r="L763" s="53"/>
      <c r="M763" s="54" t="str">
        <f t="shared" si="45"/>
        <v/>
      </c>
      <c r="N763" s="55" t="str">
        <f t="shared" si="46"/>
        <v/>
      </c>
      <c r="O763" s="56" t="str">
        <f t="shared" si="47"/>
        <v/>
      </c>
      <c r="P763" s="51"/>
      <c r="R763" s="57" t="str">
        <f>IF(AND($E763=RelConducteur,$J763="Professionnel",ISNUMBER($C763),$C763&gt;=RelDebut,$C763&lt;=RelFin),COUNTIFS($E$9:$E763,RelConducteur,$J$9:$J763,"Professionnel",$C$9:$C763,"&gt;="&amp;RelDebut,$C$9:$C763,"&lt;="&amp;RelFin),"")</f>
        <v/>
      </c>
    </row>
    <row r="764" spans="2:18" ht="18" customHeight="1" x14ac:dyDescent="0.25">
      <c r="B764" s="48" t="str">
        <f>IF(C764="","",COUNT($C$9:C764))</f>
        <v/>
      </c>
      <c r="C764" s="49"/>
      <c r="D764" s="50"/>
      <c r="E764" s="51"/>
      <c r="F764" s="52" t="str">
        <f t="shared" si="44"/>
        <v/>
      </c>
      <c r="G764" s="51"/>
      <c r="H764" s="51"/>
      <c r="I764" s="51"/>
      <c r="J764" s="51"/>
      <c r="K764" s="53"/>
      <c r="L764" s="53"/>
      <c r="M764" s="54" t="str">
        <f t="shared" si="45"/>
        <v/>
      </c>
      <c r="N764" s="55" t="str">
        <f t="shared" si="46"/>
        <v/>
      </c>
      <c r="O764" s="56" t="str">
        <f t="shared" si="47"/>
        <v/>
      </c>
      <c r="P764" s="51"/>
      <c r="R764" s="57" t="str">
        <f>IF(AND($E764=RelConducteur,$J764="Professionnel",ISNUMBER($C764),$C764&gt;=RelDebut,$C764&lt;=RelFin),COUNTIFS($E$9:$E764,RelConducteur,$J$9:$J764,"Professionnel",$C$9:$C764,"&gt;="&amp;RelDebut,$C$9:$C764,"&lt;="&amp;RelFin),"")</f>
        <v/>
      </c>
    </row>
    <row r="765" spans="2:18" ht="18" customHeight="1" x14ac:dyDescent="0.25">
      <c r="B765" s="48" t="str">
        <f>IF(C765="","",COUNT($C$9:C765))</f>
        <v/>
      </c>
      <c r="C765" s="49"/>
      <c r="D765" s="50"/>
      <c r="E765" s="51"/>
      <c r="F765" s="52" t="str">
        <f t="shared" si="44"/>
        <v/>
      </c>
      <c r="G765" s="51"/>
      <c r="H765" s="51"/>
      <c r="I765" s="51"/>
      <c r="J765" s="51"/>
      <c r="K765" s="53"/>
      <c r="L765" s="53"/>
      <c r="M765" s="54" t="str">
        <f t="shared" si="45"/>
        <v/>
      </c>
      <c r="N765" s="55" t="str">
        <f t="shared" si="46"/>
        <v/>
      </c>
      <c r="O765" s="56" t="str">
        <f t="shared" si="47"/>
        <v/>
      </c>
      <c r="P765" s="51"/>
      <c r="R765" s="57" t="str">
        <f>IF(AND($E765=RelConducteur,$J765="Professionnel",ISNUMBER($C765),$C765&gt;=RelDebut,$C765&lt;=RelFin),COUNTIFS($E$9:$E765,RelConducteur,$J$9:$J765,"Professionnel",$C$9:$C765,"&gt;="&amp;RelDebut,$C$9:$C765,"&lt;="&amp;RelFin),"")</f>
        <v/>
      </c>
    </row>
    <row r="766" spans="2:18" ht="18" customHeight="1" x14ac:dyDescent="0.25">
      <c r="B766" s="48" t="str">
        <f>IF(C766="","",COUNT($C$9:C766))</f>
        <v/>
      </c>
      <c r="C766" s="49"/>
      <c r="D766" s="50"/>
      <c r="E766" s="51"/>
      <c r="F766" s="52" t="str">
        <f t="shared" si="44"/>
        <v/>
      </c>
      <c r="G766" s="51"/>
      <c r="H766" s="51"/>
      <c r="I766" s="51"/>
      <c r="J766" s="51"/>
      <c r="K766" s="53"/>
      <c r="L766" s="53"/>
      <c r="M766" s="54" t="str">
        <f t="shared" si="45"/>
        <v/>
      </c>
      <c r="N766" s="55" t="str">
        <f t="shared" si="46"/>
        <v/>
      </c>
      <c r="O766" s="56" t="str">
        <f t="shared" si="47"/>
        <v/>
      </c>
      <c r="P766" s="51"/>
      <c r="R766" s="57" t="str">
        <f>IF(AND($E766=RelConducteur,$J766="Professionnel",ISNUMBER($C766),$C766&gt;=RelDebut,$C766&lt;=RelFin),COUNTIFS($E$9:$E766,RelConducteur,$J$9:$J766,"Professionnel",$C$9:$C766,"&gt;="&amp;RelDebut,$C$9:$C766,"&lt;="&amp;RelFin),"")</f>
        <v/>
      </c>
    </row>
    <row r="767" spans="2:18" ht="18" customHeight="1" x14ac:dyDescent="0.25">
      <c r="B767" s="48" t="str">
        <f>IF(C767="","",COUNT($C$9:C767))</f>
        <v/>
      </c>
      <c r="C767" s="49"/>
      <c r="D767" s="50"/>
      <c r="E767" s="51"/>
      <c r="F767" s="52" t="str">
        <f t="shared" si="44"/>
        <v/>
      </c>
      <c r="G767" s="51"/>
      <c r="H767" s="51"/>
      <c r="I767" s="51"/>
      <c r="J767" s="51"/>
      <c r="K767" s="53"/>
      <c r="L767" s="53"/>
      <c r="M767" s="54" t="str">
        <f t="shared" si="45"/>
        <v/>
      </c>
      <c r="N767" s="55" t="str">
        <f t="shared" si="46"/>
        <v/>
      </c>
      <c r="O767" s="56" t="str">
        <f t="shared" si="47"/>
        <v/>
      </c>
      <c r="P767" s="51"/>
      <c r="R767" s="57" t="str">
        <f>IF(AND($E767=RelConducteur,$J767="Professionnel",ISNUMBER($C767),$C767&gt;=RelDebut,$C767&lt;=RelFin),COUNTIFS($E$9:$E767,RelConducteur,$J$9:$J767,"Professionnel",$C$9:$C767,"&gt;="&amp;RelDebut,$C$9:$C767,"&lt;="&amp;RelFin),"")</f>
        <v/>
      </c>
    </row>
    <row r="768" spans="2:18" ht="18" customHeight="1" x14ac:dyDescent="0.25">
      <c r="B768" s="48" t="str">
        <f>IF(C768="","",COUNT($C$9:C768))</f>
        <v/>
      </c>
      <c r="C768" s="49"/>
      <c r="D768" s="50"/>
      <c r="E768" s="51"/>
      <c r="F768" s="52" t="str">
        <f t="shared" si="44"/>
        <v/>
      </c>
      <c r="G768" s="51"/>
      <c r="H768" s="51"/>
      <c r="I768" s="51"/>
      <c r="J768" s="51"/>
      <c r="K768" s="53"/>
      <c r="L768" s="53"/>
      <c r="M768" s="54" t="str">
        <f t="shared" si="45"/>
        <v/>
      </c>
      <c r="N768" s="55" t="str">
        <f t="shared" si="46"/>
        <v/>
      </c>
      <c r="O768" s="56" t="str">
        <f t="shared" si="47"/>
        <v/>
      </c>
      <c r="P768" s="51"/>
      <c r="R768" s="57" t="str">
        <f>IF(AND($E768=RelConducteur,$J768="Professionnel",ISNUMBER($C768),$C768&gt;=RelDebut,$C768&lt;=RelFin),COUNTIFS($E$9:$E768,RelConducteur,$J$9:$J768,"Professionnel",$C$9:$C768,"&gt;="&amp;RelDebut,$C$9:$C768,"&lt;="&amp;RelFin),"")</f>
        <v/>
      </c>
    </row>
    <row r="769" spans="2:18" ht="18" customHeight="1" x14ac:dyDescent="0.25">
      <c r="B769" s="48" t="str">
        <f>IF(C769="","",COUNT($C$9:C769))</f>
        <v/>
      </c>
      <c r="C769" s="49"/>
      <c r="D769" s="50"/>
      <c r="E769" s="51"/>
      <c r="F769" s="52" t="str">
        <f t="shared" si="44"/>
        <v/>
      </c>
      <c r="G769" s="51"/>
      <c r="H769" s="51"/>
      <c r="I769" s="51"/>
      <c r="J769" s="51"/>
      <c r="K769" s="53"/>
      <c r="L769" s="53"/>
      <c r="M769" s="54" t="str">
        <f t="shared" si="45"/>
        <v/>
      </c>
      <c r="N769" s="55" t="str">
        <f t="shared" si="46"/>
        <v/>
      </c>
      <c r="O769" s="56" t="str">
        <f t="shared" si="47"/>
        <v/>
      </c>
      <c r="P769" s="51"/>
      <c r="R769" s="57" t="str">
        <f>IF(AND($E769=RelConducteur,$J769="Professionnel",ISNUMBER($C769),$C769&gt;=RelDebut,$C769&lt;=RelFin),COUNTIFS($E$9:$E769,RelConducteur,$J$9:$J769,"Professionnel",$C$9:$C769,"&gt;="&amp;RelDebut,$C$9:$C769,"&lt;="&amp;RelFin),"")</f>
        <v/>
      </c>
    </row>
    <row r="770" spans="2:18" ht="18" customHeight="1" x14ac:dyDescent="0.25">
      <c r="B770" s="48" t="str">
        <f>IF(C770="","",COUNT($C$9:C770))</f>
        <v/>
      </c>
      <c r="C770" s="49"/>
      <c r="D770" s="50"/>
      <c r="E770" s="51"/>
      <c r="F770" s="52" t="str">
        <f t="shared" si="44"/>
        <v/>
      </c>
      <c r="G770" s="51"/>
      <c r="H770" s="51"/>
      <c r="I770" s="51"/>
      <c r="J770" s="51"/>
      <c r="K770" s="53"/>
      <c r="L770" s="53"/>
      <c r="M770" s="54" t="str">
        <f t="shared" si="45"/>
        <v/>
      </c>
      <c r="N770" s="55" t="str">
        <f t="shared" si="46"/>
        <v/>
      </c>
      <c r="O770" s="56" t="str">
        <f t="shared" si="47"/>
        <v/>
      </c>
      <c r="P770" s="51"/>
      <c r="R770" s="57" t="str">
        <f>IF(AND($E770=RelConducteur,$J770="Professionnel",ISNUMBER($C770),$C770&gt;=RelDebut,$C770&lt;=RelFin),COUNTIFS($E$9:$E770,RelConducteur,$J$9:$J770,"Professionnel",$C$9:$C770,"&gt;="&amp;RelDebut,$C$9:$C770,"&lt;="&amp;RelFin),"")</f>
        <v/>
      </c>
    </row>
    <row r="771" spans="2:18" ht="18" customHeight="1" x14ac:dyDescent="0.25">
      <c r="B771" s="48" t="str">
        <f>IF(C771="","",COUNT($C$9:C771))</f>
        <v/>
      </c>
      <c r="C771" s="49"/>
      <c r="D771" s="50"/>
      <c r="E771" s="51"/>
      <c r="F771" s="52" t="str">
        <f t="shared" si="44"/>
        <v/>
      </c>
      <c r="G771" s="51"/>
      <c r="H771" s="51"/>
      <c r="I771" s="51"/>
      <c r="J771" s="51"/>
      <c r="K771" s="53"/>
      <c r="L771" s="53"/>
      <c r="M771" s="54" t="str">
        <f t="shared" si="45"/>
        <v/>
      </c>
      <c r="N771" s="55" t="str">
        <f t="shared" si="46"/>
        <v/>
      </c>
      <c r="O771" s="56" t="str">
        <f t="shared" si="47"/>
        <v/>
      </c>
      <c r="P771" s="51"/>
      <c r="R771" s="57" t="str">
        <f>IF(AND($E771=RelConducteur,$J771="Professionnel",ISNUMBER($C771),$C771&gt;=RelDebut,$C771&lt;=RelFin),COUNTIFS($E$9:$E771,RelConducteur,$J$9:$J771,"Professionnel",$C$9:$C771,"&gt;="&amp;RelDebut,$C$9:$C771,"&lt;="&amp;RelFin),"")</f>
        <v/>
      </c>
    </row>
    <row r="772" spans="2:18" ht="18" customHeight="1" x14ac:dyDescent="0.25">
      <c r="B772" s="48" t="str">
        <f>IF(C772="","",COUNT($C$9:C772))</f>
        <v/>
      </c>
      <c r="C772" s="49"/>
      <c r="D772" s="50"/>
      <c r="E772" s="51"/>
      <c r="F772" s="52" t="str">
        <f t="shared" si="44"/>
        <v/>
      </c>
      <c r="G772" s="51"/>
      <c r="H772" s="51"/>
      <c r="I772" s="51"/>
      <c r="J772" s="51"/>
      <c r="K772" s="53"/>
      <c r="L772" s="53"/>
      <c r="M772" s="54" t="str">
        <f t="shared" si="45"/>
        <v/>
      </c>
      <c r="N772" s="55" t="str">
        <f t="shared" si="46"/>
        <v/>
      </c>
      <c r="O772" s="56" t="str">
        <f t="shared" si="47"/>
        <v/>
      </c>
      <c r="P772" s="51"/>
      <c r="R772" s="57" t="str">
        <f>IF(AND($E772=RelConducteur,$J772="Professionnel",ISNUMBER($C772),$C772&gt;=RelDebut,$C772&lt;=RelFin),COUNTIFS($E$9:$E772,RelConducteur,$J$9:$J772,"Professionnel",$C$9:$C772,"&gt;="&amp;RelDebut,$C$9:$C772,"&lt;="&amp;RelFin),"")</f>
        <v/>
      </c>
    </row>
    <row r="773" spans="2:18" ht="18" customHeight="1" x14ac:dyDescent="0.25">
      <c r="B773" s="48" t="str">
        <f>IF(C773="","",COUNT($C$9:C773))</f>
        <v/>
      </c>
      <c r="C773" s="49"/>
      <c r="D773" s="50"/>
      <c r="E773" s="51"/>
      <c r="F773" s="52" t="str">
        <f t="shared" si="44"/>
        <v/>
      </c>
      <c r="G773" s="51"/>
      <c r="H773" s="51"/>
      <c r="I773" s="51"/>
      <c r="J773" s="51"/>
      <c r="K773" s="53"/>
      <c r="L773" s="53"/>
      <c r="M773" s="54" t="str">
        <f t="shared" si="45"/>
        <v/>
      </c>
      <c r="N773" s="55" t="str">
        <f t="shared" si="46"/>
        <v/>
      </c>
      <c r="O773" s="56" t="str">
        <f t="shared" si="47"/>
        <v/>
      </c>
      <c r="P773" s="51"/>
      <c r="R773" s="57" t="str">
        <f>IF(AND($E773=RelConducteur,$J773="Professionnel",ISNUMBER($C773),$C773&gt;=RelDebut,$C773&lt;=RelFin),COUNTIFS($E$9:$E773,RelConducteur,$J$9:$J773,"Professionnel",$C$9:$C773,"&gt;="&amp;RelDebut,$C$9:$C773,"&lt;="&amp;RelFin),"")</f>
        <v/>
      </c>
    </row>
    <row r="774" spans="2:18" ht="18" customHeight="1" x14ac:dyDescent="0.25">
      <c r="B774" s="48" t="str">
        <f>IF(C774="","",COUNT($C$9:C774))</f>
        <v/>
      </c>
      <c r="C774" s="49"/>
      <c r="D774" s="50"/>
      <c r="E774" s="51"/>
      <c r="F774" s="52" t="str">
        <f t="shared" si="44"/>
        <v/>
      </c>
      <c r="G774" s="51"/>
      <c r="H774" s="51"/>
      <c r="I774" s="51"/>
      <c r="J774" s="51"/>
      <c r="K774" s="53"/>
      <c r="L774" s="53"/>
      <c r="M774" s="54" t="str">
        <f t="shared" si="45"/>
        <v/>
      </c>
      <c r="N774" s="55" t="str">
        <f t="shared" si="46"/>
        <v/>
      </c>
      <c r="O774" s="56" t="str">
        <f t="shared" si="47"/>
        <v/>
      </c>
      <c r="P774" s="51"/>
      <c r="R774" s="57" t="str">
        <f>IF(AND($E774=RelConducteur,$J774="Professionnel",ISNUMBER($C774),$C774&gt;=RelDebut,$C774&lt;=RelFin),COUNTIFS($E$9:$E774,RelConducteur,$J$9:$J774,"Professionnel",$C$9:$C774,"&gt;="&amp;RelDebut,$C$9:$C774,"&lt;="&amp;RelFin),"")</f>
        <v/>
      </c>
    </row>
    <row r="775" spans="2:18" ht="18" customHeight="1" x14ac:dyDescent="0.25">
      <c r="B775" s="48" t="str">
        <f>IF(C775="","",COUNT($C$9:C775))</f>
        <v/>
      </c>
      <c r="C775" s="49"/>
      <c r="D775" s="50"/>
      <c r="E775" s="51"/>
      <c r="F775" s="52" t="str">
        <f t="shared" si="44"/>
        <v/>
      </c>
      <c r="G775" s="51"/>
      <c r="H775" s="51"/>
      <c r="I775" s="51"/>
      <c r="J775" s="51"/>
      <c r="K775" s="53"/>
      <c r="L775" s="53"/>
      <c r="M775" s="54" t="str">
        <f t="shared" si="45"/>
        <v/>
      </c>
      <c r="N775" s="55" t="str">
        <f t="shared" si="46"/>
        <v/>
      </c>
      <c r="O775" s="56" t="str">
        <f t="shared" si="47"/>
        <v/>
      </c>
      <c r="P775" s="51"/>
      <c r="R775" s="57" t="str">
        <f>IF(AND($E775=RelConducteur,$J775="Professionnel",ISNUMBER($C775),$C775&gt;=RelDebut,$C775&lt;=RelFin),COUNTIFS($E$9:$E775,RelConducteur,$J$9:$J775,"Professionnel",$C$9:$C775,"&gt;="&amp;RelDebut,$C$9:$C775,"&lt;="&amp;RelFin),"")</f>
        <v/>
      </c>
    </row>
    <row r="776" spans="2:18" ht="18" customHeight="1" x14ac:dyDescent="0.25">
      <c r="B776" s="48" t="str">
        <f>IF(C776="","",COUNT($C$9:C776))</f>
        <v/>
      </c>
      <c r="C776" s="49"/>
      <c r="D776" s="50"/>
      <c r="E776" s="51"/>
      <c r="F776" s="52" t="str">
        <f t="shared" si="44"/>
        <v/>
      </c>
      <c r="G776" s="51"/>
      <c r="H776" s="51"/>
      <c r="I776" s="51"/>
      <c r="J776" s="51"/>
      <c r="K776" s="53"/>
      <c r="L776" s="53"/>
      <c r="M776" s="54" t="str">
        <f t="shared" si="45"/>
        <v/>
      </c>
      <c r="N776" s="55" t="str">
        <f t="shared" si="46"/>
        <v/>
      </c>
      <c r="O776" s="56" t="str">
        <f t="shared" si="47"/>
        <v/>
      </c>
      <c r="P776" s="51"/>
      <c r="R776" s="57" t="str">
        <f>IF(AND($E776=RelConducteur,$J776="Professionnel",ISNUMBER($C776),$C776&gt;=RelDebut,$C776&lt;=RelFin),COUNTIFS($E$9:$E776,RelConducteur,$J$9:$J776,"Professionnel",$C$9:$C776,"&gt;="&amp;RelDebut,$C$9:$C776,"&lt;="&amp;RelFin),"")</f>
        <v/>
      </c>
    </row>
    <row r="777" spans="2:18" ht="18" customHeight="1" x14ac:dyDescent="0.25">
      <c r="B777" s="48" t="str">
        <f>IF(C777="","",COUNT($C$9:C777))</f>
        <v/>
      </c>
      <c r="C777" s="49"/>
      <c r="D777" s="50"/>
      <c r="E777" s="51"/>
      <c r="F777" s="52" t="str">
        <f t="shared" ref="F777:F840" si="48">IF(OR(C777="",E777=""),"",IFERROR(INDEX(CondService,MATCH(E777,CondNoms,0))&amp;"","Conducteur inconnu"))</f>
        <v/>
      </c>
      <c r="G777" s="51"/>
      <c r="H777" s="51"/>
      <c r="I777" s="51"/>
      <c r="J777" s="51"/>
      <c r="K777" s="53"/>
      <c r="L777" s="53"/>
      <c r="M777" s="54" t="str">
        <f t="shared" ref="M777:M840" si="49">IF(OR(K777="",L777=""),"",L777-K777)</f>
        <v/>
      </c>
      <c r="N777" s="55" t="str">
        <f t="shared" si="46"/>
        <v/>
      </c>
      <c r="O777" s="56" t="str">
        <f t="shared" si="47"/>
        <v/>
      </c>
      <c r="P777" s="51"/>
      <c r="R777" s="57" t="str">
        <f>IF(AND($E777=RelConducteur,$J777="Professionnel",ISNUMBER($C777),$C777&gt;=RelDebut,$C777&lt;=RelFin),COUNTIFS($E$9:$E777,RelConducteur,$J$9:$J777,"Professionnel",$C$9:$C777,"&gt;="&amp;RelDebut,$C$9:$C777,"&lt;="&amp;RelFin),"")</f>
        <v/>
      </c>
    </row>
    <row r="778" spans="2:18" ht="18" customHeight="1" x14ac:dyDescent="0.25">
      <c r="B778" s="48" t="str">
        <f>IF(C778="","",COUNT($C$9:C778))</f>
        <v/>
      </c>
      <c r="C778" s="49"/>
      <c r="D778" s="50"/>
      <c r="E778" s="51"/>
      <c r="F778" s="52" t="str">
        <f t="shared" si="48"/>
        <v/>
      </c>
      <c r="G778" s="51"/>
      <c r="H778" s="51"/>
      <c r="I778" s="51"/>
      <c r="J778" s="51"/>
      <c r="K778" s="53"/>
      <c r="L778" s="53"/>
      <c r="M778" s="54" t="str">
        <f t="shared" si="49"/>
        <v/>
      </c>
      <c r="N778" s="55" t="str">
        <f t="shared" ref="N778:N808" si="50">IF(OR(C778="",K778="",L777=""),"",K778-L777)</f>
        <v/>
      </c>
      <c r="O778" s="56" t="str">
        <f t="shared" ref="O778:O841" si="51">IF(C778="","",IF(OR(E778="",G778="",H778="",J778="",K778="",L778="",AND(J778="Professionnel",I778="")),"Incomplet",IF(AND(ISNUMBER(C777),C778&lt;C777),"Ordre des dates",IF(L778&lt;K778,"Compteur incohérent",IF(AND(ISNUMBER(N778),N778&gt;ToleranceKm),"Km non enregistrés",IF(AND(ISNUMBER(N778),N778&lt;-ToleranceKm),"Chevauchement",IF(AND(J778="Personnel",UsagePrive="Non"),"Usage privé non autorisé","Conforme")))))))</f>
        <v/>
      </c>
      <c r="P778" s="51"/>
      <c r="R778" s="57" t="str">
        <f>IF(AND($E778=RelConducteur,$J778="Professionnel",ISNUMBER($C778),$C778&gt;=RelDebut,$C778&lt;=RelFin),COUNTIFS($E$9:$E778,RelConducteur,$J$9:$J778,"Professionnel",$C$9:$C778,"&gt;="&amp;RelDebut,$C$9:$C778,"&lt;="&amp;RelFin),"")</f>
        <v/>
      </c>
    </row>
    <row r="779" spans="2:18" ht="18" customHeight="1" x14ac:dyDescent="0.25">
      <c r="B779" s="48" t="str">
        <f>IF(C779="","",COUNT($C$9:C779))</f>
        <v/>
      </c>
      <c r="C779" s="49"/>
      <c r="D779" s="50"/>
      <c r="E779" s="51"/>
      <c r="F779" s="52" t="str">
        <f t="shared" si="48"/>
        <v/>
      </c>
      <c r="G779" s="51"/>
      <c r="H779" s="51"/>
      <c r="I779" s="51"/>
      <c r="J779" s="51"/>
      <c r="K779" s="53"/>
      <c r="L779" s="53"/>
      <c r="M779" s="54" t="str">
        <f t="shared" si="49"/>
        <v/>
      </c>
      <c r="N779" s="55" t="str">
        <f t="shared" si="50"/>
        <v/>
      </c>
      <c r="O779" s="56" t="str">
        <f t="shared" si="51"/>
        <v/>
      </c>
      <c r="P779" s="51"/>
      <c r="R779" s="57" t="str">
        <f>IF(AND($E779=RelConducteur,$J779="Professionnel",ISNUMBER($C779),$C779&gt;=RelDebut,$C779&lt;=RelFin),COUNTIFS($E$9:$E779,RelConducteur,$J$9:$J779,"Professionnel",$C$9:$C779,"&gt;="&amp;RelDebut,$C$9:$C779,"&lt;="&amp;RelFin),"")</f>
        <v/>
      </c>
    </row>
    <row r="780" spans="2:18" ht="18" customHeight="1" x14ac:dyDescent="0.25">
      <c r="B780" s="48" t="str">
        <f>IF(C780="","",COUNT($C$9:C780))</f>
        <v/>
      </c>
      <c r="C780" s="49"/>
      <c r="D780" s="50"/>
      <c r="E780" s="51"/>
      <c r="F780" s="52" t="str">
        <f t="shared" si="48"/>
        <v/>
      </c>
      <c r="G780" s="51"/>
      <c r="H780" s="51"/>
      <c r="I780" s="51"/>
      <c r="J780" s="51"/>
      <c r="K780" s="53"/>
      <c r="L780" s="53"/>
      <c r="M780" s="54" t="str">
        <f t="shared" si="49"/>
        <v/>
      </c>
      <c r="N780" s="55" t="str">
        <f t="shared" si="50"/>
        <v/>
      </c>
      <c r="O780" s="56" t="str">
        <f t="shared" si="51"/>
        <v/>
      </c>
      <c r="P780" s="51"/>
      <c r="R780" s="57" t="str">
        <f>IF(AND($E780=RelConducteur,$J780="Professionnel",ISNUMBER($C780),$C780&gt;=RelDebut,$C780&lt;=RelFin),COUNTIFS($E$9:$E780,RelConducteur,$J$9:$J780,"Professionnel",$C$9:$C780,"&gt;="&amp;RelDebut,$C$9:$C780,"&lt;="&amp;RelFin),"")</f>
        <v/>
      </c>
    </row>
    <row r="781" spans="2:18" ht="18" customHeight="1" x14ac:dyDescent="0.25">
      <c r="B781" s="48" t="str">
        <f>IF(C781="","",COUNT($C$9:C781))</f>
        <v/>
      </c>
      <c r="C781" s="49"/>
      <c r="D781" s="50"/>
      <c r="E781" s="51"/>
      <c r="F781" s="52" t="str">
        <f t="shared" si="48"/>
        <v/>
      </c>
      <c r="G781" s="51"/>
      <c r="H781" s="51"/>
      <c r="I781" s="51"/>
      <c r="J781" s="51"/>
      <c r="K781" s="53"/>
      <c r="L781" s="53"/>
      <c r="M781" s="54" t="str">
        <f t="shared" si="49"/>
        <v/>
      </c>
      <c r="N781" s="55" t="str">
        <f t="shared" si="50"/>
        <v/>
      </c>
      <c r="O781" s="56" t="str">
        <f t="shared" si="51"/>
        <v/>
      </c>
      <c r="P781" s="51"/>
      <c r="R781" s="57" t="str">
        <f>IF(AND($E781=RelConducteur,$J781="Professionnel",ISNUMBER($C781),$C781&gt;=RelDebut,$C781&lt;=RelFin),COUNTIFS($E$9:$E781,RelConducteur,$J$9:$J781,"Professionnel",$C$9:$C781,"&gt;="&amp;RelDebut,$C$9:$C781,"&lt;="&amp;RelFin),"")</f>
        <v/>
      </c>
    </row>
    <row r="782" spans="2:18" ht="18" customHeight="1" x14ac:dyDescent="0.25">
      <c r="B782" s="48" t="str">
        <f>IF(C782="","",COUNT($C$9:C782))</f>
        <v/>
      </c>
      <c r="C782" s="49"/>
      <c r="D782" s="50"/>
      <c r="E782" s="51"/>
      <c r="F782" s="52" t="str">
        <f t="shared" si="48"/>
        <v/>
      </c>
      <c r="G782" s="51"/>
      <c r="H782" s="51"/>
      <c r="I782" s="51"/>
      <c r="J782" s="51"/>
      <c r="K782" s="53"/>
      <c r="L782" s="53"/>
      <c r="M782" s="54" t="str">
        <f t="shared" si="49"/>
        <v/>
      </c>
      <c r="N782" s="55" t="str">
        <f t="shared" si="50"/>
        <v/>
      </c>
      <c r="O782" s="56" t="str">
        <f t="shared" si="51"/>
        <v/>
      </c>
      <c r="P782" s="51"/>
      <c r="R782" s="57" t="str">
        <f>IF(AND($E782=RelConducteur,$J782="Professionnel",ISNUMBER($C782),$C782&gt;=RelDebut,$C782&lt;=RelFin),COUNTIFS($E$9:$E782,RelConducteur,$J$9:$J782,"Professionnel",$C$9:$C782,"&gt;="&amp;RelDebut,$C$9:$C782,"&lt;="&amp;RelFin),"")</f>
        <v/>
      </c>
    </row>
    <row r="783" spans="2:18" ht="18" customHeight="1" x14ac:dyDescent="0.25">
      <c r="B783" s="48" t="str">
        <f>IF(C783="","",COUNT($C$9:C783))</f>
        <v/>
      </c>
      <c r="C783" s="49"/>
      <c r="D783" s="50"/>
      <c r="E783" s="51"/>
      <c r="F783" s="52" t="str">
        <f t="shared" si="48"/>
        <v/>
      </c>
      <c r="G783" s="51"/>
      <c r="H783" s="51"/>
      <c r="I783" s="51"/>
      <c r="J783" s="51"/>
      <c r="K783" s="53"/>
      <c r="L783" s="53"/>
      <c r="M783" s="54" t="str">
        <f t="shared" si="49"/>
        <v/>
      </c>
      <c r="N783" s="55" t="str">
        <f t="shared" si="50"/>
        <v/>
      </c>
      <c r="O783" s="56" t="str">
        <f t="shared" si="51"/>
        <v/>
      </c>
      <c r="P783" s="51"/>
      <c r="R783" s="57" t="str">
        <f>IF(AND($E783=RelConducteur,$J783="Professionnel",ISNUMBER($C783),$C783&gt;=RelDebut,$C783&lt;=RelFin),COUNTIFS($E$9:$E783,RelConducteur,$J$9:$J783,"Professionnel",$C$9:$C783,"&gt;="&amp;RelDebut,$C$9:$C783,"&lt;="&amp;RelFin),"")</f>
        <v/>
      </c>
    </row>
    <row r="784" spans="2:18" ht="18" customHeight="1" x14ac:dyDescent="0.25">
      <c r="B784" s="48" t="str">
        <f>IF(C784="","",COUNT($C$9:C784))</f>
        <v/>
      </c>
      <c r="C784" s="49"/>
      <c r="D784" s="50"/>
      <c r="E784" s="51"/>
      <c r="F784" s="52" t="str">
        <f t="shared" si="48"/>
        <v/>
      </c>
      <c r="G784" s="51"/>
      <c r="H784" s="51"/>
      <c r="I784" s="51"/>
      <c r="J784" s="51"/>
      <c r="K784" s="53"/>
      <c r="L784" s="53"/>
      <c r="M784" s="54" t="str">
        <f t="shared" si="49"/>
        <v/>
      </c>
      <c r="N784" s="55" t="str">
        <f t="shared" si="50"/>
        <v/>
      </c>
      <c r="O784" s="56" t="str">
        <f t="shared" si="51"/>
        <v/>
      </c>
      <c r="P784" s="51"/>
      <c r="R784" s="57" t="str">
        <f>IF(AND($E784=RelConducteur,$J784="Professionnel",ISNUMBER($C784),$C784&gt;=RelDebut,$C784&lt;=RelFin),COUNTIFS($E$9:$E784,RelConducteur,$J$9:$J784,"Professionnel",$C$9:$C784,"&gt;="&amp;RelDebut,$C$9:$C784,"&lt;="&amp;RelFin),"")</f>
        <v/>
      </c>
    </row>
    <row r="785" spans="2:18" ht="18" customHeight="1" x14ac:dyDescent="0.25">
      <c r="B785" s="48" t="str">
        <f>IF(C785="","",COUNT($C$9:C785))</f>
        <v/>
      </c>
      <c r="C785" s="49"/>
      <c r="D785" s="50"/>
      <c r="E785" s="51"/>
      <c r="F785" s="52" t="str">
        <f t="shared" si="48"/>
        <v/>
      </c>
      <c r="G785" s="51"/>
      <c r="H785" s="51"/>
      <c r="I785" s="51"/>
      <c r="J785" s="51"/>
      <c r="K785" s="53"/>
      <c r="L785" s="53"/>
      <c r="M785" s="54" t="str">
        <f t="shared" si="49"/>
        <v/>
      </c>
      <c r="N785" s="55" t="str">
        <f t="shared" si="50"/>
        <v/>
      </c>
      <c r="O785" s="56" t="str">
        <f t="shared" si="51"/>
        <v/>
      </c>
      <c r="P785" s="51"/>
      <c r="R785" s="57" t="str">
        <f>IF(AND($E785=RelConducteur,$J785="Professionnel",ISNUMBER($C785),$C785&gt;=RelDebut,$C785&lt;=RelFin),COUNTIFS($E$9:$E785,RelConducteur,$J$9:$J785,"Professionnel",$C$9:$C785,"&gt;="&amp;RelDebut,$C$9:$C785,"&lt;="&amp;RelFin),"")</f>
        <v/>
      </c>
    </row>
    <row r="786" spans="2:18" ht="18" customHeight="1" x14ac:dyDescent="0.25">
      <c r="B786" s="48" t="str">
        <f>IF(C786="","",COUNT($C$9:C786))</f>
        <v/>
      </c>
      <c r="C786" s="49"/>
      <c r="D786" s="50"/>
      <c r="E786" s="51"/>
      <c r="F786" s="52" t="str">
        <f t="shared" si="48"/>
        <v/>
      </c>
      <c r="G786" s="51"/>
      <c r="H786" s="51"/>
      <c r="I786" s="51"/>
      <c r="J786" s="51"/>
      <c r="K786" s="53"/>
      <c r="L786" s="53"/>
      <c r="M786" s="54" t="str">
        <f t="shared" si="49"/>
        <v/>
      </c>
      <c r="N786" s="55" t="str">
        <f t="shared" si="50"/>
        <v/>
      </c>
      <c r="O786" s="56" t="str">
        <f t="shared" si="51"/>
        <v/>
      </c>
      <c r="P786" s="51"/>
      <c r="R786" s="57" t="str">
        <f>IF(AND($E786=RelConducteur,$J786="Professionnel",ISNUMBER($C786),$C786&gt;=RelDebut,$C786&lt;=RelFin),COUNTIFS($E$9:$E786,RelConducteur,$J$9:$J786,"Professionnel",$C$9:$C786,"&gt;="&amp;RelDebut,$C$9:$C786,"&lt;="&amp;RelFin),"")</f>
        <v/>
      </c>
    </row>
    <row r="787" spans="2:18" ht="18" customHeight="1" x14ac:dyDescent="0.25">
      <c r="B787" s="48" t="str">
        <f>IF(C787="","",COUNT($C$9:C787))</f>
        <v/>
      </c>
      <c r="C787" s="49"/>
      <c r="D787" s="50"/>
      <c r="E787" s="51"/>
      <c r="F787" s="52" t="str">
        <f t="shared" si="48"/>
        <v/>
      </c>
      <c r="G787" s="51"/>
      <c r="H787" s="51"/>
      <c r="I787" s="51"/>
      <c r="J787" s="51"/>
      <c r="K787" s="53"/>
      <c r="L787" s="53"/>
      <c r="M787" s="54" t="str">
        <f t="shared" si="49"/>
        <v/>
      </c>
      <c r="N787" s="55" t="str">
        <f t="shared" si="50"/>
        <v/>
      </c>
      <c r="O787" s="56" t="str">
        <f t="shared" si="51"/>
        <v/>
      </c>
      <c r="P787" s="51"/>
      <c r="R787" s="57" t="str">
        <f>IF(AND($E787=RelConducteur,$J787="Professionnel",ISNUMBER($C787),$C787&gt;=RelDebut,$C787&lt;=RelFin),COUNTIFS($E$9:$E787,RelConducteur,$J$9:$J787,"Professionnel",$C$9:$C787,"&gt;="&amp;RelDebut,$C$9:$C787,"&lt;="&amp;RelFin),"")</f>
        <v/>
      </c>
    </row>
    <row r="788" spans="2:18" ht="18" customHeight="1" x14ac:dyDescent="0.25">
      <c r="B788" s="48" t="str">
        <f>IF(C788="","",COUNT($C$9:C788))</f>
        <v/>
      </c>
      <c r="C788" s="49"/>
      <c r="D788" s="50"/>
      <c r="E788" s="51"/>
      <c r="F788" s="52" t="str">
        <f t="shared" si="48"/>
        <v/>
      </c>
      <c r="G788" s="51"/>
      <c r="H788" s="51"/>
      <c r="I788" s="51"/>
      <c r="J788" s="51"/>
      <c r="K788" s="53"/>
      <c r="L788" s="53"/>
      <c r="M788" s="54" t="str">
        <f t="shared" si="49"/>
        <v/>
      </c>
      <c r="N788" s="55" t="str">
        <f t="shared" si="50"/>
        <v/>
      </c>
      <c r="O788" s="56" t="str">
        <f t="shared" si="51"/>
        <v/>
      </c>
      <c r="P788" s="51"/>
      <c r="R788" s="57" t="str">
        <f>IF(AND($E788=RelConducteur,$J788="Professionnel",ISNUMBER($C788),$C788&gt;=RelDebut,$C788&lt;=RelFin),COUNTIFS($E$9:$E788,RelConducteur,$J$9:$J788,"Professionnel",$C$9:$C788,"&gt;="&amp;RelDebut,$C$9:$C788,"&lt;="&amp;RelFin),"")</f>
        <v/>
      </c>
    </row>
    <row r="789" spans="2:18" ht="18" customHeight="1" x14ac:dyDescent="0.25">
      <c r="B789" s="48" t="str">
        <f>IF(C789="","",COUNT($C$9:C789))</f>
        <v/>
      </c>
      <c r="C789" s="49"/>
      <c r="D789" s="50"/>
      <c r="E789" s="51"/>
      <c r="F789" s="52" t="str">
        <f t="shared" si="48"/>
        <v/>
      </c>
      <c r="G789" s="51"/>
      <c r="H789" s="51"/>
      <c r="I789" s="51"/>
      <c r="J789" s="51"/>
      <c r="K789" s="53"/>
      <c r="L789" s="53"/>
      <c r="M789" s="54" t="str">
        <f t="shared" si="49"/>
        <v/>
      </c>
      <c r="N789" s="55" t="str">
        <f t="shared" si="50"/>
        <v/>
      </c>
      <c r="O789" s="56" t="str">
        <f t="shared" si="51"/>
        <v/>
      </c>
      <c r="P789" s="51"/>
      <c r="R789" s="57" t="str">
        <f>IF(AND($E789=RelConducteur,$J789="Professionnel",ISNUMBER($C789),$C789&gt;=RelDebut,$C789&lt;=RelFin),COUNTIFS($E$9:$E789,RelConducteur,$J$9:$J789,"Professionnel",$C$9:$C789,"&gt;="&amp;RelDebut,$C$9:$C789,"&lt;="&amp;RelFin),"")</f>
        <v/>
      </c>
    </row>
    <row r="790" spans="2:18" ht="18" customHeight="1" x14ac:dyDescent="0.25">
      <c r="B790" s="48" t="str">
        <f>IF(C790="","",COUNT($C$9:C790))</f>
        <v/>
      </c>
      <c r="C790" s="49"/>
      <c r="D790" s="50"/>
      <c r="E790" s="51"/>
      <c r="F790" s="52" t="str">
        <f t="shared" si="48"/>
        <v/>
      </c>
      <c r="G790" s="51"/>
      <c r="H790" s="51"/>
      <c r="I790" s="51"/>
      <c r="J790" s="51"/>
      <c r="K790" s="53"/>
      <c r="L790" s="53"/>
      <c r="M790" s="54" t="str">
        <f t="shared" si="49"/>
        <v/>
      </c>
      <c r="N790" s="55" t="str">
        <f t="shared" si="50"/>
        <v/>
      </c>
      <c r="O790" s="56" t="str">
        <f t="shared" si="51"/>
        <v/>
      </c>
      <c r="P790" s="51"/>
      <c r="R790" s="57" t="str">
        <f>IF(AND($E790=RelConducteur,$J790="Professionnel",ISNUMBER($C790),$C790&gt;=RelDebut,$C790&lt;=RelFin),COUNTIFS($E$9:$E790,RelConducteur,$J$9:$J790,"Professionnel",$C$9:$C790,"&gt;="&amp;RelDebut,$C$9:$C790,"&lt;="&amp;RelFin),"")</f>
        <v/>
      </c>
    </row>
    <row r="791" spans="2:18" ht="18" customHeight="1" x14ac:dyDescent="0.25">
      <c r="B791" s="48" t="str">
        <f>IF(C791="","",COUNT($C$9:C791))</f>
        <v/>
      </c>
      <c r="C791" s="49"/>
      <c r="D791" s="50"/>
      <c r="E791" s="51"/>
      <c r="F791" s="52" t="str">
        <f t="shared" si="48"/>
        <v/>
      </c>
      <c r="G791" s="51"/>
      <c r="H791" s="51"/>
      <c r="I791" s="51"/>
      <c r="J791" s="51"/>
      <c r="K791" s="53"/>
      <c r="L791" s="53"/>
      <c r="M791" s="54" t="str">
        <f t="shared" si="49"/>
        <v/>
      </c>
      <c r="N791" s="55" t="str">
        <f t="shared" si="50"/>
        <v/>
      </c>
      <c r="O791" s="56" t="str">
        <f t="shared" si="51"/>
        <v/>
      </c>
      <c r="P791" s="51"/>
      <c r="R791" s="57" t="str">
        <f>IF(AND($E791=RelConducteur,$J791="Professionnel",ISNUMBER($C791),$C791&gt;=RelDebut,$C791&lt;=RelFin),COUNTIFS($E$9:$E791,RelConducteur,$J$9:$J791,"Professionnel",$C$9:$C791,"&gt;="&amp;RelDebut,$C$9:$C791,"&lt;="&amp;RelFin),"")</f>
        <v/>
      </c>
    </row>
    <row r="792" spans="2:18" ht="18" customHeight="1" x14ac:dyDescent="0.25">
      <c r="B792" s="48" t="str">
        <f>IF(C792="","",COUNT($C$9:C792))</f>
        <v/>
      </c>
      <c r="C792" s="49"/>
      <c r="D792" s="50"/>
      <c r="E792" s="51"/>
      <c r="F792" s="52" t="str">
        <f t="shared" si="48"/>
        <v/>
      </c>
      <c r="G792" s="51"/>
      <c r="H792" s="51"/>
      <c r="I792" s="51"/>
      <c r="J792" s="51"/>
      <c r="K792" s="53"/>
      <c r="L792" s="53"/>
      <c r="M792" s="54" t="str">
        <f t="shared" si="49"/>
        <v/>
      </c>
      <c r="N792" s="55" t="str">
        <f t="shared" si="50"/>
        <v/>
      </c>
      <c r="O792" s="56" t="str">
        <f t="shared" si="51"/>
        <v/>
      </c>
      <c r="P792" s="51"/>
      <c r="R792" s="57" t="str">
        <f>IF(AND($E792=RelConducteur,$J792="Professionnel",ISNUMBER($C792),$C792&gt;=RelDebut,$C792&lt;=RelFin),COUNTIFS($E$9:$E792,RelConducteur,$J$9:$J792,"Professionnel",$C$9:$C792,"&gt;="&amp;RelDebut,$C$9:$C792,"&lt;="&amp;RelFin),"")</f>
        <v/>
      </c>
    </row>
    <row r="793" spans="2:18" ht="18" customHeight="1" x14ac:dyDescent="0.25">
      <c r="B793" s="48" t="str">
        <f>IF(C793="","",COUNT($C$9:C793))</f>
        <v/>
      </c>
      <c r="C793" s="49"/>
      <c r="D793" s="50"/>
      <c r="E793" s="51"/>
      <c r="F793" s="52" t="str">
        <f t="shared" si="48"/>
        <v/>
      </c>
      <c r="G793" s="51"/>
      <c r="H793" s="51"/>
      <c r="I793" s="51"/>
      <c r="J793" s="51"/>
      <c r="K793" s="53"/>
      <c r="L793" s="53"/>
      <c r="M793" s="54" t="str">
        <f t="shared" si="49"/>
        <v/>
      </c>
      <c r="N793" s="55" t="str">
        <f t="shared" si="50"/>
        <v/>
      </c>
      <c r="O793" s="56" t="str">
        <f t="shared" si="51"/>
        <v/>
      </c>
      <c r="P793" s="51"/>
      <c r="R793" s="57" t="str">
        <f>IF(AND($E793=RelConducteur,$J793="Professionnel",ISNUMBER($C793),$C793&gt;=RelDebut,$C793&lt;=RelFin),COUNTIFS($E$9:$E793,RelConducteur,$J$9:$J793,"Professionnel",$C$9:$C793,"&gt;="&amp;RelDebut,$C$9:$C793,"&lt;="&amp;RelFin),"")</f>
        <v/>
      </c>
    </row>
    <row r="794" spans="2:18" ht="18" customHeight="1" x14ac:dyDescent="0.25">
      <c r="B794" s="48" t="str">
        <f>IF(C794="","",COUNT($C$9:C794))</f>
        <v/>
      </c>
      <c r="C794" s="49"/>
      <c r="D794" s="50"/>
      <c r="E794" s="51"/>
      <c r="F794" s="52" t="str">
        <f t="shared" si="48"/>
        <v/>
      </c>
      <c r="G794" s="51"/>
      <c r="H794" s="51"/>
      <c r="I794" s="51"/>
      <c r="J794" s="51"/>
      <c r="K794" s="53"/>
      <c r="L794" s="53"/>
      <c r="M794" s="54" t="str">
        <f t="shared" si="49"/>
        <v/>
      </c>
      <c r="N794" s="55" t="str">
        <f t="shared" si="50"/>
        <v/>
      </c>
      <c r="O794" s="56" t="str">
        <f t="shared" si="51"/>
        <v/>
      </c>
      <c r="P794" s="51"/>
      <c r="R794" s="57" t="str">
        <f>IF(AND($E794=RelConducteur,$J794="Professionnel",ISNUMBER($C794),$C794&gt;=RelDebut,$C794&lt;=RelFin),COUNTIFS($E$9:$E794,RelConducteur,$J$9:$J794,"Professionnel",$C$9:$C794,"&gt;="&amp;RelDebut,$C$9:$C794,"&lt;="&amp;RelFin),"")</f>
        <v/>
      </c>
    </row>
    <row r="795" spans="2:18" ht="18" customHeight="1" x14ac:dyDescent="0.25">
      <c r="B795" s="48" t="str">
        <f>IF(C795="","",COUNT($C$9:C795))</f>
        <v/>
      </c>
      <c r="C795" s="49"/>
      <c r="D795" s="50"/>
      <c r="E795" s="51"/>
      <c r="F795" s="52" t="str">
        <f t="shared" si="48"/>
        <v/>
      </c>
      <c r="G795" s="51"/>
      <c r="H795" s="51"/>
      <c r="I795" s="51"/>
      <c r="J795" s="51"/>
      <c r="K795" s="53"/>
      <c r="L795" s="53"/>
      <c r="M795" s="54" t="str">
        <f t="shared" si="49"/>
        <v/>
      </c>
      <c r="N795" s="55" t="str">
        <f t="shared" si="50"/>
        <v/>
      </c>
      <c r="O795" s="56" t="str">
        <f t="shared" si="51"/>
        <v/>
      </c>
      <c r="P795" s="51"/>
      <c r="R795" s="57" t="str">
        <f>IF(AND($E795=RelConducteur,$J795="Professionnel",ISNUMBER($C795),$C795&gt;=RelDebut,$C795&lt;=RelFin),COUNTIFS($E$9:$E795,RelConducteur,$J$9:$J795,"Professionnel",$C$9:$C795,"&gt;="&amp;RelDebut,$C$9:$C795,"&lt;="&amp;RelFin),"")</f>
        <v/>
      </c>
    </row>
    <row r="796" spans="2:18" ht="18" customHeight="1" x14ac:dyDescent="0.25">
      <c r="B796" s="48" t="str">
        <f>IF(C796="","",COUNT($C$9:C796))</f>
        <v/>
      </c>
      <c r="C796" s="49"/>
      <c r="D796" s="50"/>
      <c r="E796" s="51"/>
      <c r="F796" s="52" t="str">
        <f t="shared" si="48"/>
        <v/>
      </c>
      <c r="G796" s="51"/>
      <c r="H796" s="51"/>
      <c r="I796" s="51"/>
      <c r="J796" s="51"/>
      <c r="K796" s="53"/>
      <c r="L796" s="53"/>
      <c r="M796" s="54" t="str">
        <f t="shared" si="49"/>
        <v/>
      </c>
      <c r="N796" s="55" t="str">
        <f t="shared" si="50"/>
        <v/>
      </c>
      <c r="O796" s="56" t="str">
        <f t="shared" si="51"/>
        <v/>
      </c>
      <c r="P796" s="51"/>
      <c r="R796" s="57" t="str">
        <f>IF(AND($E796=RelConducteur,$J796="Professionnel",ISNUMBER($C796),$C796&gt;=RelDebut,$C796&lt;=RelFin),COUNTIFS($E$9:$E796,RelConducteur,$J$9:$J796,"Professionnel",$C$9:$C796,"&gt;="&amp;RelDebut,$C$9:$C796,"&lt;="&amp;RelFin),"")</f>
        <v/>
      </c>
    </row>
    <row r="797" spans="2:18" ht="18" customHeight="1" x14ac:dyDescent="0.25">
      <c r="B797" s="48" t="str">
        <f>IF(C797="","",COUNT($C$9:C797))</f>
        <v/>
      </c>
      <c r="C797" s="49"/>
      <c r="D797" s="50"/>
      <c r="E797" s="51"/>
      <c r="F797" s="52" t="str">
        <f t="shared" si="48"/>
        <v/>
      </c>
      <c r="G797" s="51"/>
      <c r="H797" s="51"/>
      <c r="I797" s="51"/>
      <c r="J797" s="51"/>
      <c r="K797" s="53"/>
      <c r="L797" s="53"/>
      <c r="M797" s="54" t="str">
        <f t="shared" si="49"/>
        <v/>
      </c>
      <c r="N797" s="55" t="str">
        <f t="shared" si="50"/>
        <v/>
      </c>
      <c r="O797" s="56" t="str">
        <f t="shared" si="51"/>
        <v/>
      </c>
      <c r="P797" s="51"/>
      <c r="R797" s="57" t="str">
        <f>IF(AND($E797=RelConducteur,$J797="Professionnel",ISNUMBER($C797),$C797&gt;=RelDebut,$C797&lt;=RelFin),COUNTIFS($E$9:$E797,RelConducteur,$J$9:$J797,"Professionnel",$C$9:$C797,"&gt;="&amp;RelDebut,$C$9:$C797,"&lt;="&amp;RelFin),"")</f>
        <v/>
      </c>
    </row>
    <row r="798" spans="2:18" ht="18" customHeight="1" x14ac:dyDescent="0.25">
      <c r="B798" s="48" t="str">
        <f>IF(C798="","",COUNT($C$9:C798))</f>
        <v/>
      </c>
      <c r="C798" s="49"/>
      <c r="D798" s="50"/>
      <c r="E798" s="51"/>
      <c r="F798" s="52" t="str">
        <f t="shared" si="48"/>
        <v/>
      </c>
      <c r="G798" s="51"/>
      <c r="H798" s="51"/>
      <c r="I798" s="51"/>
      <c r="J798" s="51"/>
      <c r="K798" s="53"/>
      <c r="L798" s="53"/>
      <c r="M798" s="54" t="str">
        <f t="shared" si="49"/>
        <v/>
      </c>
      <c r="N798" s="55" t="str">
        <f t="shared" si="50"/>
        <v/>
      </c>
      <c r="O798" s="56" t="str">
        <f t="shared" si="51"/>
        <v/>
      </c>
      <c r="P798" s="51"/>
      <c r="R798" s="57" t="str">
        <f>IF(AND($E798=RelConducteur,$J798="Professionnel",ISNUMBER($C798),$C798&gt;=RelDebut,$C798&lt;=RelFin),COUNTIFS($E$9:$E798,RelConducteur,$J$9:$J798,"Professionnel",$C$9:$C798,"&gt;="&amp;RelDebut,$C$9:$C798,"&lt;="&amp;RelFin),"")</f>
        <v/>
      </c>
    </row>
    <row r="799" spans="2:18" ht="18" customHeight="1" x14ac:dyDescent="0.25">
      <c r="B799" s="48" t="str">
        <f>IF(C799="","",COUNT($C$9:C799))</f>
        <v/>
      </c>
      <c r="C799" s="49"/>
      <c r="D799" s="50"/>
      <c r="E799" s="51"/>
      <c r="F799" s="52" t="str">
        <f t="shared" si="48"/>
        <v/>
      </c>
      <c r="G799" s="51"/>
      <c r="H799" s="51"/>
      <c r="I799" s="51"/>
      <c r="J799" s="51"/>
      <c r="K799" s="53"/>
      <c r="L799" s="53"/>
      <c r="M799" s="54" t="str">
        <f t="shared" si="49"/>
        <v/>
      </c>
      <c r="N799" s="55" t="str">
        <f t="shared" si="50"/>
        <v/>
      </c>
      <c r="O799" s="56" t="str">
        <f t="shared" si="51"/>
        <v/>
      </c>
      <c r="P799" s="51"/>
      <c r="R799" s="57" t="str">
        <f>IF(AND($E799=RelConducteur,$J799="Professionnel",ISNUMBER($C799),$C799&gt;=RelDebut,$C799&lt;=RelFin),COUNTIFS($E$9:$E799,RelConducteur,$J$9:$J799,"Professionnel",$C$9:$C799,"&gt;="&amp;RelDebut,$C$9:$C799,"&lt;="&amp;RelFin),"")</f>
        <v/>
      </c>
    </row>
    <row r="800" spans="2:18" ht="18" customHeight="1" x14ac:dyDescent="0.25">
      <c r="B800" s="48" t="str">
        <f>IF(C800="","",COUNT($C$9:C800))</f>
        <v/>
      </c>
      <c r="C800" s="49"/>
      <c r="D800" s="50"/>
      <c r="E800" s="51"/>
      <c r="F800" s="52" t="str">
        <f t="shared" si="48"/>
        <v/>
      </c>
      <c r="G800" s="51"/>
      <c r="H800" s="51"/>
      <c r="I800" s="51"/>
      <c r="J800" s="51"/>
      <c r="K800" s="53"/>
      <c r="L800" s="53"/>
      <c r="M800" s="54" t="str">
        <f t="shared" si="49"/>
        <v/>
      </c>
      <c r="N800" s="55" t="str">
        <f t="shared" si="50"/>
        <v/>
      </c>
      <c r="O800" s="56" t="str">
        <f t="shared" si="51"/>
        <v/>
      </c>
      <c r="P800" s="51"/>
      <c r="R800" s="57" t="str">
        <f>IF(AND($E800=RelConducteur,$J800="Professionnel",ISNUMBER($C800),$C800&gt;=RelDebut,$C800&lt;=RelFin),COUNTIFS($E$9:$E800,RelConducteur,$J$9:$J800,"Professionnel",$C$9:$C800,"&gt;="&amp;RelDebut,$C$9:$C800,"&lt;="&amp;RelFin),"")</f>
        <v/>
      </c>
    </row>
    <row r="801" spans="2:18" ht="18" customHeight="1" x14ac:dyDescent="0.25">
      <c r="B801" s="48" t="str">
        <f>IF(C801="","",COUNT($C$9:C801))</f>
        <v/>
      </c>
      <c r="C801" s="49"/>
      <c r="D801" s="50"/>
      <c r="E801" s="51"/>
      <c r="F801" s="52" t="str">
        <f t="shared" si="48"/>
        <v/>
      </c>
      <c r="G801" s="51"/>
      <c r="H801" s="51"/>
      <c r="I801" s="51"/>
      <c r="J801" s="51"/>
      <c r="K801" s="53"/>
      <c r="L801" s="53"/>
      <c r="M801" s="54" t="str">
        <f t="shared" si="49"/>
        <v/>
      </c>
      <c r="N801" s="55" t="str">
        <f t="shared" si="50"/>
        <v/>
      </c>
      <c r="O801" s="56" t="str">
        <f t="shared" si="51"/>
        <v/>
      </c>
      <c r="P801" s="51"/>
      <c r="R801" s="57" t="str">
        <f>IF(AND($E801=RelConducteur,$J801="Professionnel",ISNUMBER($C801),$C801&gt;=RelDebut,$C801&lt;=RelFin),COUNTIFS($E$9:$E801,RelConducteur,$J$9:$J801,"Professionnel",$C$9:$C801,"&gt;="&amp;RelDebut,$C$9:$C801,"&lt;="&amp;RelFin),"")</f>
        <v/>
      </c>
    </row>
    <row r="802" spans="2:18" ht="18" customHeight="1" x14ac:dyDescent="0.25">
      <c r="B802" s="48" t="str">
        <f>IF(C802="","",COUNT($C$9:C802))</f>
        <v/>
      </c>
      <c r="C802" s="49"/>
      <c r="D802" s="50"/>
      <c r="E802" s="51"/>
      <c r="F802" s="52" t="str">
        <f t="shared" si="48"/>
        <v/>
      </c>
      <c r="G802" s="51"/>
      <c r="H802" s="51"/>
      <c r="I802" s="51"/>
      <c r="J802" s="51"/>
      <c r="K802" s="53"/>
      <c r="L802" s="53"/>
      <c r="M802" s="54" t="str">
        <f t="shared" si="49"/>
        <v/>
      </c>
      <c r="N802" s="55" t="str">
        <f t="shared" si="50"/>
        <v/>
      </c>
      <c r="O802" s="56" t="str">
        <f t="shared" si="51"/>
        <v/>
      </c>
      <c r="P802" s="51"/>
      <c r="R802" s="57" t="str">
        <f>IF(AND($E802=RelConducteur,$J802="Professionnel",ISNUMBER($C802),$C802&gt;=RelDebut,$C802&lt;=RelFin),COUNTIFS($E$9:$E802,RelConducteur,$J$9:$J802,"Professionnel",$C$9:$C802,"&gt;="&amp;RelDebut,$C$9:$C802,"&lt;="&amp;RelFin),"")</f>
        <v/>
      </c>
    </row>
    <row r="803" spans="2:18" ht="18" customHeight="1" x14ac:dyDescent="0.25">
      <c r="B803" s="48" t="str">
        <f>IF(C803="","",COUNT($C$9:C803))</f>
        <v/>
      </c>
      <c r="C803" s="49"/>
      <c r="D803" s="50"/>
      <c r="E803" s="51"/>
      <c r="F803" s="52" t="str">
        <f t="shared" si="48"/>
        <v/>
      </c>
      <c r="G803" s="51"/>
      <c r="H803" s="51"/>
      <c r="I803" s="51"/>
      <c r="J803" s="51"/>
      <c r="K803" s="53"/>
      <c r="L803" s="53"/>
      <c r="M803" s="54" t="str">
        <f t="shared" si="49"/>
        <v/>
      </c>
      <c r="N803" s="55" t="str">
        <f t="shared" si="50"/>
        <v/>
      </c>
      <c r="O803" s="56" t="str">
        <f t="shared" si="51"/>
        <v/>
      </c>
      <c r="P803" s="51"/>
      <c r="R803" s="57" t="str">
        <f>IF(AND($E803=RelConducteur,$J803="Professionnel",ISNUMBER($C803),$C803&gt;=RelDebut,$C803&lt;=RelFin),COUNTIFS($E$9:$E803,RelConducteur,$J$9:$J803,"Professionnel",$C$9:$C803,"&gt;="&amp;RelDebut,$C$9:$C803,"&lt;="&amp;RelFin),"")</f>
        <v/>
      </c>
    </row>
    <row r="804" spans="2:18" ht="18" customHeight="1" x14ac:dyDescent="0.25">
      <c r="B804" s="48" t="str">
        <f>IF(C804="","",COUNT($C$9:C804))</f>
        <v/>
      </c>
      <c r="C804" s="49"/>
      <c r="D804" s="50"/>
      <c r="E804" s="51"/>
      <c r="F804" s="52" t="str">
        <f t="shared" si="48"/>
        <v/>
      </c>
      <c r="G804" s="51"/>
      <c r="H804" s="51"/>
      <c r="I804" s="51"/>
      <c r="J804" s="51"/>
      <c r="K804" s="53"/>
      <c r="L804" s="53"/>
      <c r="M804" s="54" t="str">
        <f t="shared" si="49"/>
        <v/>
      </c>
      <c r="N804" s="55" t="str">
        <f t="shared" si="50"/>
        <v/>
      </c>
      <c r="O804" s="56" t="str">
        <f t="shared" si="51"/>
        <v/>
      </c>
      <c r="P804" s="51"/>
      <c r="R804" s="57" t="str">
        <f>IF(AND($E804=RelConducteur,$J804="Professionnel",ISNUMBER($C804),$C804&gt;=RelDebut,$C804&lt;=RelFin),COUNTIFS($E$9:$E804,RelConducteur,$J$9:$J804,"Professionnel",$C$9:$C804,"&gt;="&amp;RelDebut,$C$9:$C804,"&lt;="&amp;RelFin),"")</f>
        <v/>
      </c>
    </row>
    <row r="805" spans="2:18" ht="18" customHeight="1" x14ac:dyDescent="0.25">
      <c r="B805" s="48" t="str">
        <f>IF(C805="","",COUNT($C$9:C805))</f>
        <v/>
      </c>
      <c r="C805" s="49"/>
      <c r="D805" s="50"/>
      <c r="E805" s="51"/>
      <c r="F805" s="52" t="str">
        <f t="shared" si="48"/>
        <v/>
      </c>
      <c r="G805" s="51"/>
      <c r="H805" s="51"/>
      <c r="I805" s="51"/>
      <c r="J805" s="51"/>
      <c r="K805" s="53"/>
      <c r="L805" s="53"/>
      <c r="M805" s="54" t="str">
        <f t="shared" si="49"/>
        <v/>
      </c>
      <c r="N805" s="55" t="str">
        <f t="shared" si="50"/>
        <v/>
      </c>
      <c r="O805" s="56" t="str">
        <f t="shared" si="51"/>
        <v/>
      </c>
      <c r="P805" s="51"/>
      <c r="R805" s="57" t="str">
        <f>IF(AND($E805=RelConducteur,$J805="Professionnel",ISNUMBER($C805),$C805&gt;=RelDebut,$C805&lt;=RelFin),COUNTIFS($E$9:$E805,RelConducteur,$J$9:$J805,"Professionnel",$C$9:$C805,"&gt;="&amp;RelDebut,$C$9:$C805,"&lt;="&amp;RelFin),"")</f>
        <v/>
      </c>
    </row>
    <row r="806" spans="2:18" ht="18" customHeight="1" x14ac:dyDescent="0.25">
      <c r="B806" s="48" t="str">
        <f>IF(C806="","",COUNT($C$9:C806))</f>
        <v/>
      </c>
      <c r="C806" s="49"/>
      <c r="D806" s="50"/>
      <c r="E806" s="51"/>
      <c r="F806" s="52" t="str">
        <f t="shared" si="48"/>
        <v/>
      </c>
      <c r="G806" s="51"/>
      <c r="H806" s="51"/>
      <c r="I806" s="51"/>
      <c r="J806" s="51"/>
      <c r="K806" s="53"/>
      <c r="L806" s="53"/>
      <c r="M806" s="54" t="str">
        <f t="shared" si="49"/>
        <v/>
      </c>
      <c r="N806" s="55" t="str">
        <f t="shared" si="50"/>
        <v/>
      </c>
      <c r="O806" s="56" t="str">
        <f t="shared" si="51"/>
        <v/>
      </c>
      <c r="P806" s="51"/>
      <c r="R806" s="57" t="str">
        <f>IF(AND($E806=RelConducteur,$J806="Professionnel",ISNUMBER($C806),$C806&gt;=RelDebut,$C806&lt;=RelFin),COUNTIFS($E$9:$E806,RelConducteur,$J$9:$J806,"Professionnel",$C$9:$C806,"&gt;="&amp;RelDebut,$C$9:$C806,"&lt;="&amp;RelFin),"")</f>
        <v/>
      </c>
    </row>
    <row r="807" spans="2:18" ht="18" customHeight="1" x14ac:dyDescent="0.25">
      <c r="B807" s="48" t="str">
        <f>IF(C807="","",COUNT($C$9:C807))</f>
        <v/>
      </c>
      <c r="C807" s="49"/>
      <c r="D807" s="50"/>
      <c r="E807" s="51"/>
      <c r="F807" s="52" t="str">
        <f t="shared" si="48"/>
        <v/>
      </c>
      <c r="G807" s="51"/>
      <c r="H807" s="51"/>
      <c r="I807" s="51"/>
      <c r="J807" s="51"/>
      <c r="K807" s="53"/>
      <c r="L807" s="53"/>
      <c r="M807" s="54" t="str">
        <f t="shared" si="49"/>
        <v/>
      </c>
      <c r="N807" s="55" t="str">
        <f t="shared" si="50"/>
        <v/>
      </c>
      <c r="O807" s="56" t="str">
        <f t="shared" si="51"/>
        <v/>
      </c>
      <c r="P807" s="51"/>
      <c r="R807" s="57" t="str">
        <f>IF(AND($E807=RelConducteur,$J807="Professionnel",ISNUMBER($C807),$C807&gt;=RelDebut,$C807&lt;=RelFin),COUNTIFS($E$9:$E807,RelConducteur,$J$9:$J807,"Professionnel",$C$9:$C807,"&gt;="&amp;RelDebut,$C$9:$C807,"&lt;="&amp;RelFin),"")</f>
        <v/>
      </c>
    </row>
    <row r="808" spans="2:18" ht="18" customHeight="1" x14ac:dyDescent="0.25">
      <c r="B808" s="48" t="str">
        <f>IF(C808="","",COUNT($C$9:C808))</f>
        <v/>
      </c>
      <c r="C808" s="49"/>
      <c r="D808" s="50"/>
      <c r="E808" s="51"/>
      <c r="F808" s="52" t="str">
        <f t="shared" si="48"/>
        <v/>
      </c>
      <c r="G808" s="51"/>
      <c r="H808" s="51"/>
      <c r="I808" s="51"/>
      <c r="J808" s="51"/>
      <c r="K808" s="53"/>
      <c r="L808" s="53"/>
      <c r="M808" s="54" t="str">
        <f t="shared" si="49"/>
        <v/>
      </c>
      <c r="N808" s="55" t="str">
        <f t="shared" si="50"/>
        <v/>
      </c>
      <c r="O808" s="56" t="str">
        <f t="shared" si="51"/>
        <v/>
      </c>
      <c r="P808" s="51"/>
      <c r="R808" s="57" t="str">
        <f>IF(AND($E808=RelConducteur,$J808="Professionnel",ISNUMBER($C808),$C808&gt;=RelDebut,$C808&lt;=RelFin),COUNTIFS($E$9:$E808,RelConducteur,$J$9:$J808,"Professionnel",$C$9:$C808,"&gt;="&amp;RelDebut,$C$9:$C808,"&lt;="&amp;RelFin),"")</f>
        <v/>
      </c>
    </row>
  </sheetData>
  <autoFilter ref="B8:P808" xr:uid="{00000000-0009-0000-0000-000001000000}"/>
  <mergeCells count="8">
    <mergeCell ref="G4:H4"/>
    <mergeCell ref="E4:F4"/>
    <mergeCell ref="J5:L5"/>
    <mergeCell ref="B5:C5"/>
    <mergeCell ref="G5:H5"/>
    <mergeCell ref="E5:F5"/>
    <mergeCell ref="J4:L4"/>
    <mergeCell ref="B4:C4"/>
  </mergeCells>
  <conditionalFormatting sqref="B9:P808">
    <cfRule type="expression" dxfId="22" priority="8">
      <formula>$O9="Usage privé non autorisé"</formula>
    </cfRule>
  </conditionalFormatting>
  <conditionalFormatting sqref="J9:J808">
    <cfRule type="expression" dxfId="21" priority="5">
      <formula>$J9="Professionnel"</formula>
    </cfRule>
    <cfRule type="expression" dxfId="20" priority="6">
      <formula>$J9="Domicile – travail"</formula>
    </cfRule>
    <cfRule type="expression" dxfId="19" priority="7">
      <formula>$J9="Personnel"</formula>
    </cfRule>
  </conditionalFormatting>
  <conditionalFormatting sqref="N9:N808">
    <cfRule type="expression" dxfId="18" priority="4">
      <formula>AND(ISNUMBER($N9),$N9&lt;&gt;0)</formula>
    </cfRule>
  </conditionalFormatting>
  <conditionalFormatting sqref="O9:O808">
    <cfRule type="expression" dxfId="17" priority="1" stopIfTrue="1">
      <formula>OR($O9="Compteur incohérent",$O9="Chevauchement",$O9="Usage privé non autorisé")</formula>
    </cfRule>
    <cfRule type="expression" dxfId="16" priority="2" stopIfTrue="1">
      <formula>OR($O9="Incomplet",$O9="Km non enregistrés",$O9="Ordre des dates")</formula>
    </cfRule>
    <cfRule type="expression" dxfId="15" priority="3" stopIfTrue="1">
      <formula>$O9="Conforme"</formula>
    </cfRule>
  </conditionalFormatting>
  <dataValidations count="5">
    <dataValidation type="date" allowBlank="1" showInputMessage="1" showErrorMessage="1" errorTitle="Date non valide" error="Saisissez une date au format jj/mm/aaaa." promptTitle="Date" prompt="Date du déplacement (jj/mm/aaaa)." sqref="C9:C808" xr:uid="{00000000-0002-0000-0100-000000000000}">
      <formula1>36526</formula1>
      <formula2>73051</formula2>
    </dataValidation>
    <dataValidation type="time" allowBlank="1" showErrorMessage="1" errorTitle="Heure non valide" error="Saisissez une heure au format hh:mm." sqref="D9:D808" xr:uid="{00000000-0002-0000-0100-000001000000}">
      <formula1>0</formula1>
      <formula2>0.999988</formula2>
    </dataValidation>
    <dataValidation type="list" allowBlank="1" showInputMessage="1" showErrorMessage="1" errorTitle="Valeur non prévue" error="Choisissez une valeur dans la liste déroulante." promptTitle="Conducteur" prompt="Le centre de coût est repris de la fiche du conducteur (Paramètres)." sqref="E9:E808" xr:uid="{00000000-0002-0000-0100-000002000000}">
      <formula1>ListeConducteurs</formula1>
    </dataValidation>
    <dataValidation type="list" allowBlank="1" showInputMessage="1" showErrorMessage="1" errorTitle="Valeur non prévue" error="Choisissez une valeur dans la liste déroulante." promptTitle="Nature du trajet" prompt="Professionnel : mission ou rendez-vous (motif obligatoire)._x000a_Domicile – travail : trajet vers le lieu de travail habituel._x000a_Personnel : usage privé." sqref="J9:J808" xr:uid="{00000000-0002-0000-0100-000003000000}">
      <formula1>ListeNature</formula1>
    </dataValidation>
    <dataValidation type="whole" allowBlank="1" showErrorMessage="1" errorTitle="Valeur non valide" error="Relevé du compteur en kilomètres (nombre entier)." sqref="K9:L808" xr:uid="{00000000-0002-0000-0100-000004000000}">
      <formula1>0</formula1>
      <formula2>3000000</formula2>
    </dataValidation>
  </dataValidations>
  <printOptions horizontalCentered="1"/>
  <pageMargins left="0.35" right="0.35" top="0.45" bottom="0.55000000000000004" header="0.5" footer="0.5"/>
  <pageSetup paperSize="9" fitToHeight="0" orientation="landscape"/>
  <headerFooter>
    <oddFooter>&amp;L&amp;8 &amp;K8C949ECarnet de bord du véhicule – &amp;A&amp;R&amp;8 &amp;K8C949EPage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4A265"/>
    <pageSetUpPr fitToPage="1"/>
  </sheetPr>
  <dimension ref="A1:AE508"/>
  <sheetViews>
    <sheetView showGridLines="0" zoomScale="90" workbookViewId="0">
      <pane xSplit="5" ySplit="8" topLeftCell="F9" activePane="bottomRight" state="frozen"/>
      <selection pane="topRight"/>
      <selection pane="bottomLeft"/>
      <selection pane="bottomRight"/>
    </sheetView>
  </sheetViews>
  <sheetFormatPr baseColWidth="10" defaultColWidth="9.140625" defaultRowHeight="15" outlineLevelCol="1" x14ac:dyDescent="0.25"/>
  <cols>
    <col min="1" max="1" width="2" customWidth="1"/>
    <col min="2" max="2" width="5" customWidth="1"/>
    <col min="3" max="3" width="11" customWidth="1"/>
    <col min="4" max="4" width="16" customWidth="1"/>
    <col min="5" max="5" width="11" customWidth="1"/>
    <col min="6" max="6" width="18" customWidth="1"/>
    <col min="7" max="7" width="26" customWidth="1"/>
    <col min="8" max="8" width="28" customWidth="1"/>
    <col min="9" max="9" width="36" customWidth="1"/>
    <col min="10" max="10" width="10" customWidth="1"/>
    <col min="11" max="11" width="9" customWidth="1"/>
    <col min="12" max="12" width="12" customWidth="1"/>
    <col min="13" max="13" width="8" customWidth="1"/>
    <col min="14" max="14" width="12" customWidth="1"/>
    <col min="15" max="16" width="10" customWidth="1"/>
    <col min="17" max="17" width="12" customWidth="1"/>
    <col min="18" max="18" width="22" customWidth="1"/>
    <col min="19" max="19" width="11" customWidth="1"/>
    <col min="20" max="20" width="18" customWidth="1"/>
    <col min="21" max="21" width="12" customWidth="1"/>
    <col min="22" max="22" width="20" customWidth="1"/>
    <col min="23" max="23" width="2" customWidth="1"/>
    <col min="24" max="31" width="20" hidden="1" customWidth="1" outlineLevel="1"/>
  </cols>
  <sheetData>
    <row r="1" spans="1:31" ht="18" customHeight="1" x14ac:dyDescent="0.25">
      <c r="A1" s="1"/>
      <c r="B1" s="3" t="str">
        <f>"CARNET DE BORD DU VÉHICULE   ·   "&amp;Immatriculation</f>
        <v>CARNET DE BORD DU VÉHICULE   ·   FT-317-KV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1" ht="32.1" customHeight="1" x14ac:dyDescent="0.25">
      <c r="A2" s="1"/>
      <c r="B2" s="38" t="s">
        <v>177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9" t="str">
        <f>TRIM(Marque&amp;" "&amp;Modele)&amp;"   ·   "&amp;TitulaireVehicule</f>
        <v>Norvane Fourgonnette L1 1.5 diesel   ·   Altéis Maintenance SAS</v>
      </c>
      <c r="W2" s="1"/>
    </row>
    <row r="3" spans="1:31" ht="3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31" ht="15.95" customHeight="1" x14ac:dyDescent="0.25">
      <c r="B4" s="170" t="s">
        <v>23</v>
      </c>
      <c r="C4" s="118"/>
      <c r="D4" s="118"/>
      <c r="E4" s="170" t="s">
        <v>178</v>
      </c>
      <c r="F4" s="118"/>
      <c r="G4" s="40" t="s">
        <v>179</v>
      </c>
      <c r="H4" s="40" t="s">
        <v>36</v>
      </c>
      <c r="I4" s="40" t="s">
        <v>112</v>
      </c>
    </row>
    <row r="5" spans="1:31" ht="26.1" customHeight="1" x14ac:dyDescent="0.25">
      <c r="B5" s="174">
        <f>SUM(Dépenses!$L$9:$L$508)</f>
        <v>6437.89</v>
      </c>
      <c r="C5" s="118"/>
      <c r="D5" s="118"/>
      <c r="E5" s="174">
        <f>SUMIFS(Dépenses!$L$9:$L$508,Dépenses!$X$9:$X$508,"Énergie")</f>
        <v>2588.9900000000002</v>
      </c>
      <c r="F5" s="118"/>
      <c r="G5" s="58">
        <f>SUM(Dépenses!$O$9:$O$508)</f>
        <v>881.64833333333297</v>
      </c>
      <c r="H5" s="58">
        <f>SUMIFS(Dépenses!$L$9:$L$508,Dépenses!$S$9:$S$508,"Oui")</f>
        <v>945.29999999999961</v>
      </c>
      <c r="I5" s="41">
        <f>COUNTIF(Dépenses!$V$9:$V$508,"?*")-COUNTIF(Dépenses!$V$9:$V$508,"Conforme")</f>
        <v>0</v>
      </c>
    </row>
    <row r="6" spans="1:31" ht="8.1" customHeight="1" x14ac:dyDescent="0.25"/>
    <row r="7" spans="1:31" ht="20.100000000000001" customHeight="1" x14ac:dyDescent="0.25">
      <c r="B7" s="42" t="s">
        <v>180</v>
      </c>
      <c r="T7" s="43" t="s">
        <v>115</v>
      </c>
      <c r="U7" s="175" t="s">
        <v>116</v>
      </c>
      <c r="V7" s="176"/>
    </row>
    <row r="8" spans="1:31" ht="38.1" customHeight="1" x14ac:dyDescent="0.25">
      <c r="B8" s="45" t="s">
        <v>117</v>
      </c>
      <c r="C8" s="46" t="s">
        <v>118</v>
      </c>
      <c r="D8" s="46" t="s">
        <v>120</v>
      </c>
      <c r="E8" s="46" t="s">
        <v>181</v>
      </c>
      <c r="F8" s="46" t="s">
        <v>182</v>
      </c>
      <c r="G8" s="46" t="s">
        <v>183</v>
      </c>
      <c r="H8" s="46" t="s">
        <v>184</v>
      </c>
      <c r="I8" s="46" t="s">
        <v>185</v>
      </c>
      <c r="J8" s="46" t="str">
        <f>"Quantité"&amp;CHAR(10)&amp;"("&amp;UniteQte&amp;")"</f>
        <v>Quantité
(L)</v>
      </c>
      <c r="K8" s="46" t="s">
        <v>186</v>
      </c>
      <c r="L8" s="46" t="s">
        <v>187</v>
      </c>
      <c r="M8" s="46" t="s">
        <v>188</v>
      </c>
      <c r="N8" s="45" t="s">
        <v>189</v>
      </c>
      <c r="O8" s="45" t="s">
        <v>179</v>
      </c>
      <c r="P8" s="45" t="s">
        <v>190</v>
      </c>
      <c r="Q8" s="45" t="str">
        <f>"Conso."&amp;CHAR(10)&amp;"("&amp;UniteQte&amp;"/100)"</f>
        <v>Conso.
(L/100)</v>
      </c>
      <c r="R8" s="46" t="s">
        <v>191</v>
      </c>
      <c r="S8" s="46" t="s">
        <v>192</v>
      </c>
      <c r="T8" s="45" t="s">
        <v>121</v>
      </c>
      <c r="U8" s="46" t="s">
        <v>193</v>
      </c>
      <c r="V8" s="45" t="s">
        <v>130</v>
      </c>
      <c r="X8" s="47" t="s">
        <v>194</v>
      </c>
      <c r="Y8" s="47" t="s">
        <v>11</v>
      </c>
      <c r="Z8" s="47" t="s">
        <v>195</v>
      </c>
      <c r="AA8" s="47" t="s">
        <v>196</v>
      </c>
      <c r="AB8" s="47" t="s">
        <v>197</v>
      </c>
      <c r="AC8" s="47" t="s">
        <v>198</v>
      </c>
      <c r="AD8" s="47" t="s">
        <v>199</v>
      </c>
      <c r="AE8" s="47" t="s">
        <v>132</v>
      </c>
    </row>
    <row r="9" spans="1:31" ht="18" customHeight="1" x14ac:dyDescent="0.25">
      <c r="B9" s="48">
        <f>IF(C9="","",COUNT($C$9:C9))</f>
        <v>1</v>
      </c>
      <c r="C9" s="49">
        <v>46391</v>
      </c>
      <c r="D9" s="51"/>
      <c r="E9" s="53"/>
      <c r="F9" s="51" t="s">
        <v>200</v>
      </c>
      <c r="G9" s="51" t="s">
        <v>200</v>
      </c>
      <c r="H9" s="51" t="s">
        <v>201</v>
      </c>
      <c r="I9" s="51" t="s">
        <v>202</v>
      </c>
      <c r="J9" s="59"/>
      <c r="K9" s="60"/>
      <c r="L9" s="61">
        <v>1148</v>
      </c>
      <c r="M9" s="62">
        <v>0</v>
      </c>
      <c r="N9" s="63">
        <f t="shared" ref="N9:N72" si="0">IF(L9="","",L9/(1+AB9))</f>
        <v>1148</v>
      </c>
      <c r="O9" s="64">
        <f t="shared" ref="O9:O72" si="1">IF(L9="","",L9-N9)</f>
        <v>0</v>
      </c>
      <c r="P9" s="65" t="str">
        <f t="shared" ref="P9:P72" si="2">IF(AND(Y9=1,N(J9)&gt;0,ISNUMBER(L9)),L9/J9,"")</f>
        <v/>
      </c>
      <c r="Q9" s="66" t="str">
        <f>""</f>
        <v/>
      </c>
      <c r="R9" s="51" t="s">
        <v>203</v>
      </c>
      <c r="S9" s="60" t="s">
        <v>204</v>
      </c>
      <c r="T9" s="52" t="str">
        <f t="shared" ref="T9:T72" si="3">IF(C9="","",IF(D9="","Non affecté",IFERROR(INDEX(CondService,MATCH(D9,CondNoms,0))&amp;"","Non affecté")))</f>
        <v>Non affecté</v>
      </c>
      <c r="U9" s="51" t="s">
        <v>205</v>
      </c>
      <c r="V9" s="56" t="str">
        <f t="shared" ref="V9:V72" si="4">IF(C9="","",IF(OR(F9="",L9=""),"Incomplet",IF(X9="Catégorie inconnue","Catégorie inconnue",IF(AND(Y9=1,OR(E9="",J9="",K9="")),"Plein incomplet",IF(AND(ISNUMBER(E9),E9&lt;N(KmOuverture)),"Compteur &lt; ouverture",IF(AND(Y9=1,N(Capacite)&gt;0,N(J9)&gt;Capacite*1.02),"Quantité &gt; réservoir",IF(ISNUMBER(Q9),IF(AND(ConsoRef&gt;0,ABS(Q9/MAX(ConsoRef,0.0001)-1)&gt;SeuilConso),"Conso. atypique","Conforme"),IF(AND(G9&lt;&gt;"",E9="",X9="Entretien et réparations"),"Compteur manquant","Conforme"))))))))</f>
        <v>Conforme</v>
      </c>
      <c r="X9" s="57" t="str">
        <f t="shared" ref="X9:X72" si="5">IF(F9="","",IFERROR(INDEX(CatGroupe,MATCH(F9,CatNoms,0))&amp;"","Catégorie inconnue"))</f>
        <v>Frais fixes et divers</v>
      </c>
      <c r="Y9" s="57">
        <f t="shared" ref="Y9:Y72" si="6">IF(X9="Énergie",1,0)</f>
        <v>0</v>
      </c>
      <c r="Z9" s="57" t="str">
        <f>IF(AND(Y9=1,K9="Oui",ISNUMBER(E9)),E9,"")</f>
        <v/>
      </c>
      <c r="AA9" s="57">
        <f>IF(Y9=1,IF(K9="Oui",0,N(J9)),0)</f>
        <v>0</v>
      </c>
      <c r="AB9" s="57">
        <f t="shared" ref="AB9:AB72" si="7">IF(ISNUMBER(M9),M9,IFERROR(INDEX(CatTVA,MATCH(F9,CatNoms,0))*1,0.2))</f>
        <v>0</v>
      </c>
      <c r="AC9" s="57" t="str">
        <f>""</f>
        <v/>
      </c>
      <c r="AD9" s="57" t="str">
        <f>""</f>
        <v/>
      </c>
      <c r="AE9" s="57" t="str">
        <f>IF(AND($D9=RelConducteur,$S9="Oui",ISNUMBER($C9),$C9&gt;=RelDebut,$C9&lt;=RelFin),COUNTIFS($D$9:$D9,RelConducteur,$S$9:$S9,"Oui",$C$9:$C9,"&gt;="&amp;RelDebut,$C$9:$C9,"&lt;="&amp;RelFin),"")</f>
        <v/>
      </c>
    </row>
    <row r="10" spans="1:31" ht="18" customHeight="1" x14ac:dyDescent="0.25">
      <c r="B10" s="48">
        <f>IF(C10="","",COUNT($C$9:C10))</f>
        <v>2</v>
      </c>
      <c r="C10" s="49">
        <v>46400</v>
      </c>
      <c r="D10" s="51" t="s">
        <v>148</v>
      </c>
      <c r="E10" s="53">
        <v>39186</v>
      </c>
      <c r="F10" s="51" t="s">
        <v>206</v>
      </c>
      <c r="G10" s="51"/>
      <c r="H10" s="51" t="s">
        <v>207</v>
      </c>
      <c r="I10" s="51" t="s">
        <v>208</v>
      </c>
      <c r="J10" s="59">
        <v>32.450000000000003</v>
      </c>
      <c r="K10" s="60" t="s">
        <v>209</v>
      </c>
      <c r="L10" s="61">
        <v>56.95</v>
      </c>
      <c r="M10" s="62"/>
      <c r="N10" s="63">
        <f t="shared" si="0"/>
        <v>47.458333333333336</v>
      </c>
      <c r="O10" s="64">
        <f t="shared" si="1"/>
        <v>9.4916666666666671</v>
      </c>
      <c r="P10" s="65">
        <f t="shared" si="2"/>
        <v>1.7550077041602465</v>
      </c>
      <c r="Q10" s="66" t="str">
        <f t="shared" ref="Q10:Q73" si="8">IF(AND(Y10=1,K10="Oui",ISNUMBER(E10),ISNUMBER(Z9),N(J10)&gt;0),IF(E10&gt;Z9,(N(AA9)+N(J10))/(E10-Z9)*100,""),"")</f>
        <v/>
      </c>
      <c r="R10" s="51" t="s">
        <v>210</v>
      </c>
      <c r="S10" s="60" t="s">
        <v>204</v>
      </c>
      <c r="T10" s="52" t="str">
        <f t="shared" si="3"/>
        <v>Service commercial</v>
      </c>
      <c r="U10" s="51" t="s">
        <v>211</v>
      </c>
      <c r="V10" s="56" t="str">
        <f t="shared" si="4"/>
        <v>Conforme</v>
      </c>
      <c r="X10" s="57" t="str">
        <f t="shared" si="5"/>
        <v>Énergie</v>
      </c>
      <c r="Y10" s="57">
        <f t="shared" si="6"/>
        <v>1</v>
      </c>
      <c r="Z10" s="57">
        <f t="shared" ref="Z10:Z73" si="9">IF(AND(Y10=1,K10="Oui",ISNUMBER(E10)),E10,Z9)</f>
        <v>39186</v>
      </c>
      <c r="AA10" s="57">
        <f t="shared" ref="AA10:AA73" si="10">IF(Y10=1,IF(K10="Oui",0,N(AA9)+N(J10)),N(AA9))</f>
        <v>0</v>
      </c>
      <c r="AB10" s="57">
        <f t="shared" si="7"/>
        <v>0.2</v>
      </c>
      <c r="AC10" s="57" t="str">
        <f t="shared" ref="AC10:AC73" si="11">IF(Q10="","",E10-Z9)</f>
        <v/>
      </c>
      <c r="AD10" s="57" t="str">
        <f t="shared" ref="AD10:AD73" si="12">IF(Q10="","",N(AA9)+N(J10))</f>
        <v/>
      </c>
      <c r="AE10" s="57" t="str">
        <f>IF(AND($D10=RelConducteur,$S10="Oui",ISNUMBER($C10),$C10&gt;=RelDebut,$C10&lt;=RelFin),COUNTIFS($D$9:$D10,RelConducteur,$S$9:$S10,"Oui",$C$9:$C10,"&gt;="&amp;RelDebut,$C$9:$C10,"&lt;="&amp;RelFin),"")</f>
        <v/>
      </c>
    </row>
    <row r="11" spans="1:31" ht="18" customHeight="1" x14ac:dyDescent="0.25">
      <c r="B11" s="48">
        <f>IF(C11="","",COUNT($C$9:C11))</f>
        <v>3</v>
      </c>
      <c r="C11" s="49">
        <v>46400</v>
      </c>
      <c r="D11" s="51" t="s">
        <v>148</v>
      </c>
      <c r="E11" s="53">
        <v>39462</v>
      </c>
      <c r="F11" s="51" t="s">
        <v>212</v>
      </c>
      <c r="G11" s="51"/>
      <c r="H11" s="51" t="s">
        <v>213</v>
      </c>
      <c r="I11" s="51" t="s">
        <v>214</v>
      </c>
      <c r="J11" s="59"/>
      <c r="K11" s="60"/>
      <c r="L11" s="61">
        <v>27.4</v>
      </c>
      <c r="M11" s="62"/>
      <c r="N11" s="63">
        <f t="shared" si="0"/>
        <v>22.833333333333332</v>
      </c>
      <c r="O11" s="64">
        <f t="shared" si="1"/>
        <v>4.5666666666666664</v>
      </c>
      <c r="P11" s="65" t="str">
        <f t="shared" si="2"/>
        <v/>
      </c>
      <c r="Q11" s="66" t="str">
        <f t="shared" si="8"/>
        <v/>
      </c>
      <c r="R11" s="51" t="s">
        <v>215</v>
      </c>
      <c r="S11" s="60" t="s">
        <v>209</v>
      </c>
      <c r="T11" s="52" t="str">
        <f t="shared" si="3"/>
        <v>Service commercial</v>
      </c>
      <c r="U11" s="51" t="s">
        <v>216</v>
      </c>
      <c r="V11" s="56" t="str">
        <f t="shared" si="4"/>
        <v>Conforme</v>
      </c>
      <c r="X11" s="57" t="str">
        <f t="shared" si="5"/>
        <v>Frais fixes et divers</v>
      </c>
      <c r="Y11" s="57">
        <f t="shared" si="6"/>
        <v>0</v>
      </c>
      <c r="Z11" s="57">
        <f t="shared" si="9"/>
        <v>39186</v>
      </c>
      <c r="AA11" s="57">
        <f t="shared" si="10"/>
        <v>0</v>
      </c>
      <c r="AB11" s="57">
        <f t="shared" si="7"/>
        <v>0.2</v>
      </c>
      <c r="AC11" s="57" t="str">
        <f t="shared" si="11"/>
        <v/>
      </c>
      <c r="AD11" s="57" t="str">
        <f t="shared" si="12"/>
        <v/>
      </c>
      <c r="AE11" s="57" t="str">
        <f>IF(AND($D11=RelConducteur,$S11="Oui",ISNUMBER($C11),$C11&gt;=RelDebut,$C11&lt;=RelFin),COUNTIFS($D$9:$D11,RelConducteur,$S$9:$S11,"Oui",$C$9:$C11,"&gt;="&amp;RelDebut,$C$9:$C11,"&lt;="&amp;RelFin),"")</f>
        <v/>
      </c>
    </row>
    <row r="12" spans="1:31" ht="18" customHeight="1" x14ac:dyDescent="0.25">
      <c r="B12" s="48">
        <f>IF(C12="","",COUNT($C$9:C12))</f>
        <v>4</v>
      </c>
      <c r="C12" s="49">
        <v>46400</v>
      </c>
      <c r="D12" s="51" t="s">
        <v>148</v>
      </c>
      <c r="E12" s="53">
        <v>39462</v>
      </c>
      <c r="F12" s="51" t="s">
        <v>217</v>
      </c>
      <c r="G12" s="51"/>
      <c r="H12" s="51" t="s">
        <v>218</v>
      </c>
      <c r="I12" s="51" t="s">
        <v>219</v>
      </c>
      <c r="J12" s="59"/>
      <c r="K12" s="60"/>
      <c r="L12" s="61">
        <v>8.1999999999999993</v>
      </c>
      <c r="M12" s="62"/>
      <c r="N12" s="63">
        <f t="shared" si="0"/>
        <v>6.833333333333333</v>
      </c>
      <c r="O12" s="64">
        <f t="shared" si="1"/>
        <v>1.3666666666666663</v>
      </c>
      <c r="P12" s="65" t="str">
        <f t="shared" si="2"/>
        <v/>
      </c>
      <c r="Q12" s="66" t="str">
        <f t="shared" si="8"/>
        <v/>
      </c>
      <c r="R12" s="51" t="s">
        <v>215</v>
      </c>
      <c r="S12" s="60" t="s">
        <v>209</v>
      </c>
      <c r="T12" s="52" t="str">
        <f t="shared" si="3"/>
        <v>Service commercial</v>
      </c>
      <c r="U12" s="51" t="s">
        <v>220</v>
      </c>
      <c r="V12" s="56" t="str">
        <f t="shared" si="4"/>
        <v>Conforme</v>
      </c>
      <c r="X12" s="57" t="str">
        <f t="shared" si="5"/>
        <v>Frais fixes et divers</v>
      </c>
      <c r="Y12" s="57">
        <f t="shared" si="6"/>
        <v>0</v>
      </c>
      <c r="Z12" s="57">
        <f t="shared" si="9"/>
        <v>39186</v>
      </c>
      <c r="AA12" s="57">
        <f t="shared" si="10"/>
        <v>0</v>
      </c>
      <c r="AB12" s="57">
        <f t="shared" si="7"/>
        <v>0.2</v>
      </c>
      <c r="AC12" s="57" t="str">
        <f t="shared" si="11"/>
        <v/>
      </c>
      <c r="AD12" s="57" t="str">
        <f t="shared" si="12"/>
        <v/>
      </c>
      <c r="AE12" s="57" t="str">
        <f>IF(AND($D12=RelConducteur,$S12="Oui",ISNUMBER($C12),$C12&gt;=RelDebut,$C12&lt;=RelFin),COUNTIFS($D$9:$D12,RelConducteur,$S$9:$S12,"Oui",$C$9:$C12,"&gt;="&amp;RelDebut,$C$9:$C12,"&lt;="&amp;RelFin),"")</f>
        <v/>
      </c>
    </row>
    <row r="13" spans="1:31" ht="18" customHeight="1" x14ac:dyDescent="0.25">
      <c r="B13" s="48">
        <f>IF(C13="","",COUNT($C$9:C13))</f>
        <v>5</v>
      </c>
      <c r="C13" s="49">
        <v>46405</v>
      </c>
      <c r="D13" s="51" t="s">
        <v>148</v>
      </c>
      <c r="E13" s="53">
        <v>39634</v>
      </c>
      <c r="F13" s="51" t="s">
        <v>206</v>
      </c>
      <c r="G13" s="51"/>
      <c r="H13" s="51" t="s">
        <v>207</v>
      </c>
      <c r="I13" s="51" t="s">
        <v>208</v>
      </c>
      <c r="J13" s="59">
        <v>32.19</v>
      </c>
      <c r="K13" s="60" t="s">
        <v>209</v>
      </c>
      <c r="L13" s="61">
        <v>55.4</v>
      </c>
      <c r="M13" s="62"/>
      <c r="N13" s="63">
        <f t="shared" si="0"/>
        <v>46.166666666666664</v>
      </c>
      <c r="O13" s="64">
        <f t="shared" si="1"/>
        <v>9.2333333333333343</v>
      </c>
      <c r="P13" s="65">
        <f t="shared" si="2"/>
        <v>1.7210313762037901</v>
      </c>
      <c r="Q13" s="66">
        <f t="shared" si="8"/>
        <v>7.1852678571428559</v>
      </c>
      <c r="R13" s="51" t="s">
        <v>210</v>
      </c>
      <c r="S13" s="60" t="s">
        <v>204</v>
      </c>
      <c r="T13" s="52" t="str">
        <f t="shared" si="3"/>
        <v>Service commercial</v>
      </c>
      <c r="U13" s="51" t="s">
        <v>221</v>
      </c>
      <c r="V13" s="56" t="str">
        <f t="shared" si="4"/>
        <v>Conforme</v>
      </c>
      <c r="X13" s="57" t="str">
        <f t="shared" si="5"/>
        <v>Énergie</v>
      </c>
      <c r="Y13" s="57">
        <f t="shared" si="6"/>
        <v>1</v>
      </c>
      <c r="Z13" s="57">
        <f t="shared" si="9"/>
        <v>39634</v>
      </c>
      <c r="AA13" s="57">
        <f t="shared" si="10"/>
        <v>0</v>
      </c>
      <c r="AB13" s="57">
        <f t="shared" si="7"/>
        <v>0.2</v>
      </c>
      <c r="AC13" s="57">
        <f t="shared" si="11"/>
        <v>448</v>
      </c>
      <c r="AD13" s="57">
        <f t="shared" si="12"/>
        <v>32.19</v>
      </c>
      <c r="AE13" s="57" t="str">
        <f>IF(AND($D13=RelConducteur,$S13="Oui",ISNUMBER($C13),$C13&gt;=RelDebut,$C13&lt;=RelFin),COUNTIFS($D$9:$D13,RelConducteur,$S$9:$S13,"Oui",$C$9:$C13,"&gt;="&amp;RelDebut,$C$9:$C13,"&lt;="&amp;RelFin),"")</f>
        <v/>
      </c>
    </row>
    <row r="14" spans="1:31" ht="18" customHeight="1" x14ac:dyDescent="0.25">
      <c r="B14" s="48">
        <f>IF(C14="","",COUNT($C$9:C14))</f>
        <v>6</v>
      </c>
      <c r="C14" s="49">
        <v>46405</v>
      </c>
      <c r="D14" s="51" t="s">
        <v>148</v>
      </c>
      <c r="E14" s="53">
        <v>39778</v>
      </c>
      <c r="F14" s="51" t="s">
        <v>212</v>
      </c>
      <c r="G14" s="51"/>
      <c r="H14" s="51" t="s">
        <v>213</v>
      </c>
      <c r="I14" s="51" t="s">
        <v>222</v>
      </c>
      <c r="J14" s="59"/>
      <c r="K14" s="60"/>
      <c r="L14" s="61">
        <v>14.6</v>
      </c>
      <c r="M14" s="62"/>
      <c r="N14" s="63">
        <f t="shared" si="0"/>
        <v>12.166666666666666</v>
      </c>
      <c r="O14" s="64">
        <f t="shared" si="1"/>
        <v>2.4333333333333336</v>
      </c>
      <c r="P14" s="65" t="str">
        <f t="shared" si="2"/>
        <v/>
      </c>
      <c r="Q14" s="66" t="str">
        <f t="shared" si="8"/>
        <v/>
      </c>
      <c r="R14" s="51" t="s">
        <v>215</v>
      </c>
      <c r="S14" s="60" t="s">
        <v>209</v>
      </c>
      <c r="T14" s="52" t="str">
        <f t="shared" si="3"/>
        <v>Service commercial</v>
      </c>
      <c r="U14" s="51" t="s">
        <v>223</v>
      </c>
      <c r="V14" s="56" t="str">
        <f t="shared" si="4"/>
        <v>Conforme</v>
      </c>
      <c r="X14" s="57" t="str">
        <f t="shared" si="5"/>
        <v>Frais fixes et divers</v>
      </c>
      <c r="Y14" s="57">
        <f t="shared" si="6"/>
        <v>0</v>
      </c>
      <c r="Z14" s="57">
        <f t="shared" si="9"/>
        <v>39634</v>
      </c>
      <c r="AA14" s="57">
        <f t="shared" si="10"/>
        <v>0</v>
      </c>
      <c r="AB14" s="57">
        <f t="shared" si="7"/>
        <v>0.2</v>
      </c>
      <c r="AC14" s="57" t="str">
        <f t="shared" si="11"/>
        <v/>
      </c>
      <c r="AD14" s="57" t="str">
        <f t="shared" si="12"/>
        <v/>
      </c>
      <c r="AE14" s="57" t="str">
        <f>IF(AND($D14=RelConducteur,$S14="Oui",ISNUMBER($C14),$C14&gt;=RelDebut,$C14&lt;=RelFin),COUNTIFS($D$9:$D14,RelConducteur,$S$9:$S14,"Oui",$C$9:$C14,"&gt;="&amp;RelDebut,$C$9:$C14,"&lt;="&amp;RelFin),"")</f>
        <v/>
      </c>
    </row>
    <row r="15" spans="1:31" ht="18" customHeight="1" x14ac:dyDescent="0.25">
      <c r="B15" s="48">
        <f>IF(C15="","",COUNT($C$9:C15))</f>
        <v>7</v>
      </c>
      <c r="C15" s="49">
        <v>46406</v>
      </c>
      <c r="D15" s="51" t="s">
        <v>148</v>
      </c>
      <c r="E15" s="53">
        <v>40015</v>
      </c>
      <c r="F15" s="51" t="s">
        <v>212</v>
      </c>
      <c r="G15" s="51"/>
      <c r="H15" s="51" t="s">
        <v>213</v>
      </c>
      <c r="I15" s="51" t="s">
        <v>224</v>
      </c>
      <c r="J15" s="59"/>
      <c r="K15" s="60"/>
      <c r="L15" s="61">
        <v>19.8</v>
      </c>
      <c r="M15" s="62"/>
      <c r="N15" s="63">
        <f t="shared" si="0"/>
        <v>16.5</v>
      </c>
      <c r="O15" s="64">
        <f t="shared" si="1"/>
        <v>3.3000000000000007</v>
      </c>
      <c r="P15" s="65" t="str">
        <f t="shared" si="2"/>
        <v/>
      </c>
      <c r="Q15" s="66" t="str">
        <f t="shared" si="8"/>
        <v/>
      </c>
      <c r="R15" s="51" t="s">
        <v>215</v>
      </c>
      <c r="S15" s="60" t="s">
        <v>209</v>
      </c>
      <c r="T15" s="52" t="str">
        <f t="shared" si="3"/>
        <v>Service commercial</v>
      </c>
      <c r="U15" s="51" t="s">
        <v>225</v>
      </c>
      <c r="V15" s="56" t="str">
        <f t="shared" si="4"/>
        <v>Conforme</v>
      </c>
      <c r="X15" s="57" t="str">
        <f t="shared" si="5"/>
        <v>Frais fixes et divers</v>
      </c>
      <c r="Y15" s="57">
        <f t="shared" si="6"/>
        <v>0</v>
      </c>
      <c r="Z15" s="57">
        <f t="shared" si="9"/>
        <v>39634</v>
      </c>
      <c r="AA15" s="57">
        <f t="shared" si="10"/>
        <v>0</v>
      </c>
      <c r="AB15" s="57">
        <f t="shared" si="7"/>
        <v>0.2</v>
      </c>
      <c r="AC15" s="57" t="str">
        <f t="shared" si="11"/>
        <v/>
      </c>
      <c r="AD15" s="57" t="str">
        <f t="shared" si="12"/>
        <v/>
      </c>
      <c r="AE15" s="57" t="str">
        <f>IF(AND($D15=RelConducteur,$S15="Oui",ISNUMBER($C15),$C15&gt;=RelDebut,$C15&lt;=RelFin),COUNTIFS($D$9:$D15,RelConducteur,$S$9:$S15,"Oui",$C$9:$C15,"&gt;="&amp;RelDebut,$C$9:$C15,"&lt;="&amp;RelFin),"")</f>
        <v/>
      </c>
    </row>
    <row r="16" spans="1:31" ht="18" customHeight="1" x14ac:dyDescent="0.25">
      <c r="B16" s="48">
        <f>IF(C16="","",COUNT($C$9:C16))</f>
        <v>8</v>
      </c>
      <c r="C16" s="49">
        <v>46407</v>
      </c>
      <c r="D16" s="51" t="s">
        <v>148</v>
      </c>
      <c r="E16" s="53">
        <v>40172</v>
      </c>
      <c r="F16" s="51" t="s">
        <v>206</v>
      </c>
      <c r="G16" s="51"/>
      <c r="H16" s="51" t="s">
        <v>226</v>
      </c>
      <c r="I16" s="51" t="s">
        <v>208</v>
      </c>
      <c r="J16" s="59">
        <v>36.049999999999997</v>
      </c>
      <c r="K16" s="60" t="s">
        <v>209</v>
      </c>
      <c r="L16" s="61">
        <v>63.12</v>
      </c>
      <c r="M16" s="62"/>
      <c r="N16" s="63">
        <f t="shared" si="0"/>
        <v>52.6</v>
      </c>
      <c r="O16" s="64">
        <f t="shared" si="1"/>
        <v>10.519999999999996</v>
      </c>
      <c r="P16" s="65">
        <f t="shared" si="2"/>
        <v>1.7509015256588072</v>
      </c>
      <c r="Q16" s="66">
        <f t="shared" si="8"/>
        <v>6.7007434944237918</v>
      </c>
      <c r="R16" s="51" t="s">
        <v>210</v>
      </c>
      <c r="S16" s="60" t="s">
        <v>204</v>
      </c>
      <c r="T16" s="52" t="str">
        <f t="shared" si="3"/>
        <v>Service commercial</v>
      </c>
      <c r="U16" s="51" t="s">
        <v>227</v>
      </c>
      <c r="V16" s="56" t="str">
        <f t="shared" si="4"/>
        <v>Conforme</v>
      </c>
      <c r="X16" s="57" t="str">
        <f t="shared" si="5"/>
        <v>Énergie</v>
      </c>
      <c r="Y16" s="57">
        <f t="shared" si="6"/>
        <v>1</v>
      </c>
      <c r="Z16" s="57">
        <f t="shared" si="9"/>
        <v>40172</v>
      </c>
      <c r="AA16" s="57">
        <f t="shared" si="10"/>
        <v>0</v>
      </c>
      <c r="AB16" s="57">
        <f t="shared" si="7"/>
        <v>0.2</v>
      </c>
      <c r="AC16" s="57">
        <f t="shared" si="11"/>
        <v>538</v>
      </c>
      <c r="AD16" s="57">
        <f t="shared" si="12"/>
        <v>36.049999999999997</v>
      </c>
      <c r="AE16" s="57" t="str">
        <f>IF(AND($D16=RelConducteur,$S16="Oui",ISNUMBER($C16),$C16&gt;=RelDebut,$C16&lt;=RelFin),COUNTIFS($D$9:$D16,RelConducteur,$S$9:$S16,"Oui",$C$9:$C16,"&gt;="&amp;RelDebut,$C$9:$C16,"&lt;="&amp;RelFin),"")</f>
        <v/>
      </c>
    </row>
    <row r="17" spans="2:31" ht="18" customHeight="1" x14ac:dyDescent="0.25">
      <c r="B17" s="48">
        <f>IF(C17="","",COUNT($C$9:C17))</f>
        <v>9</v>
      </c>
      <c r="C17" s="49">
        <v>46409</v>
      </c>
      <c r="D17" s="51"/>
      <c r="E17" s="53">
        <v>40220</v>
      </c>
      <c r="F17" s="51" t="s">
        <v>228</v>
      </c>
      <c r="G17" s="51" t="s">
        <v>229</v>
      </c>
      <c r="H17" s="51" t="s">
        <v>230</v>
      </c>
      <c r="I17" s="51" t="s">
        <v>231</v>
      </c>
      <c r="J17" s="59"/>
      <c r="K17" s="60"/>
      <c r="L17" s="61">
        <v>38.4</v>
      </c>
      <c r="M17" s="62"/>
      <c r="N17" s="63">
        <f t="shared" si="0"/>
        <v>32</v>
      </c>
      <c r="O17" s="64">
        <f t="shared" si="1"/>
        <v>6.3999999999999986</v>
      </c>
      <c r="P17" s="65" t="str">
        <f t="shared" si="2"/>
        <v/>
      </c>
      <c r="Q17" s="66" t="str">
        <f t="shared" si="8"/>
        <v/>
      </c>
      <c r="R17" s="51" t="s">
        <v>232</v>
      </c>
      <c r="S17" s="60" t="s">
        <v>204</v>
      </c>
      <c r="T17" s="52" t="str">
        <f t="shared" si="3"/>
        <v>Non affecté</v>
      </c>
      <c r="U17" s="51" t="s">
        <v>233</v>
      </c>
      <c r="V17" s="56" t="str">
        <f t="shared" si="4"/>
        <v>Conforme</v>
      </c>
      <c r="X17" s="57" t="str">
        <f t="shared" si="5"/>
        <v>Frais fixes et divers</v>
      </c>
      <c r="Y17" s="57">
        <f t="shared" si="6"/>
        <v>0</v>
      </c>
      <c r="Z17" s="57">
        <f t="shared" si="9"/>
        <v>40172</v>
      </c>
      <c r="AA17" s="57">
        <f t="shared" si="10"/>
        <v>0</v>
      </c>
      <c r="AB17" s="57">
        <f t="shared" si="7"/>
        <v>0.2</v>
      </c>
      <c r="AC17" s="57" t="str">
        <f t="shared" si="11"/>
        <v/>
      </c>
      <c r="AD17" s="57" t="str">
        <f t="shared" si="12"/>
        <v/>
      </c>
      <c r="AE17" s="57" t="str">
        <f>IF(AND($D17=RelConducteur,$S17="Oui",ISNUMBER($C17),$C17&gt;=RelDebut,$C17&lt;=RelFin),COUNTIFS($D$9:$D17,RelConducteur,$S$9:$S17,"Oui",$C$9:$C17,"&gt;="&amp;RelDebut,$C$9:$C17,"&lt;="&amp;RelFin),"")</f>
        <v/>
      </c>
    </row>
    <row r="18" spans="2:31" ht="18" customHeight="1" x14ac:dyDescent="0.25">
      <c r="B18" s="48">
        <f>IF(C18="","",COUNT($C$9:C18))</f>
        <v>10</v>
      </c>
      <c r="C18" s="49">
        <v>46415</v>
      </c>
      <c r="D18" s="51" t="s">
        <v>148</v>
      </c>
      <c r="E18" s="53">
        <v>40635</v>
      </c>
      <c r="F18" s="51" t="s">
        <v>212</v>
      </c>
      <c r="G18" s="51"/>
      <c r="H18" s="51" t="s">
        <v>213</v>
      </c>
      <c r="I18" s="51" t="s">
        <v>224</v>
      </c>
      <c r="J18" s="59"/>
      <c r="K18" s="60"/>
      <c r="L18" s="61">
        <v>19.8</v>
      </c>
      <c r="M18" s="62"/>
      <c r="N18" s="63">
        <f t="shared" si="0"/>
        <v>16.5</v>
      </c>
      <c r="O18" s="64">
        <f t="shared" si="1"/>
        <v>3.3000000000000007</v>
      </c>
      <c r="P18" s="65" t="str">
        <f t="shared" si="2"/>
        <v/>
      </c>
      <c r="Q18" s="66" t="str">
        <f t="shared" si="8"/>
        <v/>
      </c>
      <c r="R18" s="51" t="s">
        <v>215</v>
      </c>
      <c r="S18" s="60" t="s">
        <v>209</v>
      </c>
      <c r="T18" s="52" t="str">
        <f t="shared" si="3"/>
        <v>Service commercial</v>
      </c>
      <c r="U18" s="51" t="s">
        <v>234</v>
      </c>
      <c r="V18" s="56" t="str">
        <f t="shared" si="4"/>
        <v>Conforme</v>
      </c>
      <c r="X18" s="57" t="str">
        <f t="shared" si="5"/>
        <v>Frais fixes et divers</v>
      </c>
      <c r="Y18" s="57">
        <f t="shared" si="6"/>
        <v>0</v>
      </c>
      <c r="Z18" s="57">
        <f t="shared" si="9"/>
        <v>40172</v>
      </c>
      <c r="AA18" s="57">
        <f t="shared" si="10"/>
        <v>0</v>
      </c>
      <c r="AB18" s="57">
        <f t="shared" si="7"/>
        <v>0.2</v>
      </c>
      <c r="AC18" s="57" t="str">
        <f t="shared" si="11"/>
        <v/>
      </c>
      <c r="AD18" s="57" t="str">
        <f t="shared" si="12"/>
        <v/>
      </c>
      <c r="AE18" s="57" t="str">
        <f>IF(AND($D18=RelConducteur,$S18="Oui",ISNUMBER($C18),$C18&gt;=RelDebut,$C18&lt;=RelFin),COUNTIFS($D$9:$D18,RelConducteur,$S$9:$S18,"Oui",$C$9:$C18,"&gt;="&amp;RelDebut,$C$9:$C18,"&lt;="&amp;RelFin),"")</f>
        <v/>
      </c>
    </row>
    <row r="19" spans="2:31" ht="18" customHeight="1" x14ac:dyDescent="0.25">
      <c r="B19" s="48">
        <f>IF(C19="","",COUNT($C$9:C19))</f>
        <v>11</v>
      </c>
      <c r="C19" s="49">
        <v>46416</v>
      </c>
      <c r="D19" s="51" t="s">
        <v>139</v>
      </c>
      <c r="E19" s="53">
        <v>40706</v>
      </c>
      <c r="F19" s="51" t="s">
        <v>206</v>
      </c>
      <c r="G19" s="51"/>
      <c r="H19" s="51" t="s">
        <v>207</v>
      </c>
      <c r="I19" s="51" t="s">
        <v>208</v>
      </c>
      <c r="J19" s="59">
        <v>19.2</v>
      </c>
      <c r="K19" s="60" t="s">
        <v>204</v>
      </c>
      <c r="L19" s="61">
        <v>33.6</v>
      </c>
      <c r="M19" s="62"/>
      <c r="N19" s="63">
        <f t="shared" si="0"/>
        <v>28.000000000000004</v>
      </c>
      <c r="O19" s="64">
        <f t="shared" si="1"/>
        <v>5.5999999999999979</v>
      </c>
      <c r="P19" s="65">
        <f t="shared" si="2"/>
        <v>1.7500000000000002</v>
      </c>
      <c r="Q19" s="66" t="str">
        <f t="shared" si="8"/>
        <v/>
      </c>
      <c r="R19" s="51" t="s">
        <v>210</v>
      </c>
      <c r="S19" s="60" t="s">
        <v>204</v>
      </c>
      <c r="T19" s="52" t="str">
        <f t="shared" si="3"/>
        <v>Service technique</v>
      </c>
      <c r="U19" s="51" t="s">
        <v>235</v>
      </c>
      <c r="V19" s="56" t="str">
        <f t="shared" si="4"/>
        <v>Conforme</v>
      </c>
      <c r="X19" s="57" t="str">
        <f t="shared" si="5"/>
        <v>Énergie</v>
      </c>
      <c r="Y19" s="57">
        <f t="shared" si="6"/>
        <v>1</v>
      </c>
      <c r="Z19" s="57">
        <f t="shared" si="9"/>
        <v>40172</v>
      </c>
      <c r="AA19" s="57">
        <f t="shared" si="10"/>
        <v>19.2</v>
      </c>
      <c r="AB19" s="57">
        <f t="shared" si="7"/>
        <v>0.2</v>
      </c>
      <c r="AC19" s="57" t="str">
        <f t="shared" si="11"/>
        <v/>
      </c>
      <c r="AD19" s="57" t="str">
        <f t="shared" si="12"/>
        <v/>
      </c>
      <c r="AE19" s="57" t="str">
        <f>IF(AND($D19=RelConducteur,$S19="Oui",ISNUMBER($C19),$C19&gt;=RelDebut,$C19&lt;=RelFin),COUNTIFS($D$9:$D19,RelConducteur,$S$9:$S19,"Oui",$C$9:$C19,"&gt;="&amp;RelDebut,$C$9:$C19,"&lt;="&amp;RelFin),"")</f>
        <v/>
      </c>
    </row>
    <row r="20" spans="2:31" ht="18" customHeight="1" x14ac:dyDescent="0.25">
      <c r="B20" s="48">
        <f>IF(C20="","",COUNT($C$9:C20))</f>
        <v>12</v>
      </c>
      <c r="C20" s="49">
        <v>46416</v>
      </c>
      <c r="D20" s="51" t="s">
        <v>148</v>
      </c>
      <c r="E20" s="53">
        <v>40720</v>
      </c>
      <c r="F20" s="51" t="s">
        <v>217</v>
      </c>
      <c r="G20" s="51"/>
      <c r="H20" s="51" t="s">
        <v>236</v>
      </c>
      <c r="I20" s="51" t="s">
        <v>219</v>
      </c>
      <c r="J20" s="59"/>
      <c r="K20" s="60"/>
      <c r="L20" s="61">
        <v>7.5</v>
      </c>
      <c r="M20" s="62"/>
      <c r="N20" s="63">
        <f t="shared" si="0"/>
        <v>6.25</v>
      </c>
      <c r="O20" s="64">
        <f t="shared" si="1"/>
        <v>1.25</v>
      </c>
      <c r="P20" s="65" t="str">
        <f t="shared" si="2"/>
        <v/>
      </c>
      <c r="Q20" s="66" t="str">
        <f t="shared" si="8"/>
        <v/>
      </c>
      <c r="R20" s="51" t="s">
        <v>215</v>
      </c>
      <c r="S20" s="60" t="s">
        <v>209</v>
      </c>
      <c r="T20" s="52" t="str">
        <f t="shared" si="3"/>
        <v>Service commercial</v>
      </c>
      <c r="U20" s="51" t="s">
        <v>237</v>
      </c>
      <c r="V20" s="56" t="str">
        <f t="shared" si="4"/>
        <v>Conforme</v>
      </c>
      <c r="X20" s="57" t="str">
        <f t="shared" si="5"/>
        <v>Frais fixes et divers</v>
      </c>
      <c r="Y20" s="57">
        <f t="shared" si="6"/>
        <v>0</v>
      </c>
      <c r="Z20" s="57">
        <f t="shared" si="9"/>
        <v>40172</v>
      </c>
      <c r="AA20" s="57">
        <f t="shared" si="10"/>
        <v>19.2</v>
      </c>
      <c r="AB20" s="57">
        <f t="shared" si="7"/>
        <v>0.2</v>
      </c>
      <c r="AC20" s="57" t="str">
        <f t="shared" si="11"/>
        <v/>
      </c>
      <c r="AD20" s="57" t="str">
        <f t="shared" si="12"/>
        <v/>
      </c>
      <c r="AE20" s="57" t="str">
        <f>IF(AND($D20=RelConducteur,$S20="Oui",ISNUMBER($C20),$C20&gt;=RelDebut,$C20&lt;=RelFin),COUNTIFS($D$9:$D20,RelConducteur,$S$9:$S20,"Oui",$C$9:$C20,"&gt;="&amp;RelDebut,$C$9:$C20,"&lt;="&amp;RelFin),"")</f>
        <v/>
      </c>
    </row>
    <row r="21" spans="2:31" ht="18" customHeight="1" x14ac:dyDescent="0.25">
      <c r="B21" s="48">
        <f>IF(C21="","",COUNT($C$9:C21))</f>
        <v>13</v>
      </c>
      <c r="C21" s="49">
        <v>46420</v>
      </c>
      <c r="D21" s="51" t="s">
        <v>148</v>
      </c>
      <c r="E21" s="53">
        <v>40948</v>
      </c>
      <c r="F21" s="51" t="s">
        <v>212</v>
      </c>
      <c r="G21" s="51"/>
      <c r="H21" s="51" t="s">
        <v>213</v>
      </c>
      <c r="I21" s="51" t="s">
        <v>222</v>
      </c>
      <c r="J21" s="59"/>
      <c r="K21" s="60"/>
      <c r="L21" s="61">
        <v>14.6</v>
      </c>
      <c r="M21" s="62"/>
      <c r="N21" s="63">
        <f t="shared" si="0"/>
        <v>12.166666666666666</v>
      </c>
      <c r="O21" s="64">
        <f t="shared" si="1"/>
        <v>2.4333333333333336</v>
      </c>
      <c r="P21" s="65" t="str">
        <f t="shared" si="2"/>
        <v/>
      </c>
      <c r="Q21" s="66" t="str">
        <f t="shared" si="8"/>
        <v/>
      </c>
      <c r="R21" s="51" t="s">
        <v>215</v>
      </c>
      <c r="S21" s="60" t="s">
        <v>209</v>
      </c>
      <c r="T21" s="52" t="str">
        <f t="shared" si="3"/>
        <v>Service commercial</v>
      </c>
      <c r="U21" s="51" t="s">
        <v>238</v>
      </c>
      <c r="V21" s="56" t="str">
        <f t="shared" si="4"/>
        <v>Conforme</v>
      </c>
      <c r="X21" s="57" t="str">
        <f t="shared" si="5"/>
        <v>Frais fixes et divers</v>
      </c>
      <c r="Y21" s="57">
        <f t="shared" si="6"/>
        <v>0</v>
      </c>
      <c r="Z21" s="57">
        <f t="shared" si="9"/>
        <v>40172</v>
      </c>
      <c r="AA21" s="57">
        <f t="shared" si="10"/>
        <v>19.2</v>
      </c>
      <c r="AB21" s="57">
        <f t="shared" si="7"/>
        <v>0.2</v>
      </c>
      <c r="AC21" s="57" t="str">
        <f t="shared" si="11"/>
        <v/>
      </c>
      <c r="AD21" s="57" t="str">
        <f t="shared" si="12"/>
        <v/>
      </c>
      <c r="AE21" s="57" t="str">
        <f>IF(AND($D21=RelConducteur,$S21="Oui",ISNUMBER($C21),$C21&gt;=RelDebut,$C21&lt;=RelFin),COUNTIFS($D$9:$D21,RelConducteur,$S$9:$S21,"Oui",$C$9:$C21,"&gt;="&amp;RelDebut,$C$9:$C21,"&lt;="&amp;RelFin),"")</f>
        <v/>
      </c>
    </row>
    <row r="22" spans="2:31" ht="18" customHeight="1" x14ac:dyDescent="0.25">
      <c r="B22" s="48">
        <f>IF(C22="","",COUNT($C$9:C22))</f>
        <v>14</v>
      </c>
      <c r="C22" s="49">
        <v>46422</v>
      </c>
      <c r="D22" s="51" t="s">
        <v>139</v>
      </c>
      <c r="E22" s="53">
        <v>40997</v>
      </c>
      <c r="F22" s="51" t="s">
        <v>206</v>
      </c>
      <c r="G22" s="51"/>
      <c r="H22" s="51" t="s">
        <v>207</v>
      </c>
      <c r="I22" s="51" t="s">
        <v>208</v>
      </c>
      <c r="J22" s="59">
        <v>38.450000000000003</v>
      </c>
      <c r="K22" s="60" t="s">
        <v>209</v>
      </c>
      <c r="L22" s="61">
        <v>67.52</v>
      </c>
      <c r="M22" s="62"/>
      <c r="N22" s="63">
        <f t="shared" si="0"/>
        <v>56.266666666666666</v>
      </c>
      <c r="O22" s="64">
        <f t="shared" si="1"/>
        <v>11.25333333333333</v>
      </c>
      <c r="P22" s="65">
        <f t="shared" si="2"/>
        <v>1.7560468140442129</v>
      </c>
      <c r="Q22" s="66">
        <f t="shared" si="8"/>
        <v>6.9878787878787891</v>
      </c>
      <c r="R22" s="51" t="s">
        <v>210</v>
      </c>
      <c r="S22" s="60" t="s">
        <v>204</v>
      </c>
      <c r="T22" s="52" t="str">
        <f t="shared" si="3"/>
        <v>Service technique</v>
      </c>
      <c r="U22" s="51" t="s">
        <v>239</v>
      </c>
      <c r="V22" s="56" t="str">
        <f t="shared" si="4"/>
        <v>Conforme</v>
      </c>
      <c r="X22" s="57" t="str">
        <f t="shared" si="5"/>
        <v>Énergie</v>
      </c>
      <c r="Y22" s="57">
        <f t="shared" si="6"/>
        <v>1</v>
      </c>
      <c r="Z22" s="57">
        <f t="shared" si="9"/>
        <v>40997</v>
      </c>
      <c r="AA22" s="57">
        <f t="shared" si="10"/>
        <v>0</v>
      </c>
      <c r="AB22" s="57">
        <f t="shared" si="7"/>
        <v>0.2</v>
      </c>
      <c r="AC22" s="57">
        <f t="shared" si="11"/>
        <v>825</v>
      </c>
      <c r="AD22" s="57">
        <f t="shared" si="12"/>
        <v>57.650000000000006</v>
      </c>
      <c r="AE22" s="57" t="str">
        <f>IF(AND($D22=RelConducteur,$S22="Oui",ISNUMBER($C22),$C22&gt;=RelDebut,$C22&lt;=RelFin),COUNTIFS($D$9:$D22,RelConducteur,$S$9:$S22,"Oui",$C$9:$C22,"&gt;="&amp;RelDebut,$C$9:$C22,"&lt;="&amp;RelFin),"")</f>
        <v/>
      </c>
    </row>
    <row r="23" spans="2:31" ht="18" customHeight="1" x14ac:dyDescent="0.25">
      <c r="B23" s="48">
        <f>IF(C23="","",COUNT($C$9:C23))</f>
        <v>15</v>
      </c>
      <c r="C23" s="49">
        <v>46423</v>
      </c>
      <c r="D23" s="51" t="s">
        <v>133</v>
      </c>
      <c r="E23" s="53">
        <v>41054</v>
      </c>
      <c r="F23" s="51" t="s">
        <v>240</v>
      </c>
      <c r="G23" s="51"/>
      <c r="H23" s="51" t="s">
        <v>241</v>
      </c>
      <c r="I23" s="51" t="s">
        <v>242</v>
      </c>
      <c r="J23" s="59"/>
      <c r="K23" s="60"/>
      <c r="L23" s="61">
        <v>14</v>
      </c>
      <c r="M23" s="62"/>
      <c r="N23" s="63">
        <f t="shared" si="0"/>
        <v>11.666666666666668</v>
      </c>
      <c r="O23" s="64">
        <f t="shared" si="1"/>
        <v>2.3333333333333321</v>
      </c>
      <c r="P23" s="65" t="str">
        <f t="shared" si="2"/>
        <v/>
      </c>
      <c r="Q23" s="66" t="str">
        <f t="shared" si="8"/>
        <v/>
      </c>
      <c r="R23" s="51" t="s">
        <v>210</v>
      </c>
      <c r="S23" s="60" t="s">
        <v>204</v>
      </c>
      <c r="T23" s="52" t="str">
        <f t="shared" si="3"/>
        <v>Service technique</v>
      </c>
      <c r="U23" s="51" t="s">
        <v>243</v>
      </c>
      <c r="V23" s="56" t="str">
        <f t="shared" si="4"/>
        <v>Conforme</v>
      </c>
      <c r="X23" s="57" t="str">
        <f t="shared" si="5"/>
        <v>Frais fixes et divers</v>
      </c>
      <c r="Y23" s="57">
        <f t="shared" si="6"/>
        <v>0</v>
      </c>
      <c r="Z23" s="57">
        <f t="shared" si="9"/>
        <v>40997</v>
      </c>
      <c r="AA23" s="57">
        <f t="shared" si="10"/>
        <v>0</v>
      </c>
      <c r="AB23" s="57">
        <f t="shared" si="7"/>
        <v>0.2</v>
      </c>
      <c r="AC23" s="57" t="str">
        <f t="shared" si="11"/>
        <v/>
      </c>
      <c r="AD23" s="57" t="str">
        <f t="shared" si="12"/>
        <v/>
      </c>
      <c r="AE23" s="57" t="str">
        <f>IF(AND($D23=RelConducteur,$S23="Oui",ISNUMBER($C23),$C23&gt;=RelDebut,$C23&lt;=RelFin),COUNTIFS($D$9:$D23,RelConducteur,$S$9:$S23,"Oui",$C$9:$C23,"&gt;="&amp;RelDebut,$C$9:$C23,"&lt;="&amp;RelFin),"")</f>
        <v/>
      </c>
    </row>
    <row r="24" spans="2:31" ht="18" customHeight="1" x14ac:dyDescent="0.25">
      <c r="B24" s="48">
        <f>IF(C24="","",COUNT($C$9:C24))</f>
        <v>16</v>
      </c>
      <c r="C24" s="49">
        <v>46427</v>
      </c>
      <c r="D24" s="51" t="s">
        <v>148</v>
      </c>
      <c r="E24" s="53">
        <v>41418</v>
      </c>
      <c r="F24" s="51" t="s">
        <v>212</v>
      </c>
      <c r="G24" s="51"/>
      <c r="H24" s="51" t="s">
        <v>213</v>
      </c>
      <c r="I24" s="51" t="s">
        <v>222</v>
      </c>
      <c r="J24" s="59"/>
      <c r="K24" s="60"/>
      <c r="L24" s="61">
        <v>14.6</v>
      </c>
      <c r="M24" s="62"/>
      <c r="N24" s="63">
        <f t="shared" si="0"/>
        <v>12.166666666666666</v>
      </c>
      <c r="O24" s="64">
        <f t="shared" si="1"/>
        <v>2.4333333333333336</v>
      </c>
      <c r="P24" s="65" t="str">
        <f t="shared" si="2"/>
        <v/>
      </c>
      <c r="Q24" s="66" t="str">
        <f t="shared" si="8"/>
        <v/>
      </c>
      <c r="R24" s="51" t="s">
        <v>215</v>
      </c>
      <c r="S24" s="60" t="s">
        <v>209</v>
      </c>
      <c r="T24" s="52" t="str">
        <f t="shared" si="3"/>
        <v>Service commercial</v>
      </c>
      <c r="U24" s="51" t="s">
        <v>244</v>
      </c>
      <c r="V24" s="56" t="str">
        <f t="shared" si="4"/>
        <v>Conforme</v>
      </c>
      <c r="X24" s="57" t="str">
        <f t="shared" si="5"/>
        <v>Frais fixes et divers</v>
      </c>
      <c r="Y24" s="57">
        <f t="shared" si="6"/>
        <v>0</v>
      </c>
      <c r="Z24" s="57">
        <f t="shared" si="9"/>
        <v>40997</v>
      </c>
      <c r="AA24" s="57">
        <f t="shared" si="10"/>
        <v>0</v>
      </c>
      <c r="AB24" s="57">
        <f t="shared" si="7"/>
        <v>0.2</v>
      </c>
      <c r="AC24" s="57" t="str">
        <f t="shared" si="11"/>
        <v/>
      </c>
      <c r="AD24" s="57" t="str">
        <f t="shared" si="12"/>
        <v/>
      </c>
      <c r="AE24" s="57" t="str">
        <f>IF(AND($D24=RelConducteur,$S24="Oui",ISNUMBER($C24),$C24&gt;=RelDebut,$C24&lt;=RelFin),COUNTIFS($D$9:$D24,RelConducteur,$S$9:$S24,"Oui",$C$9:$C24,"&gt;="&amp;RelDebut,$C$9:$C24,"&lt;="&amp;RelFin),"")</f>
        <v/>
      </c>
    </row>
    <row r="25" spans="2:31" ht="18" customHeight="1" x14ac:dyDescent="0.25">
      <c r="B25" s="48">
        <f>IF(C25="","",COUNT($C$9:C25))</f>
        <v>17</v>
      </c>
      <c r="C25" s="49">
        <v>46428</v>
      </c>
      <c r="D25" s="51" t="s">
        <v>169</v>
      </c>
      <c r="E25" s="53">
        <v>41513</v>
      </c>
      <c r="F25" s="51" t="s">
        <v>206</v>
      </c>
      <c r="G25" s="51"/>
      <c r="H25" s="51" t="s">
        <v>226</v>
      </c>
      <c r="I25" s="51" t="s">
        <v>208</v>
      </c>
      <c r="J25" s="59">
        <v>36.24</v>
      </c>
      <c r="K25" s="60" t="s">
        <v>209</v>
      </c>
      <c r="L25" s="61">
        <v>62.12</v>
      </c>
      <c r="M25" s="62"/>
      <c r="N25" s="63">
        <f t="shared" si="0"/>
        <v>51.766666666666666</v>
      </c>
      <c r="O25" s="64">
        <f t="shared" si="1"/>
        <v>10.353333333333332</v>
      </c>
      <c r="P25" s="65">
        <f t="shared" si="2"/>
        <v>1.7141280353200881</v>
      </c>
      <c r="Q25" s="66">
        <f t="shared" si="8"/>
        <v>7.0232558139534884</v>
      </c>
      <c r="R25" s="51" t="s">
        <v>210</v>
      </c>
      <c r="S25" s="60" t="s">
        <v>204</v>
      </c>
      <c r="T25" s="52" t="str">
        <f t="shared" si="3"/>
        <v>Direction</v>
      </c>
      <c r="U25" s="51" t="s">
        <v>245</v>
      </c>
      <c r="V25" s="56" t="str">
        <f t="shared" si="4"/>
        <v>Conforme</v>
      </c>
      <c r="X25" s="57" t="str">
        <f t="shared" si="5"/>
        <v>Énergie</v>
      </c>
      <c r="Y25" s="57">
        <f t="shared" si="6"/>
        <v>1</v>
      </c>
      <c r="Z25" s="57">
        <f t="shared" si="9"/>
        <v>41513</v>
      </c>
      <c r="AA25" s="57">
        <f t="shared" si="10"/>
        <v>0</v>
      </c>
      <c r="AB25" s="57">
        <f t="shared" si="7"/>
        <v>0.2</v>
      </c>
      <c r="AC25" s="57">
        <f t="shared" si="11"/>
        <v>516</v>
      </c>
      <c r="AD25" s="57">
        <f t="shared" si="12"/>
        <v>36.24</v>
      </c>
      <c r="AE25" s="57" t="str">
        <f>IF(AND($D25=RelConducteur,$S25="Oui",ISNUMBER($C25),$C25&gt;=RelDebut,$C25&lt;=RelFin),COUNTIFS($D$9:$D25,RelConducteur,$S$9:$S25,"Oui",$C$9:$C25,"&gt;="&amp;RelDebut,$C$9:$C25,"&lt;="&amp;RelFin),"")</f>
        <v/>
      </c>
    </row>
    <row r="26" spans="2:31" ht="18" customHeight="1" x14ac:dyDescent="0.25">
      <c r="B26" s="48">
        <f>IF(C26="","",COUNT($C$9:C26))</f>
        <v>18</v>
      </c>
      <c r="C26" s="49">
        <v>46441</v>
      </c>
      <c r="D26" s="51" t="s">
        <v>148</v>
      </c>
      <c r="E26" s="53">
        <v>42000</v>
      </c>
      <c r="F26" s="51" t="s">
        <v>206</v>
      </c>
      <c r="G26" s="51"/>
      <c r="H26" s="51" t="s">
        <v>226</v>
      </c>
      <c r="I26" s="51" t="s">
        <v>208</v>
      </c>
      <c r="J26" s="59">
        <v>34.880000000000003</v>
      </c>
      <c r="K26" s="60" t="s">
        <v>209</v>
      </c>
      <c r="L26" s="61">
        <v>61.28</v>
      </c>
      <c r="M26" s="62"/>
      <c r="N26" s="63">
        <f t="shared" si="0"/>
        <v>51.06666666666667</v>
      </c>
      <c r="O26" s="64">
        <f t="shared" si="1"/>
        <v>10.213333333333331</v>
      </c>
      <c r="P26" s="65">
        <f t="shared" si="2"/>
        <v>1.7568807339449541</v>
      </c>
      <c r="Q26" s="66">
        <f t="shared" si="8"/>
        <v>7.1622176591375775</v>
      </c>
      <c r="R26" s="51" t="s">
        <v>210</v>
      </c>
      <c r="S26" s="60" t="s">
        <v>204</v>
      </c>
      <c r="T26" s="52" t="str">
        <f t="shared" si="3"/>
        <v>Service commercial</v>
      </c>
      <c r="U26" s="51" t="s">
        <v>246</v>
      </c>
      <c r="V26" s="56" t="str">
        <f t="shared" si="4"/>
        <v>Conforme</v>
      </c>
      <c r="X26" s="57" t="str">
        <f t="shared" si="5"/>
        <v>Énergie</v>
      </c>
      <c r="Y26" s="57">
        <f t="shared" si="6"/>
        <v>1</v>
      </c>
      <c r="Z26" s="57">
        <f t="shared" si="9"/>
        <v>42000</v>
      </c>
      <c r="AA26" s="57">
        <f t="shared" si="10"/>
        <v>0</v>
      </c>
      <c r="AB26" s="57">
        <f t="shared" si="7"/>
        <v>0.2</v>
      </c>
      <c r="AC26" s="57">
        <f t="shared" si="11"/>
        <v>487</v>
      </c>
      <c r="AD26" s="57">
        <f t="shared" si="12"/>
        <v>34.880000000000003</v>
      </c>
      <c r="AE26" s="57" t="str">
        <f>IF(AND($D26=RelConducteur,$S26="Oui",ISNUMBER($C26),$C26&gt;=RelDebut,$C26&lt;=RelFin),COUNTIFS($D$9:$D26,RelConducteur,$S$9:$S26,"Oui",$C$9:$C26,"&gt;="&amp;RelDebut,$C$9:$C26,"&lt;="&amp;RelFin),"")</f>
        <v/>
      </c>
    </row>
    <row r="27" spans="2:31" ht="18" customHeight="1" x14ac:dyDescent="0.25">
      <c r="B27" s="48">
        <f>IF(C27="","",COUNT($C$9:C27))</f>
        <v>19</v>
      </c>
      <c r="C27" s="49">
        <v>46441</v>
      </c>
      <c r="D27" s="51" t="s">
        <v>148</v>
      </c>
      <c r="E27" s="53">
        <v>42214</v>
      </c>
      <c r="F27" s="51" t="s">
        <v>212</v>
      </c>
      <c r="G27" s="51"/>
      <c r="H27" s="51" t="s">
        <v>213</v>
      </c>
      <c r="I27" s="51" t="s">
        <v>224</v>
      </c>
      <c r="J27" s="59"/>
      <c r="K27" s="60"/>
      <c r="L27" s="61">
        <v>19.8</v>
      </c>
      <c r="M27" s="62"/>
      <c r="N27" s="63">
        <f t="shared" si="0"/>
        <v>16.5</v>
      </c>
      <c r="O27" s="64">
        <f t="shared" si="1"/>
        <v>3.3000000000000007</v>
      </c>
      <c r="P27" s="65" t="str">
        <f t="shared" si="2"/>
        <v/>
      </c>
      <c r="Q27" s="66" t="str">
        <f t="shared" si="8"/>
        <v/>
      </c>
      <c r="R27" s="51" t="s">
        <v>215</v>
      </c>
      <c r="S27" s="60" t="s">
        <v>209</v>
      </c>
      <c r="T27" s="52" t="str">
        <f t="shared" si="3"/>
        <v>Service commercial</v>
      </c>
      <c r="U27" s="51" t="s">
        <v>247</v>
      </c>
      <c r="V27" s="56" t="str">
        <f t="shared" si="4"/>
        <v>Conforme</v>
      </c>
      <c r="X27" s="57" t="str">
        <f t="shared" si="5"/>
        <v>Frais fixes et divers</v>
      </c>
      <c r="Y27" s="57">
        <f t="shared" si="6"/>
        <v>0</v>
      </c>
      <c r="Z27" s="57">
        <f t="shared" si="9"/>
        <v>42000</v>
      </c>
      <c r="AA27" s="57">
        <f t="shared" si="10"/>
        <v>0</v>
      </c>
      <c r="AB27" s="57">
        <f t="shared" si="7"/>
        <v>0.2</v>
      </c>
      <c r="AC27" s="57" t="str">
        <f t="shared" si="11"/>
        <v/>
      </c>
      <c r="AD27" s="57" t="str">
        <f t="shared" si="12"/>
        <v/>
      </c>
      <c r="AE27" s="57" t="str">
        <f>IF(AND($D27=RelConducteur,$S27="Oui",ISNUMBER($C27),$C27&gt;=RelDebut,$C27&lt;=RelFin),COUNTIFS($D$9:$D27,RelConducteur,$S$9:$S27,"Oui",$C$9:$C27,"&gt;="&amp;RelDebut,$C$9:$C27,"&lt;="&amp;RelFin),"")</f>
        <v/>
      </c>
    </row>
    <row r="28" spans="2:31" ht="18" customHeight="1" x14ac:dyDescent="0.25">
      <c r="B28" s="48">
        <f>IF(C28="","",COUNT($C$9:C28))</f>
        <v>20</v>
      </c>
      <c r="C28" s="49">
        <v>46441</v>
      </c>
      <c r="D28" s="51" t="s">
        <v>148</v>
      </c>
      <c r="E28" s="53">
        <v>42214</v>
      </c>
      <c r="F28" s="51" t="s">
        <v>217</v>
      </c>
      <c r="G28" s="51"/>
      <c r="H28" s="51" t="s">
        <v>248</v>
      </c>
      <c r="I28" s="51" t="s">
        <v>219</v>
      </c>
      <c r="J28" s="59"/>
      <c r="K28" s="60"/>
      <c r="L28" s="61">
        <v>6.4</v>
      </c>
      <c r="M28" s="62"/>
      <c r="N28" s="63">
        <f t="shared" si="0"/>
        <v>5.3333333333333339</v>
      </c>
      <c r="O28" s="64">
        <f t="shared" si="1"/>
        <v>1.0666666666666664</v>
      </c>
      <c r="P28" s="65" t="str">
        <f t="shared" si="2"/>
        <v/>
      </c>
      <c r="Q28" s="66" t="str">
        <f t="shared" si="8"/>
        <v/>
      </c>
      <c r="R28" s="51" t="s">
        <v>215</v>
      </c>
      <c r="S28" s="60" t="s">
        <v>209</v>
      </c>
      <c r="T28" s="52" t="str">
        <f t="shared" si="3"/>
        <v>Service commercial</v>
      </c>
      <c r="U28" s="51" t="s">
        <v>249</v>
      </c>
      <c r="V28" s="56" t="str">
        <f t="shared" si="4"/>
        <v>Conforme</v>
      </c>
      <c r="X28" s="57" t="str">
        <f t="shared" si="5"/>
        <v>Frais fixes et divers</v>
      </c>
      <c r="Y28" s="57">
        <f t="shared" si="6"/>
        <v>0</v>
      </c>
      <c r="Z28" s="57">
        <f t="shared" si="9"/>
        <v>42000</v>
      </c>
      <c r="AA28" s="57">
        <f t="shared" si="10"/>
        <v>0</v>
      </c>
      <c r="AB28" s="57">
        <f t="shared" si="7"/>
        <v>0.2</v>
      </c>
      <c r="AC28" s="57" t="str">
        <f t="shared" si="11"/>
        <v/>
      </c>
      <c r="AD28" s="57" t="str">
        <f t="shared" si="12"/>
        <v/>
      </c>
      <c r="AE28" s="57" t="str">
        <f>IF(AND($D28=RelConducteur,$S28="Oui",ISNUMBER($C28),$C28&gt;=RelDebut,$C28&lt;=RelFin),COUNTIFS($D$9:$D28,RelConducteur,$S$9:$S28,"Oui",$C$9:$C28,"&gt;="&amp;RelDebut,$C$9:$C28,"&lt;="&amp;RelFin),"")</f>
        <v/>
      </c>
    </row>
    <row r="29" spans="2:31" ht="18" customHeight="1" x14ac:dyDescent="0.25">
      <c r="B29" s="48">
        <f>IF(C29="","",COUNT($C$9:C29))</f>
        <v>21</v>
      </c>
      <c r="C29" s="49">
        <v>46443</v>
      </c>
      <c r="D29" s="51" t="s">
        <v>148</v>
      </c>
      <c r="E29" s="53">
        <v>42317</v>
      </c>
      <c r="F29" s="51" t="s">
        <v>217</v>
      </c>
      <c r="G29" s="51"/>
      <c r="H29" s="51" t="s">
        <v>250</v>
      </c>
      <c r="I29" s="51" t="s">
        <v>219</v>
      </c>
      <c r="J29" s="59"/>
      <c r="K29" s="60"/>
      <c r="L29" s="61">
        <v>9</v>
      </c>
      <c r="M29" s="62"/>
      <c r="N29" s="63">
        <f t="shared" si="0"/>
        <v>7.5</v>
      </c>
      <c r="O29" s="64">
        <f t="shared" si="1"/>
        <v>1.5</v>
      </c>
      <c r="P29" s="65" t="str">
        <f t="shared" si="2"/>
        <v/>
      </c>
      <c r="Q29" s="66" t="str">
        <f t="shared" si="8"/>
        <v/>
      </c>
      <c r="R29" s="51" t="s">
        <v>215</v>
      </c>
      <c r="S29" s="60" t="s">
        <v>209</v>
      </c>
      <c r="T29" s="52" t="str">
        <f t="shared" si="3"/>
        <v>Service commercial</v>
      </c>
      <c r="U29" s="51" t="s">
        <v>251</v>
      </c>
      <c r="V29" s="56" t="str">
        <f t="shared" si="4"/>
        <v>Conforme</v>
      </c>
      <c r="X29" s="57" t="str">
        <f t="shared" si="5"/>
        <v>Frais fixes et divers</v>
      </c>
      <c r="Y29" s="57">
        <f t="shared" si="6"/>
        <v>0</v>
      </c>
      <c r="Z29" s="57">
        <f t="shared" si="9"/>
        <v>42000</v>
      </c>
      <c r="AA29" s="57">
        <f t="shared" si="10"/>
        <v>0</v>
      </c>
      <c r="AB29" s="57">
        <f t="shared" si="7"/>
        <v>0.2</v>
      </c>
      <c r="AC29" s="57" t="str">
        <f t="shared" si="11"/>
        <v/>
      </c>
      <c r="AD29" s="57" t="str">
        <f t="shared" si="12"/>
        <v/>
      </c>
      <c r="AE29" s="57" t="str">
        <f>IF(AND($D29=RelConducteur,$S29="Oui",ISNUMBER($C29),$C29&gt;=RelDebut,$C29&lt;=RelFin),COUNTIFS($D$9:$D29,RelConducteur,$S$9:$S29,"Oui",$C$9:$C29,"&gt;="&amp;RelDebut,$C$9:$C29,"&lt;="&amp;RelFin),"")</f>
        <v/>
      </c>
    </row>
    <row r="30" spans="2:31" ht="18" customHeight="1" x14ac:dyDescent="0.25">
      <c r="B30" s="48">
        <f>IF(C30="","",COUNT($C$9:C30))</f>
        <v>22</v>
      </c>
      <c r="C30" s="49">
        <v>46451</v>
      </c>
      <c r="D30" s="51" t="s">
        <v>133</v>
      </c>
      <c r="E30" s="53">
        <v>42524</v>
      </c>
      <c r="F30" s="51" t="s">
        <v>240</v>
      </c>
      <c r="G30" s="51"/>
      <c r="H30" s="51" t="s">
        <v>241</v>
      </c>
      <c r="I30" s="51" t="s">
        <v>242</v>
      </c>
      <c r="J30" s="59"/>
      <c r="K30" s="60"/>
      <c r="L30" s="61">
        <v>14</v>
      </c>
      <c r="M30" s="62"/>
      <c r="N30" s="63">
        <f t="shared" si="0"/>
        <v>11.666666666666668</v>
      </c>
      <c r="O30" s="64">
        <f t="shared" si="1"/>
        <v>2.3333333333333321</v>
      </c>
      <c r="P30" s="65" t="str">
        <f t="shared" si="2"/>
        <v/>
      </c>
      <c r="Q30" s="66" t="str">
        <f t="shared" si="8"/>
        <v/>
      </c>
      <c r="R30" s="51" t="s">
        <v>210</v>
      </c>
      <c r="S30" s="60" t="s">
        <v>204</v>
      </c>
      <c r="T30" s="52" t="str">
        <f t="shared" si="3"/>
        <v>Service technique</v>
      </c>
      <c r="U30" s="51" t="s">
        <v>252</v>
      </c>
      <c r="V30" s="56" t="str">
        <f t="shared" si="4"/>
        <v>Conforme</v>
      </c>
      <c r="X30" s="57" t="str">
        <f t="shared" si="5"/>
        <v>Frais fixes et divers</v>
      </c>
      <c r="Y30" s="57">
        <f t="shared" si="6"/>
        <v>0</v>
      </c>
      <c r="Z30" s="57">
        <f t="shared" si="9"/>
        <v>42000</v>
      </c>
      <c r="AA30" s="57">
        <f t="shared" si="10"/>
        <v>0</v>
      </c>
      <c r="AB30" s="57">
        <f t="shared" si="7"/>
        <v>0.2</v>
      </c>
      <c r="AC30" s="57" t="str">
        <f t="shared" si="11"/>
        <v/>
      </c>
      <c r="AD30" s="57" t="str">
        <f t="shared" si="12"/>
        <v/>
      </c>
      <c r="AE30" s="57" t="str">
        <f>IF(AND($D30=RelConducteur,$S30="Oui",ISNUMBER($C30),$C30&gt;=RelDebut,$C30&lt;=RelFin),COUNTIFS($D$9:$D30,RelConducteur,$S$9:$S30,"Oui",$C$9:$C30,"&gt;="&amp;RelDebut,$C$9:$C30,"&lt;="&amp;RelFin),"")</f>
        <v/>
      </c>
    </row>
    <row r="31" spans="2:31" ht="18" customHeight="1" x14ac:dyDescent="0.25">
      <c r="B31" s="48">
        <f>IF(C31="","",COUNT($C$9:C31))</f>
        <v>23</v>
      </c>
      <c r="C31" s="49">
        <v>46454</v>
      </c>
      <c r="D31" s="51" t="s">
        <v>139</v>
      </c>
      <c r="E31" s="53">
        <v>42586</v>
      </c>
      <c r="F31" s="51" t="s">
        <v>206</v>
      </c>
      <c r="G31" s="51"/>
      <c r="H31" s="51" t="s">
        <v>226</v>
      </c>
      <c r="I31" s="51" t="s">
        <v>208</v>
      </c>
      <c r="J31" s="59">
        <v>41.19</v>
      </c>
      <c r="K31" s="60" t="s">
        <v>209</v>
      </c>
      <c r="L31" s="61">
        <v>70.81</v>
      </c>
      <c r="M31" s="62"/>
      <c r="N31" s="63">
        <f t="shared" si="0"/>
        <v>59.00833333333334</v>
      </c>
      <c r="O31" s="64">
        <f t="shared" si="1"/>
        <v>11.801666666666662</v>
      </c>
      <c r="P31" s="65">
        <f t="shared" si="2"/>
        <v>1.7191065792668125</v>
      </c>
      <c r="Q31" s="66">
        <f t="shared" si="8"/>
        <v>7.0290102389078495</v>
      </c>
      <c r="R31" s="51" t="s">
        <v>210</v>
      </c>
      <c r="S31" s="60" t="s">
        <v>204</v>
      </c>
      <c r="T31" s="52" t="str">
        <f t="shared" si="3"/>
        <v>Service technique</v>
      </c>
      <c r="U31" s="51" t="s">
        <v>253</v>
      </c>
      <c r="V31" s="56" t="str">
        <f t="shared" si="4"/>
        <v>Conforme</v>
      </c>
      <c r="X31" s="57" t="str">
        <f t="shared" si="5"/>
        <v>Énergie</v>
      </c>
      <c r="Y31" s="57">
        <f t="shared" si="6"/>
        <v>1</v>
      </c>
      <c r="Z31" s="57">
        <f t="shared" si="9"/>
        <v>42586</v>
      </c>
      <c r="AA31" s="57">
        <f t="shared" si="10"/>
        <v>0</v>
      </c>
      <c r="AB31" s="57">
        <f t="shared" si="7"/>
        <v>0.2</v>
      </c>
      <c r="AC31" s="57">
        <f t="shared" si="11"/>
        <v>586</v>
      </c>
      <c r="AD31" s="57">
        <f t="shared" si="12"/>
        <v>41.19</v>
      </c>
      <c r="AE31" s="57" t="str">
        <f>IF(AND($D31=RelConducteur,$S31="Oui",ISNUMBER($C31),$C31&gt;=RelDebut,$C31&lt;=RelFin),COUNTIFS($D$9:$D31,RelConducteur,$S$9:$S31,"Oui",$C$9:$C31,"&gt;="&amp;RelDebut,$C$9:$C31,"&lt;="&amp;RelFin),"")</f>
        <v/>
      </c>
    </row>
    <row r="32" spans="2:31" ht="18" customHeight="1" x14ac:dyDescent="0.25">
      <c r="B32" s="48">
        <f>IF(C32="","",COUNT($C$9:C32))</f>
        <v>24</v>
      </c>
      <c r="C32" s="49">
        <v>46461</v>
      </c>
      <c r="D32" s="51" t="s">
        <v>139</v>
      </c>
      <c r="E32" s="53">
        <v>42970</v>
      </c>
      <c r="F32" s="51" t="s">
        <v>254</v>
      </c>
      <c r="G32" s="51" t="s">
        <v>254</v>
      </c>
      <c r="H32" s="51" t="s">
        <v>255</v>
      </c>
      <c r="I32" s="51" t="s">
        <v>256</v>
      </c>
      <c r="J32" s="59"/>
      <c r="K32" s="60"/>
      <c r="L32" s="61">
        <v>89</v>
      </c>
      <c r="M32" s="62"/>
      <c r="N32" s="63">
        <f t="shared" si="0"/>
        <v>74.166666666666671</v>
      </c>
      <c r="O32" s="64">
        <f t="shared" si="1"/>
        <v>14.833333333333329</v>
      </c>
      <c r="P32" s="65" t="str">
        <f t="shared" si="2"/>
        <v/>
      </c>
      <c r="Q32" s="66" t="str">
        <f t="shared" si="8"/>
        <v/>
      </c>
      <c r="R32" s="51" t="s">
        <v>257</v>
      </c>
      <c r="S32" s="60" t="s">
        <v>204</v>
      </c>
      <c r="T32" s="52" t="str">
        <f t="shared" si="3"/>
        <v>Service technique</v>
      </c>
      <c r="U32" s="51" t="s">
        <v>258</v>
      </c>
      <c r="V32" s="56" t="str">
        <f t="shared" si="4"/>
        <v>Conforme</v>
      </c>
      <c r="X32" s="57" t="str">
        <f t="shared" si="5"/>
        <v>Entretien et réparations</v>
      </c>
      <c r="Y32" s="57">
        <f t="shared" si="6"/>
        <v>0</v>
      </c>
      <c r="Z32" s="57">
        <f t="shared" si="9"/>
        <v>42586</v>
      </c>
      <c r="AA32" s="57">
        <f t="shared" si="10"/>
        <v>0</v>
      </c>
      <c r="AB32" s="57">
        <f t="shared" si="7"/>
        <v>0.2</v>
      </c>
      <c r="AC32" s="57" t="str">
        <f t="shared" si="11"/>
        <v/>
      </c>
      <c r="AD32" s="57" t="str">
        <f t="shared" si="12"/>
        <v/>
      </c>
      <c r="AE32" s="57" t="str">
        <f>IF(AND($D32=RelConducteur,$S32="Oui",ISNUMBER($C32),$C32&gt;=RelDebut,$C32&lt;=RelFin),COUNTIFS($D$9:$D32,RelConducteur,$S$9:$S32,"Oui",$C$9:$C32,"&gt;="&amp;RelDebut,$C$9:$C32,"&lt;="&amp;RelFin),"")</f>
        <v/>
      </c>
    </row>
    <row r="33" spans="2:31" ht="18" customHeight="1" x14ac:dyDescent="0.25">
      <c r="B33" s="48">
        <f>IF(C33="","",COUNT($C$9:C33))</f>
        <v>25</v>
      </c>
      <c r="C33" s="49">
        <v>46462</v>
      </c>
      <c r="D33" s="51" t="s">
        <v>133</v>
      </c>
      <c r="E33" s="53">
        <v>43120</v>
      </c>
      <c r="F33" s="51" t="s">
        <v>206</v>
      </c>
      <c r="G33" s="51"/>
      <c r="H33" s="51" t="s">
        <v>207</v>
      </c>
      <c r="I33" s="51" t="s">
        <v>208</v>
      </c>
      <c r="J33" s="59">
        <v>38.85</v>
      </c>
      <c r="K33" s="60" t="s">
        <v>209</v>
      </c>
      <c r="L33" s="61">
        <v>66.239999999999995</v>
      </c>
      <c r="M33" s="62"/>
      <c r="N33" s="63">
        <f t="shared" si="0"/>
        <v>55.199999999999996</v>
      </c>
      <c r="O33" s="64">
        <f t="shared" si="1"/>
        <v>11.04</v>
      </c>
      <c r="P33" s="65">
        <f t="shared" si="2"/>
        <v>1.7050193050193048</v>
      </c>
      <c r="Q33" s="66">
        <f t="shared" si="8"/>
        <v>7.2752808988764048</v>
      </c>
      <c r="R33" s="51" t="s">
        <v>210</v>
      </c>
      <c r="S33" s="60" t="s">
        <v>204</v>
      </c>
      <c r="T33" s="52" t="str">
        <f t="shared" si="3"/>
        <v>Service technique</v>
      </c>
      <c r="U33" s="51" t="s">
        <v>259</v>
      </c>
      <c r="V33" s="56" t="str">
        <f t="shared" si="4"/>
        <v>Conforme</v>
      </c>
      <c r="X33" s="57" t="str">
        <f t="shared" si="5"/>
        <v>Énergie</v>
      </c>
      <c r="Y33" s="57">
        <f t="shared" si="6"/>
        <v>1</v>
      </c>
      <c r="Z33" s="57">
        <f t="shared" si="9"/>
        <v>43120</v>
      </c>
      <c r="AA33" s="57">
        <f t="shared" si="10"/>
        <v>0</v>
      </c>
      <c r="AB33" s="57">
        <f t="shared" si="7"/>
        <v>0.2</v>
      </c>
      <c r="AC33" s="57">
        <f t="shared" si="11"/>
        <v>534</v>
      </c>
      <c r="AD33" s="57">
        <f t="shared" si="12"/>
        <v>38.85</v>
      </c>
      <c r="AE33" s="57" t="str">
        <f>IF(AND($D33=RelConducteur,$S33="Oui",ISNUMBER($C33),$C33&gt;=RelDebut,$C33&lt;=RelFin),COUNTIFS($D$9:$D33,RelConducteur,$S$9:$S33,"Oui",$C$9:$C33,"&gt;="&amp;RelDebut,$C$9:$C33,"&lt;="&amp;RelFin),"")</f>
        <v/>
      </c>
    </row>
    <row r="34" spans="2:31" ht="18" customHeight="1" x14ac:dyDescent="0.25">
      <c r="B34" s="48">
        <f>IF(C34="","",COUNT($C$9:C34))</f>
        <v>26</v>
      </c>
      <c r="C34" s="49">
        <v>46464</v>
      </c>
      <c r="D34" s="51" t="s">
        <v>148</v>
      </c>
      <c r="E34" s="53">
        <v>43435</v>
      </c>
      <c r="F34" s="51" t="s">
        <v>212</v>
      </c>
      <c r="G34" s="51"/>
      <c r="H34" s="51" t="s">
        <v>213</v>
      </c>
      <c r="I34" s="51" t="s">
        <v>224</v>
      </c>
      <c r="J34" s="59"/>
      <c r="K34" s="60"/>
      <c r="L34" s="61">
        <v>19.8</v>
      </c>
      <c r="M34" s="62"/>
      <c r="N34" s="63">
        <f t="shared" si="0"/>
        <v>16.5</v>
      </c>
      <c r="O34" s="64">
        <f t="shared" si="1"/>
        <v>3.3000000000000007</v>
      </c>
      <c r="P34" s="65" t="str">
        <f t="shared" si="2"/>
        <v/>
      </c>
      <c r="Q34" s="66" t="str">
        <f t="shared" si="8"/>
        <v/>
      </c>
      <c r="R34" s="51" t="s">
        <v>215</v>
      </c>
      <c r="S34" s="60" t="s">
        <v>209</v>
      </c>
      <c r="T34" s="52" t="str">
        <f t="shared" si="3"/>
        <v>Service commercial</v>
      </c>
      <c r="U34" s="51" t="s">
        <v>260</v>
      </c>
      <c r="V34" s="56" t="str">
        <f t="shared" si="4"/>
        <v>Conforme</v>
      </c>
      <c r="X34" s="57" t="str">
        <f t="shared" si="5"/>
        <v>Frais fixes et divers</v>
      </c>
      <c r="Y34" s="57">
        <f t="shared" si="6"/>
        <v>0</v>
      </c>
      <c r="Z34" s="57">
        <f t="shared" si="9"/>
        <v>43120</v>
      </c>
      <c r="AA34" s="57">
        <f t="shared" si="10"/>
        <v>0</v>
      </c>
      <c r="AB34" s="57">
        <f t="shared" si="7"/>
        <v>0.2</v>
      </c>
      <c r="AC34" s="57" t="str">
        <f t="shared" si="11"/>
        <v/>
      </c>
      <c r="AD34" s="57" t="str">
        <f t="shared" si="12"/>
        <v/>
      </c>
      <c r="AE34" s="57">
        <f>IF(AND($D34=RelConducteur,$S34="Oui",ISNUMBER($C34),$C34&gt;=RelDebut,$C34&lt;=RelFin),COUNTIFS($D$9:$D34,RelConducteur,$S$9:$S34,"Oui",$C$9:$C34,"&gt;="&amp;RelDebut,$C$9:$C34,"&lt;="&amp;RelFin),"")</f>
        <v>1</v>
      </c>
    </row>
    <row r="35" spans="2:31" ht="18" customHeight="1" x14ac:dyDescent="0.25">
      <c r="B35" s="48">
        <f>IF(C35="","",COUNT($C$9:C35))</f>
        <v>27</v>
      </c>
      <c r="C35" s="49">
        <v>46468</v>
      </c>
      <c r="D35" s="51" t="s">
        <v>148</v>
      </c>
      <c r="E35" s="53">
        <v>43619</v>
      </c>
      <c r="F35" s="51" t="s">
        <v>206</v>
      </c>
      <c r="G35" s="51"/>
      <c r="H35" s="51" t="s">
        <v>261</v>
      </c>
      <c r="I35" s="51" t="s">
        <v>208</v>
      </c>
      <c r="J35" s="59">
        <v>34.86</v>
      </c>
      <c r="K35" s="60" t="s">
        <v>209</v>
      </c>
      <c r="L35" s="61">
        <v>61.11</v>
      </c>
      <c r="M35" s="62"/>
      <c r="N35" s="63">
        <f t="shared" si="0"/>
        <v>50.925000000000004</v>
      </c>
      <c r="O35" s="64">
        <f t="shared" si="1"/>
        <v>10.184999999999995</v>
      </c>
      <c r="P35" s="65">
        <f t="shared" si="2"/>
        <v>1.7530120481927711</v>
      </c>
      <c r="Q35" s="66">
        <f t="shared" si="8"/>
        <v>6.9859719438877752</v>
      </c>
      <c r="R35" s="51" t="s">
        <v>210</v>
      </c>
      <c r="S35" s="60" t="s">
        <v>204</v>
      </c>
      <c r="T35" s="52" t="str">
        <f t="shared" si="3"/>
        <v>Service commercial</v>
      </c>
      <c r="U35" s="51" t="s">
        <v>262</v>
      </c>
      <c r="V35" s="56" t="str">
        <f t="shared" si="4"/>
        <v>Conforme</v>
      </c>
      <c r="X35" s="57" t="str">
        <f t="shared" si="5"/>
        <v>Énergie</v>
      </c>
      <c r="Y35" s="57">
        <f t="shared" si="6"/>
        <v>1</v>
      </c>
      <c r="Z35" s="57">
        <f t="shared" si="9"/>
        <v>43619</v>
      </c>
      <c r="AA35" s="57">
        <f t="shared" si="10"/>
        <v>0</v>
      </c>
      <c r="AB35" s="57">
        <f t="shared" si="7"/>
        <v>0.2</v>
      </c>
      <c r="AC35" s="57">
        <f t="shared" si="11"/>
        <v>499</v>
      </c>
      <c r="AD35" s="57">
        <f t="shared" si="12"/>
        <v>34.86</v>
      </c>
      <c r="AE35" s="57" t="str">
        <f>IF(AND($D35=RelConducteur,$S35="Oui",ISNUMBER($C35),$C35&gt;=RelDebut,$C35&lt;=RelFin),COUNTIFS($D$9:$D35,RelConducteur,$S$9:$S35,"Oui",$C$9:$C35,"&gt;="&amp;RelDebut,$C$9:$C35,"&lt;="&amp;RelFin),"")</f>
        <v/>
      </c>
    </row>
    <row r="36" spans="2:31" ht="18" customHeight="1" x14ac:dyDescent="0.25">
      <c r="B36" s="48">
        <f>IF(C36="","",COUNT($C$9:C36))</f>
        <v>28</v>
      </c>
      <c r="C36" s="49">
        <v>46472</v>
      </c>
      <c r="D36" s="51" t="s">
        <v>148</v>
      </c>
      <c r="E36" s="53">
        <v>44056</v>
      </c>
      <c r="F36" s="51" t="s">
        <v>212</v>
      </c>
      <c r="G36" s="51"/>
      <c r="H36" s="51" t="s">
        <v>213</v>
      </c>
      <c r="I36" s="51" t="s">
        <v>224</v>
      </c>
      <c r="J36" s="59"/>
      <c r="K36" s="60"/>
      <c r="L36" s="61">
        <v>19.8</v>
      </c>
      <c r="M36" s="62"/>
      <c r="N36" s="63">
        <f t="shared" si="0"/>
        <v>16.5</v>
      </c>
      <c r="O36" s="64">
        <f t="shared" si="1"/>
        <v>3.3000000000000007</v>
      </c>
      <c r="P36" s="65" t="str">
        <f t="shared" si="2"/>
        <v/>
      </c>
      <c r="Q36" s="66" t="str">
        <f t="shared" si="8"/>
        <v/>
      </c>
      <c r="R36" s="51" t="s">
        <v>215</v>
      </c>
      <c r="S36" s="60" t="s">
        <v>209</v>
      </c>
      <c r="T36" s="52" t="str">
        <f t="shared" si="3"/>
        <v>Service commercial</v>
      </c>
      <c r="U36" s="51" t="s">
        <v>263</v>
      </c>
      <c r="V36" s="56" t="str">
        <f t="shared" si="4"/>
        <v>Conforme</v>
      </c>
      <c r="X36" s="57" t="str">
        <f t="shared" si="5"/>
        <v>Frais fixes et divers</v>
      </c>
      <c r="Y36" s="57">
        <f t="shared" si="6"/>
        <v>0</v>
      </c>
      <c r="Z36" s="57">
        <f t="shared" si="9"/>
        <v>43619</v>
      </c>
      <c r="AA36" s="57">
        <f t="shared" si="10"/>
        <v>0</v>
      </c>
      <c r="AB36" s="57">
        <f t="shared" si="7"/>
        <v>0.2</v>
      </c>
      <c r="AC36" s="57" t="str">
        <f t="shared" si="11"/>
        <v/>
      </c>
      <c r="AD36" s="57" t="str">
        <f t="shared" si="12"/>
        <v/>
      </c>
      <c r="AE36" s="57">
        <f>IF(AND($D36=RelConducteur,$S36="Oui",ISNUMBER($C36),$C36&gt;=RelDebut,$C36&lt;=RelFin),COUNTIFS($D$9:$D36,RelConducteur,$S$9:$S36,"Oui",$C$9:$C36,"&gt;="&amp;RelDebut,$C$9:$C36,"&lt;="&amp;RelFin),"")</f>
        <v>2</v>
      </c>
    </row>
    <row r="37" spans="2:31" ht="18" customHeight="1" x14ac:dyDescent="0.25">
      <c r="B37" s="48">
        <f>IF(C37="","",COUNT($C$9:C37))</f>
        <v>29</v>
      </c>
      <c r="C37" s="49">
        <v>46472</v>
      </c>
      <c r="D37" s="51" t="s">
        <v>148</v>
      </c>
      <c r="E37" s="53">
        <v>44056</v>
      </c>
      <c r="F37" s="51" t="s">
        <v>217</v>
      </c>
      <c r="G37" s="51"/>
      <c r="H37" s="51" t="s">
        <v>248</v>
      </c>
      <c r="I37" s="51" t="s">
        <v>219</v>
      </c>
      <c r="J37" s="59"/>
      <c r="K37" s="60"/>
      <c r="L37" s="61">
        <v>6.4</v>
      </c>
      <c r="M37" s="62"/>
      <c r="N37" s="63">
        <f t="shared" si="0"/>
        <v>5.3333333333333339</v>
      </c>
      <c r="O37" s="64">
        <f t="shared" si="1"/>
        <v>1.0666666666666664</v>
      </c>
      <c r="P37" s="65" t="str">
        <f t="shared" si="2"/>
        <v/>
      </c>
      <c r="Q37" s="66" t="str">
        <f t="shared" si="8"/>
        <v/>
      </c>
      <c r="R37" s="51" t="s">
        <v>215</v>
      </c>
      <c r="S37" s="60" t="s">
        <v>209</v>
      </c>
      <c r="T37" s="52" t="str">
        <f t="shared" si="3"/>
        <v>Service commercial</v>
      </c>
      <c r="U37" s="51" t="s">
        <v>264</v>
      </c>
      <c r="V37" s="56" t="str">
        <f t="shared" si="4"/>
        <v>Conforme</v>
      </c>
      <c r="X37" s="57" t="str">
        <f t="shared" si="5"/>
        <v>Frais fixes et divers</v>
      </c>
      <c r="Y37" s="57">
        <f t="shared" si="6"/>
        <v>0</v>
      </c>
      <c r="Z37" s="57">
        <f t="shared" si="9"/>
        <v>43619</v>
      </c>
      <c r="AA37" s="57">
        <f t="shared" si="10"/>
        <v>0</v>
      </c>
      <c r="AB37" s="57">
        <f t="shared" si="7"/>
        <v>0.2</v>
      </c>
      <c r="AC37" s="57" t="str">
        <f t="shared" si="11"/>
        <v/>
      </c>
      <c r="AD37" s="57" t="str">
        <f t="shared" si="12"/>
        <v/>
      </c>
      <c r="AE37" s="57">
        <f>IF(AND($D37=RelConducteur,$S37="Oui",ISNUMBER($C37),$C37&gt;=RelDebut,$C37&lt;=RelFin),COUNTIFS($D$9:$D37,RelConducteur,$S$9:$S37,"Oui",$C$9:$C37,"&gt;="&amp;RelDebut,$C$9:$C37,"&lt;="&amp;RelFin),"")</f>
        <v>3</v>
      </c>
    </row>
    <row r="38" spans="2:31" ht="18" customHeight="1" x14ac:dyDescent="0.25">
      <c r="B38" s="48">
        <f>IF(C38="","",COUNT($C$9:C38))</f>
        <v>30</v>
      </c>
      <c r="C38" s="49">
        <v>46476</v>
      </c>
      <c r="D38" s="51" t="s">
        <v>139</v>
      </c>
      <c r="E38" s="53">
        <v>44128</v>
      </c>
      <c r="F38" s="51" t="s">
        <v>206</v>
      </c>
      <c r="G38" s="51"/>
      <c r="H38" s="51" t="s">
        <v>226</v>
      </c>
      <c r="I38" s="51" t="s">
        <v>208</v>
      </c>
      <c r="J38" s="59">
        <v>35.42</v>
      </c>
      <c r="K38" s="60" t="s">
        <v>209</v>
      </c>
      <c r="L38" s="61">
        <v>61.28</v>
      </c>
      <c r="M38" s="62"/>
      <c r="N38" s="63">
        <f t="shared" si="0"/>
        <v>51.06666666666667</v>
      </c>
      <c r="O38" s="64">
        <f t="shared" si="1"/>
        <v>10.213333333333331</v>
      </c>
      <c r="P38" s="65">
        <f t="shared" si="2"/>
        <v>1.7300959909655562</v>
      </c>
      <c r="Q38" s="66">
        <f t="shared" si="8"/>
        <v>6.9587426326129673</v>
      </c>
      <c r="R38" s="51" t="s">
        <v>210</v>
      </c>
      <c r="S38" s="60" t="s">
        <v>204</v>
      </c>
      <c r="T38" s="52" t="str">
        <f t="shared" si="3"/>
        <v>Service technique</v>
      </c>
      <c r="U38" s="51" t="s">
        <v>265</v>
      </c>
      <c r="V38" s="56" t="str">
        <f t="shared" si="4"/>
        <v>Conforme</v>
      </c>
      <c r="X38" s="57" t="str">
        <f t="shared" si="5"/>
        <v>Énergie</v>
      </c>
      <c r="Y38" s="57">
        <f t="shared" si="6"/>
        <v>1</v>
      </c>
      <c r="Z38" s="57">
        <f t="shared" si="9"/>
        <v>44128</v>
      </c>
      <c r="AA38" s="57">
        <f t="shared" si="10"/>
        <v>0</v>
      </c>
      <c r="AB38" s="57">
        <f t="shared" si="7"/>
        <v>0.2</v>
      </c>
      <c r="AC38" s="57">
        <f t="shared" si="11"/>
        <v>509</v>
      </c>
      <c r="AD38" s="57">
        <f t="shared" si="12"/>
        <v>35.42</v>
      </c>
      <c r="AE38" s="57" t="str">
        <f>IF(AND($D38=RelConducteur,$S38="Oui",ISNUMBER($C38),$C38&gt;=RelDebut,$C38&lt;=RelFin),COUNTIFS($D$9:$D38,RelConducteur,$S$9:$S38,"Oui",$C$9:$C38,"&gt;="&amp;RelDebut,$C$9:$C38,"&lt;="&amp;RelFin),"")</f>
        <v/>
      </c>
    </row>
    <row r="39" spans="2:31" ht="18" customHeight="1" x14ac:dyDescent="0.25">
      <c r="B39" s="48">
        <f>IF(C39="","",COUNT($C$9:C39))</f>
        <v>31</v>
      </c>
      <c r="C39" s="49">
        <v>46476</v>
      </c>
      <c r="D39" s="51" t="s">
        <v>148</v>
      </c>
      <c r="E39" s="53">
        <v>44401</v>
      </c>
      <c r="F39" s="51" t="s">
        <v>212</v>
      </c>
      <c r="G39" s="51"/>
      <c r="H39" s="51" t="s">
        <v>213</v>
      </c>
      <c r="I39" s="51" t="s">
        <v>214</v>
      </c>
      <c r="J39" s="59"/>
      <c r="K39" s="60"/>
      <c r="L39" s="61">
        <v>27.4</v>
      </c>
      <c r="M39" s="62"/>
      <c r="N39" s="63">
        <f t="shared" si="0"/>
        <v>22.833333333333332</v>
      </c>
      <c r="O39" s="64">
        <f t="shared" si="1"/>
        <v>4.5666666666666664</v>
      </c>
      <c r="P39" s="65" t="str">
        <f t="shared" si="2"/>
        <v/>
      </c>
      <c r="Q39" s="66" t="str">
        <f t="shared" si="8"/>
        <v/>
      </c>
      <c r="R39" s="51" t="s">
        <v>215</v>
      </c>
      <c r="S39" s="60" t="s">
        <v>209</v>
      </c>
      <c r="T39" s="52" t="str">
        <f t="shared" si="3"/>
        <v>Service commercial</v>
      </c>
      <c r="U39" s="51" t="s">
        <v>266</v>
      </c>
      <c r="V39" s="56" t="str">
        <f t="shared" si="4"/>
        <v>Conforme</v>
      </c>
      <c r="X39" s="57" t="str">
        <f t="shared" si="5"/>
        <v>Frais fixes et divers</v>
      </c>
      <c r="Y39" s="57">
        <f t="shared" si="6"/>
        <v>0</v>
      </c>
      <c r="Z39" s="57">
        <f t="shared" si="9"/>
        <v>44128</v>
      </c>
      <c r="AA39" s="57">
        <f t="shared" si="10"/>
        <v>0</v>
      </c>
      <c r="AB39" s="57">
        <f t="shared" si="7"/>
        <v>0.2</v>
      </c>
      <c r="AC39" s="57" t="str">
        <f t="shared" si="11"/>
        <v/>
      </c>
      <c r="AD39" s="57" t="str">
        <f t="shared" si="12"/>
        <v/>
      </c>
      <c r="AE39" s="57">
        <f>IF(AND($D39=RelConducteur,$S39="Oui",ISNUMBER($C39),$C39&gt;=RelDebut,$C39&lt;=RelFin),COUNTIFS($D$9:$D39,RelConducteur,$S$9:$S39,"Oui",$C$9:$C39,"&gt;="&amp;RelDebut,$C$9:$C39,"&lt;="&amp;RelFin),"")</f>
        <v>4</v>
      </c>
    </row>
    <row r="40" spans="2:31" ht="18" customHeight="1" x14ac:dyDescent="0.25">
      <c r="B40" s="48">
        <f>IF(C40="","",COUNT($C$9:C40))</f>
        <v>32</v>
      </c>
      <c r="C40" s="49">
        <v>46476</v>
      </c>
      <c r="D40" s="51" t="s">
        <v>148</v>
      </c>
      <c r="E40" s="53">
        <v>44401</v>
      </c>
      <c r="F40" s="51" t="s">
        <v>217</v>
      </c>
      <c r="G40" s="51"/>
      <c r="H40" s="51" t="s">
        <v>218</v>
      </c>
      <c r="I40" s="51" t="s">
        <v>219</v>
      </c>
      <c r="J40" s="59"/>
      <c r="K40" s="60"/>
      <c r="L40" s="61">
        <v>8.1999999999999993</v>
      </c>
      <c r="M40" s="62"/>
      <c r="N40" s="63">
        <f t="shared" si="0"/>
        <v>6.833333333333333</v>
      </c>
      <c r="O40" s="64">
        <f t="shared" si="1"/>
        <v>1.3666666666666663</v>
      </c>
      <c r="P40" s="65" t="str">
        <f t="shared" si="2"/>
        <v/>
      </c>
      <c r="Q40" s="66" t="str">
        <f t="shared" si="8"/>
        <v/>
      </c>
      <c r="R40" s="51" t="s">
        <v>215</v>
      </c>
      <c r="S40" s="60" t="s">
        <v>209</v>
      </c>
      <c r="T40" s="52" t="str">
        <f t="shared" si="3"/>
        <v>Service commercial</v>
      </c>
      <c r="U40" s="51" t="s">
        <v>267</v>
      </c>
      <c r="V40" s="56" t="str">
        <f t="shared" si="4"/>
        <v>Conforme</v>
      </c>
      <c r="X40" s="57" t="str">
        <f t="shared" si="5"/>
        <v>Frais fixes et divers</v>
      </c>
      <c r="Y40" s="57">
        <f t="shared" si="6"/>
        <v>0</v>
      </c>
      <c r="Z40" s="57">
        <f t="shared" si="9"/>
        <v>44128</v>
      </c>
      <c r="AA40" s="57">
        <f t="shared" si="10"/>
        <v>0</v>
      </c>
      <c r="AB40" s="57">
        <f t="shared" si="7"/>
        <v>0.2</v>
      </c>
      <c r="AC40" s="57" t="str">
        <f t="shared" si="11"/>
        <v/>
      </c>
      <c r="AD40" s="57" t="str">
        <f t="shared" si="12"/>
        <v/>
      </c>
      <c r="AE40" s="57">
        <f>IF(AND($D40=RelConducteur,$S40="Oui",ISNUMBER($C40),$C40&gt;=RelDebut,$C40&lt;=RelFin),COUNTIFS($D$9:$D40,RelConducteur,$S$9:$S40,"Oui",$C$9:$C40,"&gt;="&amp;RelDebut,$C$9:$C40,"&lt;="&amp;RelFin),"")</f>
        <v>5</v>
      </c>
    </row>
    <row r="41" spans="2:31" ht="18" customHeight="1" x14ac:dyDescent="0.25">
      <c r="B41" s="48">
        <f>IF(C41="","",COUNT($C$9:C41))</f>
        <v>33</v>
      </c>
      <c r="C41" s="49">
        <v>46478</v>
      </c>
      <c r="D41" s="51" t="s">
        <v>148</v>
      </c>
      <c r="E41" s="53">
        <v>44598</v>
      </c>
      <c r="F41" s="51" t="s">
        <v>217</v>
      </c>
      <c r="G41" s="51"/>
      <c r="H41" s="51" t="s">
        <v>250</v>
      </c>
      <c r="I41" s="51" t="s">
        <v>219</v>
      </c>
      <c r="J41" s="59"/>
      <c r="K41" s="60"/>
      <c r="L41" s="61">
        <v>9</v>
      </c>
      <c r="M41" s="62"/>
      <c r="N41" s="63">
        <f t="shared" si="0"/>
        <v>7.5</v>
      </c>
      <c r="O41" s="64">
        <f t="shared" si="1"/>
        <v>1.5</v>
      </c>
      <c r="P41" s="65" t="str">
        <f t="shared" si="2"/>
        <v/>
      </c>
      <c r="Q41" s="66" t="str">
        <f t="shared" si="8"/>
        <v/>
      </c>
      <c r="R41" s="51" t="s">
        <v>215</v>
      </c>
      <c r="S41" s="60" t="s">
        <v>209</v>
      </c>
      <c r="T41" s="52" t="str">
        <f t="shared" si="3"/>
        <v>Service commercial</v>
      </c>
      <c r="U41" s="51" t="s">
        <v>268</v>
      </c>
      <c r="V41" s="56" t="str">
        <f t="shared" si="4"/>
        <v>Conforme</v>
      </c>
      <c r="X41" s="57" t="str">
        <f t="shared" si="5"/>
        <v>Frais fixes et divers</v>
      </c>
      <c r="Y41" s="57">
        <f t="shared" si="6"/>
        <v>0</v>
      </c>
      <c r="Z41" s="57">
        <f t="shared" si="9"/>
        <v>44128</v>
      </c>
      <c r="AA41" s="57">
        <f t="shared" si="10"/>
        <v>0</v>
      </c>
      <c r="AB41" s="57">
        <f t="shared" si="7"/>
        <v>0.2</v>
      </c>
      <c r="AC41" s="57" t="str">
        <f t="shared" si="11"/>
        <v/>
      </c>
      <c r="AD41" s="57" t="str">
        <f t="shared" si="12"/>
        <v/>
      </c>
      <c r="AE41" s="57" t="str">
        <f>IF(AND($D41=RelConducteur,$S41="Oui",ISNUMBER($C41),$C41&gt;=RelDebut,$C41&lt;=RelFin),COUNTIFS($D$9:$D41,RelConducteur,$S$9:$S41,"Oui",$C$9:$C41,"&gt;="&amp;RelDebut,$C$9:$C41,"&lt;="&amp;RelFin),"")</f>
        <v/>
      </c>
    </row>
    <row r="42" spans="2:31" ht="18" customHeight="1" x14ac:dyDescent="0.25">
      <c r="B42" s="48">
        <f>IF(C42="","",COUNT($C$9:C42))</f>
        <v>34</v>
      </c>
      <c r="C42" s="49">
        <v>46479</v>
      </c>
      <c r="D42" s="51" t="s">
        <v>133</v>
      </c>
      <c r="E42" s="53">
        <v>44598</v>
      </c>
      <c r="F42" s="51" t="s">
        <v>240</v>
      </c>
      <c r="G42" s="51"/>
      <c r="H42" s="51" t="s">
        <v>241</v>
      </c>
      <c r="I42" s="51" t="s">
        <v>242</v>
      </c>
      <c r="J42" s="59"/>
      <c r="K42" s="60"/>
      <c r="L42" s="61">
        <v>14</v>
      </c>
      <c r="M42" s="62"/>
      <c r="N42" s="63">
        <f t="shared" si="0"/>
        <v>11.666666666666668</v>
      </c>
      <c r="O42" s="64">
        <f t="shared" si="1"/>
        <v>2.3333333333333321</v>
      </c>
      <c r="P42" s="65" t="str">
        <f t="shared" si="2"/>
        <v/>
      </c>
      <c r="Q42" s="66" t="str">
        <f t="shared" si="8"/>
        <v/>
      </c>
      <c r="R42" s="51" t="s">
        <v>210</v>
      </c>
      <c r="S42" s="60" t="s">
        <v>204</v>
      </c>
      <c r="T42" s="52" t="str">
        <f t="shared" si="3"/>
        <v>Service technique</v>
      </c>
      <c r="U42" s="51" t="s">
        <v>269</v>
      </c>
      <c r="V42" s="56" t="str">
        <f t="shared" si="4"/>
        <v>Conforme</v>
      </c>
      <c r="X42" s="57" t="str">
        <f t="shared" si="5"/>
        <v>Frais fixes et divers</v>
      </c>
      <c r="Y42" s="57">
        <f t="shared" si="6"/>
        <v>0</v>
      </c>
      <c r="Z42" s="57">
        <f t="shared" si="9"/>
        <v>44128</v>
      </c>
      <c r="AA42" s="57">
        <f t="shared" si="10"/>
        <v>0</v>
      </c>
      <c r="AB42" s="57">
        <f t="shared" si="7"/>
        <v>0.2</v>
      </c>
      <c r="AC42" s="57" t="str">
        <f t="shared" si="11"/>
        <v/>
      </c>
      <c r="AD42" s="57" t="str">
        <f t="shared" si="12"/>
        <v/>
      </c>
      <c r="AE42" s="57" t="str">
        <f>IF(AND($D42=RelConducteur,$S42="Oui",ISNUMBER($C42),$C42&gt;=RelDebut,$C42&lt;=RelFin),COUNTIFS($D$9:$D42,RelConducteur,$S$9:$S42,"Oui",$C$9:$C42,"&gt;="&amp;RelDebut,$C$9:$C42,"&lt;="&amp;RelFin),"")</f>
        <v/>
      </c>
    </row>
    <row r="43" spans="2:31" ht="18" customHeight="1" x14ac:dyDescent="0.25">
      <c r="B43" s="48">
        <f>IF(C43="","",COUNT($C$9:C43))</f>
        <v>35</v>
      </c>
      <c r="C43" s="49">
        <v>46482</v>
      </c>
      <c r="D43" s="51" t="s">
        <v>139</v>
      </c>
      <c r="E43" s="53">
        <v>44670</v>
      </c>
      <c r="F43" s="51" t="s">
        <v>206</v>
      </c>
      <c r="G43" s="51"/>
      <c r="H43" s="51" t="s">
        <v>226</v>
      </c>
      <c r="I43" s="51" t="s">
        <v>208</v>
      </c>
      <c r="J43" s="59">
        <v>38.03</v>
      </c>
      <c r="K43" s="60" t="s">
        <v>209</v>
      </c>
      <c r="L43" s="61">
        <v>67.81</v>
      </c>
      <c r="M43" s="62"/>
      <c r="N43" s="63">
        <f t="shared" si="0"/>
        <v>56.50833333333334</v>
      </c>
      <c r="O43" s="64">
        <f t="shared" si="1"/>
        <v>11.301666666666662</v>
      </c>
      <c r="P43" s="65">
        <f t="shared" si="2"/>
        <v>1.7830660005259007</v>
      </c>
      <c r="Q43" s="66">
        <f t="shared" si="8"/>
        <v>7.0166051660516606</v>
      </c>
      <c r="R43" s="51" t="s">
        <v>210</v>
      </c>
      <c r="S43" s="60" t="s">
        <v>204</v>
      </c>
      <c r="T43" s="52" t="str">
        <f t="shared" si="3"/>
        <v>Service technique</v>
      </c>
      <c r="U43" s="51" t="s">
        <v>270</v>
      </c>
      <c r="V43" s="56" t="str">
        <f t="shared" si="4"/>
        <v>Conforme</v>
      </c>
      <c r="X43" s="57" t="str">
        <f t="shared" si="5"/>
        <v>Énergie</v>
      </c>
      <c r="Y43" s="57">
        <f t="shared" si="6"/>
        <v>1</v>
      </c>
      <c r="Z43" s="57">
        <f t="shared" si="9"/>
        <v>44670</v>
      </c>
      <c r="AA43" s="57">
        <f t="shared" si="10"/>
        <v>0</v>
      </c>
      <c r="AB43" s="57">
        <f t="shared" si="7"/>
        <v>0.2</v>
      </c>
      <c r="AC43" s="57">
        <f t="shared" si="11"/>
        <v>542</v>
      </c>
      <c r="AD43" s="57">
        <f t="shared" si="12"/>
        <v>38.03</v>
      </c>
      <c r="AE43" s="57" t="str">
        <f>IF(AND($D43=RelConducteur,$S43="Oui",ISNUMBER($C43),$C43&gt;=RelDebut,$C43&lt;=RelFin),COUNTIFS($D$9:$D43,RelConducteur,$S$9:$S43,"Oui",$C$9:$C43,"&gt;="&amp;RelDebut,$C$9:$C43,"&lt;="&amp;RelFin),"")</f>
        <v/>
      </c>
    </row>
    <row r="44" spans="2:31" ht="18" customHeight="1" x14ac:dyDescent="0.25">
      <c r="B44" s="48">
        <f>IF(C44="","",COUNT($C$9:C44))</f>
        <v>36</v>
      </c>
      <c r="C44" s="49">
        <v>46482</v>
      </c>
      <c r="D44" s="51" t="s">
        <v>139</v>
      </c>
      <c r="E44" s="53">
        <v>44670</v>
      </c>
      <c r="F44" s="51" t="s">
        <v>212</v>
      </c>
      <c r="G44" s="51"/>
      <c r="H44" s="51" t="s">
        <v>213</v>
      </c>
      <c r="I44" s="51" t="s">
        <v>271</v>
      </c>
      <c r="J44" s="59"/>
      <c r="K44" s="60"/>
      <c r="L44" s="61">
        <v>5.2</v>
      </c>
      <c r="M44" s="62"/>
      <c r="N44" s="63">
        <f t="shared" si="0"/>
        <v>4.3333333333333339</v>
      </c>
      <c r="O44" s="64">
        <f t="shared" si="1"/>
        <v>0.86666666666666625</v>
      </c>
      <c r="P44" s="65" t="str">
        <f t="shared" si="2"/>
        <v/>
      </c>
      <c r="Q44" s="66" t="str">
        <f t="shared" si="8"/>
        <v/>
      </c>
      <c r="R44" s="51" t="s">
        <v>210</v>
      </c>
      <c r="S44" s="60" t="s">
        <v>204</v>
      </c>
      <c r="T44" s="52" t="str">
        <f t="shared" si="3"/>
        <v>Service technique</v>
      </c>
      <c r="U44" s="51" t="s">
        <v>272</v>
      </c>
      <c r="V44" s="56" t="str">
        <f t="shared" si="4"/>
        <v>Conforme</v>
      </c>
      <c r="X44" s="57" t="str">
        <f t="shared" si="5"/>
        <v>Frais fixes et divers</v>
      </c>
      <c r="Y44" s="57">
        <f t="shared" si="6"/>
        <v>0</v>
      </c>
      <c r="Z44" s="57">
        <f t="shared" si="9"/>
        <v>44670</v>
      </c>
      <c r="AA44" s="57">
        <f t="shared" si="10"/>
        <v>0</v>
      </c>
      <c r="AB44" s="57">
        <f t="shared" si="7"/>
        <v>0.2</v>
      </c>
      <c r="AC44" s="57" t="str">
        <f t="shared" si="11"/>
        <v/>
      </c>
      <c r="AD44" s="57" t="str">
        <f t="shared" si="12"/>
        <v/>
      </c>
      <c r="AE44" s="57" t="str">
        <f>IF(AND($D44=RelConducteur,$S44="Oui",ISNUMBER($C44),$C44&gt;=RelDebut,$C44&lt;=RelFin),COUNTIFS($D$9:$D44,RelConducteur,$S$9:$S44,"Oui",$C$9:$C44,"&gt;="&amp;RelDebut,$C$9:$C44,"&lt;="&amp;RelFin),"")</f>
        <v/>
      </c>
    </row>
    <row r="45" spans="2:31" ht="18" customHeight="1" x14ac:dyDescent="0.25">
      <c r="B45" s="48">
        <f>IF(C45="","",COUNT($C$9:C45))</f>
        <v>37</v>
      </c>
      <c r="C45" s="49">
        <v>46483</v>
      </c>
      <c r="D45" s="51" t="s">
        <v>148</v>
      </c>
      <c r="E45" s="53">
        <v>44983</v>
      </c>
      <c r="F45" s="51" t="s">
        <v>212</v>
      </c>
      <c r="G45" s="51"/>
      <c r="H45" s="51" t="s">
        <v>213</v>
      </c>
      <c r="I45" s="51" t="s">
        <v>224</v>
      </c>
      <c r="J45" s="59"/>
      <c r="K45" s="60"/>
      <c r="L45" s="61">
        <v>19.8</v>
      </c>
      <c r="M45" s="62"/>
      <c r="N45" s="63">
        <f t="shared" si="0"/>
        <v>16.5</v>
      </c>
      <c r="O45" s="64">
        <f t="shared" si="1"/>
        <v>3.3000000000000007</v>
      </c>
      <c r="P45" s="65" t="str">
        <f t="shared" si="2"/>
        <v/>
      </c>
      <c r="Q45" s="66" t="str">
        <f t="shared" si="8"/>
        <v/>
      </c>
      <c r="R45" s="51" t="s">
        <v>215</v>
      </c>
      <c r="S45" s="60" t="s">
        <v>209</v>
      </c>
      <c r="T45" s="52" t="str">
        <f t="shared" si="3"/>
        <v>Service commercial</v>
      </c>
      <c r="U45" s="51" t="s">
        <v>273</v>
      </c>
      <c r="V45" s="56" t="str">
        <f t="shared" si="4"/>
        <v>Conforme</v>
      </c>
      <c r="X45" s="57" t="str">
        <f t="shared" si="5"/>
        <v>Frais fixes et divers</v>
      </c>
      <c r="Y45" s="57">
        <f t="shared" si="6"/>
        <v>0</v>
      </c>
      <c r="Z45" s="57">
        <f t="shared" si="9"/>
        <v>44670</v>
      </c>
      <c r="AA45" s="57">
        <f t="shared" si="10"/>
        <v>0</v>
      </c>
      <c r="AB45" s="57">
        <f t="shared" si="7"/>
        <v>0.2</v>
      </c>
      <c r="AC45" s="57" t="str">
        <f t="shared" si="11"/>
        <v/>
      </c>
      <c r="AD45" s="57" t="str">
        <f t="shared" si="12"/>
        <v/>
      </c>
      <c r="AE45" s="57" t="str">
        <f>IF(AND($D45=RelConducteur,$S45="Oui",ISNUMBER($C45),$C45&gt;=RelDebut,$C45&lt;=RelFin),COUNTIFS($D$9:$D45,RelConducteur,$S$9:$S45,"Oui",$C$9:$C45,"&gt;="&amp;RelDebut,$C$9:$C45,"&lt;="&amp;RelFin),"")</f>
        <v/>
      </c>
    </row>
    <row r="46" spans="2:31" ht="18" customHeight="1" x14ac:dyDescent="0.25">
      <c r="B46" s="48">
        <f>IF(C46="","",COUNT($C$9:C46))</f>
        <v>38</v>
      </c>
      <c r="C46" s="49">
        <v>46483</v>
      </c>
      <c r="D46" s="51" t="s">
        <v>148</v>
      </c>
      <c r="E46" s="53">
        <v>44983</v>
      </c>
      <c r="F46" s="51" t="s">
        <v>217</v>
      </c>
      <c r="G46" s="51"/>
      <c r="H46" s="51" t="s">
        <v>248</v>
      </c>
      <c r="I46" s="51" t="s">
        <v>219</v>
      </c>
      <c r="J46" s="59"/>
      <c r="K46" s="60"/>
      <c r="L46" s="61">
        <v>6.4</v>
      </c>
      <c r="M46" s="62"/>
      <c r="N46" s="63">
        <f t="shared" si="0"/>
        <v>5.3333333333333339</v>
      </c>
      <c r="O46" s="64">
        <f t="shared" si="1"/>
        <v>1.0666666666666664</v>
      </c>
      <c r="P46" s="65" t="str">
        <f t="shared" si="2"/>
        <v/>
      </c>
      <c r="Q46" s="66" t="str">
        <f t="shared" si="8"/>
        <v/>
      </c>
      <c r="R46" s="51" t="s">
        <v>215</v>
      </c>
      <c r="S46" s="60" t="s">
        <v>209</v>
      </c>
      <c r="T46" s="52" t="str">
        <f t="shared" si="3"/>
        <v>Service commercial</v>
      </c>
      <c r="U46" s="51" t="s">
        <v>274</v>
      </c>
      <c r="V46" s="56" t="str">
        <f t="shared" si="4"/>
        <v>Conforme</v>
      </c>
      <c r="X46" s="57" t="str">
        <f t="shared" si="5"/>
        <v>Frais fixes et divers</v>
      </c>
      <c r="Y46" s="57">
        <f t="shared" si="6"/>
        <v>0</v>
      </c>
      <c r="Z46" s="57">
        <f t="shared" si="9"/>
        <v>44670</v>
      </c>
      <c r="AA46" s="57">
        <f t="shared" si="10"/>
        <v>0</v>
      </c>
      <c r="AB46" s="57">
        <f t="shared" si="7"/>
        <v>0.2</v>
      </c>
      <c r="AC46" s="57" t="str">
        <f t="shared" si="11"/>
        <v/>
      </c>
      <c r="AD46" s="57" t="str">
        <f t="shared" si="12"/>
        <v/>
      </c>
      <c r="AE46" s="57" t="str">
        <f>IF(AND($D46=RelConducteur,$S46="Oui",ISNUMBER($C46),$C46&gt;=RelDebut,$C46&lt;=RelFin),COUNTIFS($D$9:$D46,RelConducteur,$S$9:$S46,"Oui",$C$9:$C46,"&gt;="&amp;RelDebut,$C$9:$C46,"&lt;="&amp;RelFin),"")</f>
        <v/>
      </c>
    </row>
    <row r="47" spans="2:31" ht="18" customHeight="1" x14ac:dyDescent="0.25">
      <c r="B47" s="48">
        <f>IF(C47="","",COUNT($C$9:C47))</f>
        <v>39</v>
      </c>
      <c r="C47" s="49">
        <v>46485</v>
      </c>
      <c r="D47" s="51" t="s">
        <v>148</v>
      </c>
      <c r="E47" s="53">
        <v>45092</v>
      </c>
      <c r="F47" s="51" t="s">
        <v>217</v>
      </c>
      <c r="G47" s="51"/>
      <c r="H47" s="51" t="s">
        <v>236</v>
      </c>
      <c r="I47" s="51" t="s">
        <v>219</v>
      </c>
      <c r="J47" s="59"/>
      <c r="K47" s="60"/>
      <c r="L47" s="61">
        <v>7.5</v>
      </c>
      <c r="M47" s="62"/>
      <c r="N47" s="63">
        <f t="shared" si="0"/>
        <v>6.25</v>
      </c>
      <c r="O47" s="64">
        <f t="shared" si="1"/>
        <v>1.25</v>
      </c>
      <c r="P47" s="65" t="str">
        <f t="shared" si="2"/>
        <v/>
      </c>
      <c r="Q47" s="66" t="str">
        <f t="shared" si="8"/>
        <v/>
      </c>
      <c r="R47" s="51" t="s">
        <v>215</v>
      </c>
      <c r="S47" s="60" t="s">
        <v>209</v>
      </c>
      <c r="T47" s="52" t="str">
        <f t="shared" si="3"/>
        <v>Service commercial</v>
      </c>
      <c r="U47" s="51" t="s">
        <v>275</v>
      </c>
      <c r="V47" s="56" t="str">
        <f t="shared" si="4"/>
        <v>Conforme</v>
      </c>
      <c r="X47" s="57" t="str">
        <f t="shared" si="5"/>
        <v>Frais fixes et divers</v>
      </c>
      <c r="Y47" s="57">
        <f t="shared" si="6"/>
        <v>0</v>
      </c>
      <c r="Z47" s="57">
        <f t="shared" si="9"/>
        <v>44670</v>
      </c>
      <c r="AA47" s="57">
        <f t="shared" si="10"/>
        <v>0</v>
      </c>
      <c r="AB47" s="57">
        <f t="shared" si="7"/>
        <v>0.2</v>
      </c>
      <c r="AC47" s="57" t="str">
        <f t="shared" si="11"/>
        <v/>
      </c>
      <c r="AD47" s="57" t="str">
        <f t="shared" si="12"/>
        <v/>
      </c>
      <c r="AE47" s="57" t="str">
        <f>IF(AND($D47=RelConducteur,$S47="Oui",ISNUMBER($C47),$C47&gt;=RelDebut,$C47&lt;=RelFin),COUNTIFS($D$9:$D47,RelConducteur,$S$9:$S47,"Oui",$C$9:$C47,"&gt;="&amp;RelDebut,$C$9:$C47,"&lt;="&amp;RelFin),"")</f>
        <v/>
      </c>
    </row>
    <row r="48" spans="2:31" ht="18" customHeight="1" x14ac:dyDescent="0.25">
      <c r="B48" s="48">
        <f>IF(C48="","",COUNT($C$9:C48))</f>
        <v>40</v>
      </c>
      <c r="C48" s="49">
        <v>46489</v>
      </c>
      <c r="D48" s="51" t="s">
        <v>148</v>
      </c>
      <c r="E48" s="53">
        <v>45149</v>
      </c>
      <c r="F48" s="51" t="s">
        <v>217</v>
      </c>
      <c r="G48" s="51"/>
      <c r="H48" s="51" t="s">
        <v>236</v>
      </c>
      <c r="I48" s="51" t="s">
        <v>219</v>
      </c>
      <c r="J48" s="59"/>
      <c r="K48" s="60"/>
      <c r="L48" s="61">
        <v>7.5</v>
      </c>
      <c r="M48" s="62"/>
      <c r="N48" s="63">
        <f t="shared" si="0"/>
        <v>6.25</v>
      </c>
      <c r="O48" s="64">
        <f t="shared" si="1"/>
        <v>1.25</v>
      </c>
      <c r="P48" s="65" t="str">
        <f t="shared" si="2"/>
        <v/>
      </c>
      <c r="Q48" s="66" t="str">
        <f t="shared" si="8"/>
        <v/>
      </c>
      <c r="R48" s="51" t="s">
        <v>215</v>
      </c>
      <c r="S48" s="60" t="s">
        <v>209</v>
      </c>
      <c r="T48" s="52" t="str">
        <f t="shared" si="3"/>
        <v>Service commercial</v>
      </c>
      <c r="U48" s="51" t="s">
        <v>276</v>
      </c>
      <c r="V48" s="56" t="str">
        <f t="shared" si="4"/>
        <v>Conforme</v>
      </c>
      <c r="X48" s="57" t="str">
        <f t="shared" si="5"/>
        <v>Frais fixes et divers</v>
      </c>
      <c r="Y48" s="57">
        <f t="shared" si="6"/>
        <v>0</v>
      </c>
      <c r="Z48" s="57">
        <f t="shared" si="9"/>
        <v>44670</v>
      </c>
      <c r="AA48" s="57">
        <f t="shared" si="10"/>
        <v>0</v>
      </c>
      <c r="AB48" s="57">
        <f t="shared" si="7"/>
        <v>0.2</v>
      </c>
      <c r="AC48" s="57" t="str">
        <f t="shared" si="11"/>
        <v/>
      </c>
      <c r="AD48" s="57" t="str">
        <f t="shared" si="12"/>
        <v/>
      </c>
      <c r="AE48" s="57" t="str">
        <f>IF(AND($D48=RelConducteur,$S48="Oui",ISNUMBER($C48),$C48&gt;=RelDebut,$C48&lt;=RelFin),COUNTIFS($D$9:$D48,RelConducteur,$S$9:$S48,"Oui",$C$9:$C48,"&gt;="&amp;RelDebut,$C$9:$C48,"&lt;="&amp;RelFin),"")</f>
        <v/>
      </c>
    </row>
    <row r="49" spans="2:31" ht="18" customHeight="1" x14ac:dyDescent="0.25">
      <c r="B49" s="48">
        <f>IF(C49="","",COUNT($C$9:C49))</f>
        <v>41</v>
      </c>
      <c r="C49" s="49">
        <v>46490</v>
      </c>
      <c r="D49" s="51" t="s">
        <v>139</v>
      </c>
      <c r="E49" s="53">
        <v>45243</v>
      </c>
      <c r="F49" s="51" t="s">
        <v>206</v>
      </c>
      <c r="G49" s="51"/>
      <c r="H49" s="51" t="s">
        <v>226</v>
      </c>
      <c r="I49" s="51" t="s">
        <v>208</v>
      </c>
      <c r="J49" s="59">
        <v>38.17</v>
      </c>
      <c r="K49" s="60" t="s">
        <v>209</v>
      </c>
      <c r="L49" s="61">
        <v>66.569999999999993</v>
      </c>
      <c r="M49" s="62"/>
      <c r="N49" s="63">
        <f t="shared" si="0"/>
        <v>55.474999999999994</v>
      </c>
      <c r="O49" s="64">
        <f t="shared" si="1"/>
        <v>11.094999999999999</v>
      </c>
      <c r="P49" s="65">
        <f t="shared" si="2"/>
        <v>1.7440398218496198</v>
      </c>
      <c r="Q49" s="66">
        <f t="shared" si="8"/>
        <v>6.661431064572426</v>
      </c>
      <c r="R49" s="51" t="s">
        <v>210</v>
      </c>
      <c r="S49" s="60" t="s">
        <v>204</v>
      </c>
      <c r="T49" s="52" t="str">
        <f t="shared" si="3"/>
        <v>Service technique</v>
      </c>
      <c r="U49" s="51" t="s">
        <v>277</v>
      </c>
      <c r="V49" s="56" t="str">
        <f t="shared" si="4"/>
        <v>Conforme</v>
      </c>
      <c r="X49" s="57" t="str">
        <f t="shared" si="5"/>
        <v>Énergie</v>
      </c>
      <c r="Y49" s="57">
        <f t="shared" si="6"/>
        <v>1</v>
      </c>
      <c r="Z49" s="57">
        <f t="shared" si="9"/>
        <v>45243</v>
      </c>
      <c r="AA49" s="57">
        <f t="shared" si="10"/>
        <v>0</v>
      </c>
      <c r="AB49" s="57">
        <f t="shared" si="7"/>
        <v>0.2</v>
      </c>
      <c r="AC49" s="57">
        <f t="shared" si="11"/>
        <v>573</v>
      </c>
      <c r="AD49" s="57">
        <f t="shared" si="12"/>
        <v>38.17</v>
      </c>
      <c r="AE49" s="57" t="str">
        <f>IF(AND($D49=RelConducteur,$S49="Oui",ISNUMBER($C49),$C49&gt;=RelDebut,$C49&lt;=RelFin),COUNTIFS($D$9:$D49,RelConducteur,$S$9:$S49,"Oui",$C$9:$C49,"&gt;="&amp;RelDebut,$C$9:$C49,"&lt;="&amp;RelFin),"")</f>
        <v/>
      </c>
    </row>
    <row r="50" spans="2:31" ht="18" customHeight="1" x14ac:dyDescent="0.25">
      <c r="B50" s="48">
        <f>IF(C50="","",COUNT($C$9:C50))</f>
        <v>42</v>
      </c>
      <c r="C50" s="49">
        <v>46500</v>
      </c>
      <c r="D50" s="51" t="s">
        <v>139</v>
      </c>
      <c r="E50" s="53">
        <v>45621</v>
      </c>
      <c r="F50" s="51" t="s">
        <v>212</v>
      </c>
      <c r="G50" s="51"/>
      <c r="H50" s="51" t="s">
        <v>213</v>
      </c>
      <c r="I50" s="51" t="s">
        <v>278</v>
      </c>
      <c r="J50" s="59"/>
      <c r="K50" s="60"/>
      <c r="L50" s="61">
        <v>7.8</v>
      </c>
      <c r="M50" s="62"/>
      <c r="N50" s="63">
        <f t="shared" si="0"/>
        <v>6.5</v>
      </c>
      <c r="O50" s="64">
        <f t="shared" si="1"/>
        <v>1.2999999999999998</v>
      </c>
      <c r="P50" s="65" t="str">
        <f t="shared" si="2"/>
        <v/>
      </c>
      <c r="Q50" s="66" t="str">
        <f t="shared" si="8"/>
        <v/>
      </c>
      <c r="R50" s="51" t="s">
        <v>210</v>
      </c>
      <c r="S50" s="60" t="s">
        <v>204</v>
      </c>
      <c r="T50" s="52" t="str">
        <f t="shared" si="3"/>
        <v>Service technique</v>
      </c>
      <c r="U50" s="51" t="s">
        <v>279</v>
      </c>
      <c r="V50" s="56" t="str">
        <f t="shared" si="4"/>
        <v>Conforme</v>
      </c>
      <c r="X50" s="57" t="str">
        <f t="shared" si="5"/>
        <v>Frais fixes et divers</v>
      </c>
      <c r="Y50" s="57">
        <f t="shared" si="6"/>
        <v>0</v>
      </c>
      <c r="Z50" s="57">
        <f t="shared" si="9"/>
        <v>45243</v>
      </c>
      <c r="AA50" s="57">
        <f t="shared" si="10"/>
        <v>0</v>
      </c>
      <c r="AB50" s="57">
        <f t="shared" si="7"/>
        <v>0.2</v>
      </c>
      <c r="AC50" s="57" t="str">
        <f t="shared" si="11"/>
        <v/>
      </c>
      <c r="AD50" s="57" t="str">
        <f t="shared" si="12"/>
        <v/>
      </c>
      <c r="AE50" s="57" t="str">
        <f>IF(AND($D50=RelConducteur,$S50="Oui",ISNUMBER($C50),$C50&gt;=RelDebut,$C50&lt;=RelFin),COUNTIFS($D$9:$D50,RelConducteur,$S$9:$S50,"Oui",$C$9:$C50,"&gt;="&amp;RelDebut,$C$9:$C50,"&lt;="&amp;RelFin),"")</f>
        <v/>
      </c>
    </row>
    <row r="51" spans="2:31" ht="18" customHeight="1" x14ac:dyDescent="0.25">
      <c r="B51" s="48">
        <f>IF(C51="","",COUNT($C$9:C51))</f>
        <v>43</v>
      </c>
      <c r="C51" s="49">
        <v>46500</v>
      </c>
      <c r="D51" s="51" t="s">
        <v>148</v>
      </c>
      <c r="E51" s="53">
        <v>45621</v>
      </c>
      <c r="F51" s="51" t="s">
        <v>206</v>
      </c>
      <c r="G51" s="51"/>
      <c r="H51" s="51" t="s">
        <v>261</v>
      </c>
      <c r="I51" s="51" t="s">
        <v>208</v>
      </c>
      <c r="J51" s="59">
        <v>25.73</v>
      </c>
      <c r="K51" s="60" t="s">
        <v>209</v>
      </c>
      <c r="L51" s="61">
        <v>44.8</v>
      </c>
      <c r="M51" s="62"/>
      <c r="N51" s="63">
        <f t="shared" si="0"/>
        <v>37.333333333333336</v>
      </c>
      <c r="O51" s="64">
        <f t="shared" si="1"/>
        <v>7.4666666666666615</v>
      </c>
      <c r="P51" s="65">
        <f t="shared" si="2"/>
        <v>1.7411581811115429</v>
      </c>
      <c r="Q51" s="66">
        <f t="shared" si="8"/>
        <v>6.806878306878307</v>
      </c>
      <c r="R51" s="51" t="s">
        <v>210</v>
      </c>
      <c r="S51" s="60" t="s">
        <v>204</v>
      </c>
      <c r="T51" s="52" t="str">
        <f t="shared" si="3"/>
        <v>Service commercial</v>
      </c>
      <c r="U51" s="51" t="s">
        <v>280</v>
      </c>
      <c r="V51" s="56" t="str">
        <f t="shared" si="4"/>
        <v>Conforme</v>
      </c>
      <c r="X51" s="57" t="str">
        <f t="shared" si="5"/>
        <v>Énergie</v>
      </c>
      <c r="Y51" s="57">
        <f t="shared" si="6"/>
        <v>1</v>
      </c>
      <c r="Z51" s="57">
        <f t="shared" si="9"/>
        <v>45621</v>
      </c>
      <c r="AA51" s="57">
        <f t="shared" si="10"/>
        <v>0</v>
      </c>
      <c r="AB51" s="57">
        <f t="shared" si="7"/>
        <v>0.2</v>
      </c>
      <c r="AC51" s="57">
        <f t="shared" si="11"/>
        <v>378</v>
      </c>
      <c r="AD51" s="57">
        <f t="shared" si="12"/>
        <v>25.73</v>
      </c>
      <c r="AE51" s="57" t="str">
        <f>IF(AND($D51=RelConducteur,$S51="Oui",ISNUMBER($C51),$C51&gt;=RelDebut,$C51&lt;=RelFin),COUNTIFS($D$9:$D51,RelConducteur,$S$9:$S51,"Oui",$C$9:$C51,"&gt;="&amp;RelDebut,$C$9:$C51,"&lt;="&amp;RelFin),"")</f>
        <v/>
      </c>
    </row>
    <row r="52" spans="2:31" ht="18" customHeight="1" x14ac:dyDescent="0.25">
      <c r="B52" s="48">
        <f>IF(C52="","",COUNT($C$9:C52))</f>
        <v>44</v>
      </c>
      <c r="C52" s="49">
        <v>46500</v>
      </c>
      <c r="D52" s="51" t="s">
        <v>148</v>
      </c>
      <c r="E52" s="53">
        <v>45894</v>
      </c>
      <c r="F52" s="51" t="s">
        <v>212</v>
      </c>
      <c r="G52" s="51"/>
      <c r="H52" s="51" t="s">
        <v>213</v>
      </c>
      <c r="I52" s="51" t="s">
        <v>214</v>
      </c>
      <c r="J52" s="59"/>
      <c r="K52" s="60"/>
      <c r="L52" s="61">
        <v>27.4</v>
      </c>
      <c r="M52" s="62"/>
      <c r="N52" s="63">
        <f t="shared" si="0"/>
        <v>22.833333333333332</v>
      </c>
      <c r="O52" s="64">
        <f t="shared" si="1"/>
        <v>4.5666666666666664</v>
      </c>
      <c r="P52" s="65" t="str">
        <f t="shared" si="2"/>
        <v/>
      </c>
      <c r="Q52" s="66" t="str">
        <f t="shared" si="8"/>
        <v/>
      </c>
      <c r="R52" s="51" t="s">
        <v>215</v>
      </c>
      <c r="S52" s="60" t="s">
        <v>209</v>
      </c>
      <c r="T52" s="52" t="str">
        <f t="shared" si="3"/>
        <v>Service commercial</v>
      </c>
      <c r="U52" s="51" t="s">
        <v>281</v>
      </c>
      <c r="V52" s="56" t="str">
        <f t="shared" si="4"/>
        <v>Conforme</v>
      </c>
      <c r="X52" s="57" t="str">
        <f t="shared" si="5"/>
        <v>Frais fixes et divers</v>
      </c>
      <c r="Y52" s="57">
        <f t="shared" si="6"/>
        <v>0</v>
      </c>
      <c r="Z52" s="57">
        <f t="shared" si="9"/>
        <v>45621</v>
      </c>
      <c r="AA52" s="57">
        <f t="shared" si="10"/>
        <v>0</v>
      </c>
      <c r="AB52" s="57">
        <f t="shared" si="7"/>
        <v>0.2</v>
      </c>
      <c r="AC52" s="57" t="str">
        <f t="shared" si="11"/>
        <v/>
      </c>
      <c r="AD52" s="57" t="str">
        <f t="shared" si="12"/>
        <v/>
      </c>
      <c r="AE52" s="57" t="str">
        <f>IF(AND($D52=RelConducteur,$S52="Oui",ISNUMBER($C52),$C52&gt;=RelDebut,$C52&lt;=RelFin),COUNTIFS($D$9:$D52,RelConducteur,$S$9:$S52,"Oui",$C$9:$C52,"&gt;="&amp;RelDebut,$C$9:$C52,"&lt;="&amp;RelFin),"")</f>
        <v/>
      </c>
    </row>
    <row r="53" spans="2:31" ht="18" customHeight="1" x14ac:dyDescent="0.25">
      <c r="B53" s="48">
        <f>IF(C53="","",COUNT($C$9:C53))</f>
        <v>45</v>
      </c>
      <c r="C53" s="49">
        <v>46504</v>
      </c>
      <c r="D53" s="51" t="s">
        <v>148</v>
      </c>
      <c r="E53" s="53">
        <v>45982</v>
      </c>
      <c r="F53" s="51" t="s">
        <v>206</v>
      </c>
      <c r="G53" s="51"/>
      <c r="H53" s="51" t="s">
        <v>226</v>
      </c>
      <c r="I53" s="51" t="s">
        <v>208</v>
      </c>
      <c r="J53" s="59">
        <v>24.79</v>
      </c>
      <c r="K53" s="60" t="s">
        <v>209</v>
      </c>
      <c r="L53" s="61">
        <v>43.88</v>
      </c>
      <c r="M53" s="62"/>
      <c r="N53" s="63">
        <f t="shared" si="0"/>
        <v>36.56666666666667</v>
      </c>
      <c r="O53" s="64">
        <f t="shared" si="1"/>
        <v>7.3133333333333326</v>
      </c>
      <c r="P53" s="65">
        <f t="shared" si="2"/>
        <v>1.7700685760387254</v>
      </c>
      <c r="Q53" s="66">
        <f t="shared" si="8"/>
        <v>6.8670360110803328</v>
      </c>
      <c r="R53" s="51" t="s">
        <v>210</v>
      </c>
      <c r="S53" s="60" t="s">
        <v>204</v>
      </c>
      <c r="T53" s="52" t="str">
        <f t="shared" si="3"/>
        <v>Service commercial</v>
      </c>
      <c r="U53" s="51" t="s">
        <v>282</v>
      </c>
      <c r="V53" s="56" t="str">
        <f t="shared" si="4"/>
        <v>Conforme</v>
      </c>
      <c r="X53" s="57" t="str">
        <f t="shared" si="5"/>
        <v>Énergie</v>
      </c>
      <c r="Y53" s="57">
        <f t="shared" si="6"/>
        <v>1</v>
      </c>
      <c r="Z53" s="57">
        <f t="shared" si="9"/>
        <v>45982</v>
      </c>
      <c r="AA53" s="57">
        <f t="shared" si="10"/>
        <v>0</v>
      </c>
      <c r="AB53" s="57">
        <f t="shared" si="7"/>
        <v>0.2</v>
      </c>
      <c r="AC53" s="57">
        <f t="shared" si="11"/>
        <v>361</v>
      </c>
      <c r="AD53" s="57">
        <f t="shared" si="12"/>
        <v>24.79</v>
      </c>
      <c r="AE53" s="57" t="str">
        <f>IF(AND($D53=RelConducteur,$S53="Oui",ISNUMBER($C53),$C53&gt;=RelDebut,$C53&lt;=RelFin),COUNTIFS($D$9:$D53,RelConducteur,$S$9:$S53,"Oui",$C$9:$C53,"&gt;="&amp;RelDebut,$C$9:$C53,"&lt;="&amp;RelFin),"")</f>
        <v/>
      </c>
    </row>
    <row r="54" spans="2:31" ht="18" customHeight="1" x14ac:dyDescent="0.25">
      <c r="B54" s="48">
        <f>IF(C54="","",COUNT($C$9:C54))</f>
        <v>46</v>
      </c>
      <c r="C54" s="49">
        <v>46504</v>
      </c>
      <c r="D54" s="51" t="s">
        <v>148</v>
      </c>
      <c r="E54" s="53">
        <v>46259</v>
      </c>
      <c r="F54" s="51" t="s">
        <v>212</v>
      </c>
      <c r="G54" s="51"/>
      <c r="H54" s="51" t="s">
        <v>213</v>
      </c>
      <c r="I54" s="51" t="s">
        <v>214</v>
      </c>
      <c r="J54" s="59"/>
      <c r="K54" s="60"/>
      <c r="L54" s="61">
        <v>27.4</v>
      </c>
      <c r="M54" s="62"/>
      <c r="N54" s="63">
        <f t="shared" si="0"/>
        <v>22.833333333333332</v>
      </c>
      <c r="O54" s="64">
        <f t="shared" si="1"/>
        <v>4.5666666666666664</v>
      </c>
      <c r="P54" s="65" t="str">
        <f t="shared" si="2"/>
        <v/>
      </c>
      <c r="Q54" s="66" t="str">
        <f t="shared" si="8"/>
        <v/>
      </c>
      <c r="R54" s="51" t="s">
        <v>215</v>
      </c>
      <c r="S54" s="60" t="s">
        <v>209</v>
      </c>
      <c r="T54" s="52" t="str">
        <f t="shared" si="3"/>
        <v>Service commercial</v>
      </c>
      <c r="U54" s="51" t="s">
        <v>283</v>
      </c>
      <c r="V54" s="56" t="str">
        <f t="shared" si="4"/>
        <v>Conforme</v>
      </c>
      <c r="X54" s="57" t="str">
        <f t="shared" si="5"/>
        <v>Frais fixes et divers</v>
      </c>
      <c r="Y54" s="57">
        <f t="shared" si="6"/>
        <v>0</v>
      </c>
      <c r="Z54" s="57">
        <f t="shared" si="9"/>
        <v>45982</v>
      </c>
      <c r="AA54" s="57">
        <f t="shared" si="10"/>
        <v>0</v>
      </c>
      <c r="AB54" s="57">
        <f t="shared" si="7"/>
        <v>0.2</v>
      </c>
      <c r="AC54" s="57" t="str">
        <f t="shared" si="11"/>
        <v/>
      </c>
      <c r="AD54" s="57" t="str">
        <f t="shared" si="12"/>
        <v/>
      </c>
      <c r="AE54" s="57" t="str">
        <f>IF(AND($D54=RelConducteur,$S54="Oui",ISNUMBER($C54),$C54&gt;=RelDebut,$C54&lt;=RelFin),COUNTIFS($D$9:$D54,RelConducteur,$S$9:$S54,"Oui",$C$9:$C54,"&gt;="&amp;RelDebut,$C$9:$C54,"&lt;="&amp;RelFin),"")</f>
        <v/>
      </c>
    </row>
    <row r="55" spans="2:31" ht="18" customHeight="1" x14ac:dyDescent="0.25">
      <c r="B55" s="48">
        <f>IF(C55="","",COUNT($C$9:C55))</f>
        <v>47</v>
      </c>
      <c r="C55" s="49">
        <v>46504</v>
      </c>
      <c r="D55" s="51" t="s">
        <v>148</v>
      </c>
      <c r="E55" s="53">
        <v>46259</v>
      </c>
      <c r="F55" s="51" t="s">
        <v>217</v>
      </c>
      <c r="G55" s="51"/>
      <c r="H55" s="51" t="s">
        <v>218</v>
      </c>
      <c r="I55" s="51" t="s">
        <v>219</v>
      </c>
      <c r="J55" s="59"/>
      <c r="K55" s="60"/>
      <c r="L55" s="61">
        <v>8.1999999999999993</v>
      </c>
      <c r="M55" s="62"/>
      <c r="N55" s="63">
        <f t="shared" si="0"/>
        <v>6.833333333333333</v>
      </c>
      <c r="O55" s="64">
        <f t="shared" si="1"/>
        <v>1.3666666666666663</v>
      </c>
      <c r="P55" s="65" t="str">
        <f t="shared" si="2"/>
        <v/>
      </c>
      <c r="Q55" s="66" t="str">
        <f t="shared" si="8"/>
        <v/>
      </c>
      <c r="R55" s="51" t="s">
        <v>215</v>
      </c>
      <c r="S55" s="60" t="s">
        <v>209</v>
      </c>
      <c r="T55" s="52" t="str">
        <f t="shared" si="3"/>
        <v>Service commercial</v>
      </c>
      <c r="U55" s="51" t="s">
        <v>284</v>
      </c>
      <c r="V55" s="56" t="str">
        <f t="shared" si="4"/>
        <v>Conforme</v>
      </c>
      <c r="X55" s="57" t="str">
        <f t="shared" si="5"/>
        <v>Frais fixes et divers</v>
      </c>
      <c r="Y55" s="57">
        <f t="shared" si="6"/>
        <v>0</v>
      </c>
      <c r="Z55" s="57">
        <f t="shared" si="9"/>
        <v>45982</v>
      </c>
      <c r="AA55" s="57">
        <f t="shared" si="10"/>
        <v>0</v>
      </c>
      <c r="AB55" s="57">
        <f t="shared" si="7"/>
        <v>0.2</v>
      </c>
      <c r="AC55" s="57" t="str">
        <f t="shared" si="11"/>
        <v/>
      </c>
      <c r="AD55" s="57" t="str">
        <f t="shared" si="12"/>
        <v/>
      </c>
      <c r="AE55" s="57" t="str">
        <f>IF(AND($D55=RelConducteur,$S55="Oui",ISNUMBER($C55),$C55&gt;=RelDebut,$C55&lt;=RelFin),COUNTIFS($D$9:$D55,RelConducteur,$S$9:$S55,"Oui",$C$9:$C55,"&gt;="&amp;RelDebut,$C$9:$C55,"&lt;="&amp;RelFin),"")</f>
        <v/>
      </c>
    </row>
    <row r="56" spans="2:31" ht="18" customHeight="1" x14ac:dyDescent="0.25">
      <c r="B56" s="48">
        <f>IF(C56="","",COUNT($C$9:C56))</f>
        <v>48</v>
      </c>
      <c r="C56" s="49">
        <v>46506</v>
      </c>
      <c r="D56" s="51" t="s">
        <v>139</v>
      </c>
      <c r="E56" s="53">
        <v>46475</v>
      </c>
      <c r="F56" s="51" t="s">
        <v>212</v>
      </c>
      <c r="G56" s="51"/>
      <c r="H56" s="51" t="s">
        <v>213</v>
      </c>
      <c r="I56" s="51" t="s">
        <v>271</v>
      </c>
      <c r="J56" s="59"/>
      <c r="K56" s="60"/>
      <c r="L56" s="61">
        <v>5.2</v>
      </c>
      <c r="M56" s="62"/>
      <c r="N56" s="63">
        <f t="shared" si="0"/>
        <v>4.3333333333333339</v>
      </c>
      <c r="O56" s="64">
        <f t="shared" si="1"/>
        <v>0.86666666666666625</v>
      </c>
      <c r="P56" s="65" t="str">
        <f t="shared" si="2"/>
        <v/>
      </c>
      <c r="Q56" s="66" t="str">
        <f t="shared" si="8"/>
        <v/>
      </c>
      <c r="R56" s="51" t="s">
        <v>210</v>
      </c>
      <c r="S56" s="60" t="s">
        <v>204</v>
      </c>
      <c r="T56" s="52" t="str">
        <f t="shared" si="3"/>
        <v>Service technique</v>
      </c>
      <c r="U56" s="51" t="s">
        <v>285</v>
      </c>
      <c r="V56" s="56" t="str">
        <f t="shared" si="4"/>
        <v>Conforme</v>
      </c>
      <c r="X56" s="57" t="str">
        <f t="shared" si="5"/>
        <v>Frais fixes et divers</v>
      </c>
      <c r="Y56" s="57">
        <f t="shared" si="6"/>
        <v>0</v>
      </c>
      <c r="Z56" s="57">
        <f t="shared" si="9"/>
        <v>45982</v>
      </c>
      <c r="AA56" s="57">
        <f t="shared" si="10"/>
        <v>0</v>
      </c>
      <c r="AB56" s="57">
        <f t="shared" si="7"/>
        <v>0.2</v>
      </c>
      <c r="AC56" s="57" t="str">
        <f t="shared" si="11"/>
        <v/>
      </c>
      <c r="AD56" s="57" t="str">
        <f t="shared" si="12"/>
        <v/>
      </c>
      <c r="AE56" s="57" t="str">
        <f>IF(AND($D56=RelConducteur,$S56="Oui",ISNUMBER($C56),$C56&gt;=RelDebut,$C56&lt;=RelFin),COUNTIFS($D$9:$D56,RelConducteur,$S$9:$S56,"Oui",$C$9:$C56,"&gt;="&amp;RelDebut,$C$9:$C56,"&lt;="&amp;RelFin),"")</f>
        <v/>
      </c>
    </row>
    <row r="57" spans="2:31" ht="18" customHeight="1" x14ac:dyDescent="0.25">
      <c r="B57" s="48">
        <f>IF(C57="","",COUNT($C$9:C57))</f>
        <v>49</v>
      </c>
      <c r="C57" s="49">
        <v>46507</v>
      </c>
      <c r="D57" s="51" t="s">
        <v>133</v>
      </c>
      <c r="E57" s="53">
        <v>46545</v>
      </c>
      <c r="F57" s="51" t="s">
        <v>206</v>
      </c>
      <c r="G57" s="51"/>
      <c r="H57" s="51" t="s">
        <v>207</v>
      </c>
      <c r="I57" s="51" t="s">
        <v>208</v>
      </c>
      <c r="J57" s="59">
        <v>38.020000000000003</v>
      </c>
      <c r="K57" s="60" t="s">
        <v>209</v>
      </c>
      <c r="L57" s="61">
        <v>67.98</v>
      </c>
      <c r="M57" s="62"/>
      <c r="N57" s="63">
        <f t="shared" si="0"/>
        <v>56.650000000000006</v>
      </c>
      <c r="O57" s="64">
        <f t="shared" si="1"/>
        <v>11.329999999999998</v>
      </c>
      <c r="P57" s="65">
        <f t="shared" si="2"/>
        <v>1.7880063124671226</v>
      </c>
      <c r="Q57" s="66">
        <f t="shared" si="8"/>
        <v>6.7531083481349912</v>
      </c>
      <c r="R57" s="51" t="s">
        <v>210</v>
      </c>
      <c r="S57" s="60" t="s">
        <v>204</v>
      </c>
      <c r="T57" s="52" t="str">
        <f t="shared" si="3"/>
        <v>Service technique</v>
      </c>
      <c r="U57" s="51" t="s">
        <v>286</v>
      </c>
      <c r="V57" s="56" t="str">
        <f t="shared" si="4"/>
        <v>Conforme</v>
      </c>
      <c r="X57" s="57" t="str">
        <f t="shared" si="5"/>
        <v>Énergie</v>
      </c>
      <c r="Y57" s="57">
        <f t="shared" si="6"/>
        <v>1</v>
      </c>
      <c r="Z57" s="57">
        <f t="shared" si="9"/>
        <v>46545</v>
      </c>
      <c r="AA57" s="57">
        <f t="shared" si="10"/>
        <v>0</v>
      </c>
      <c r="AB57" s="57">
        <f t="shared" si="7"/>
        <v>0.2</v>
      </c>
      <c r="AC57" s="57">
        <f t="shared" si="11"/>
        <v>563</v>
      </c>
      <c r="AD57" s="57">
        <f t="shared" si="12"/>
        <v>38.020000000000003</v>
      </c>
      <c r="AE57" s="57" t="str">
        <f>IF(AND($D57=RelConducteur,$S57="Oui",ISNUMBER($C57),$C57&gt;=RelDebut,$C57&lt;=RelFin),COUNTIFS($D$9:$D57,RelConducteur,$S$9:$S57,"Oui",$C$9:$C57,"&gt;="&amp;RelDebut,$C$9:$C57,"&lt;="&amp;RelFin),"")</f>
        <v/>
      </c>
    </row>
    <row r="58" spans="2:31" ht="18" customHeight="1" x14ac:dyDescent="0.25">
      <c r="B58" s="48">
        <f>IF(C58="","",COUNT($C$9:C58))</f>
        <v>50</v>
      </c>
      <c r="C58" s="49">
        <v>46507</v>
      </c>
      <c r="D58" s="51" t="s">
        <v>133</v>
      </c>
      <c r="E58" s="53">
        <v>46545</v>
      </c>
      <c r="F58" s="51" t="s">
        <v>212</v>
      </c>
      <c r="G58" s="51"/>
      <c r="H58" s="51" t="s">
        <v>213</v>
      </c>
      <c r="I58" s="51" t="s">
        <v>271</v>
      </c>
      <c r="J58" s="59"/>
      <c r="K58" s="60"/>
      <c r="L58" s="61">
        <v>5.2</v>
      </c>
      <c r="M58" s="62"/>
      <c r="N58" s="63">
        <f t="shared" si="0"/>
        <v>4.3333333333333339</v>
      </c>
      <c r="O58" s="64">
        <f t="shared" si="1"/>
        <v>0.86666666666666625</v>
      </c>
      <c r="P58" s="65" t="str">
        <f t="shared" si="2"/>
        <v/>
      </c>
      <c r="Q58" s="66" t="str">
        <f t="shared" si="8"/>
        <v/>
      </c>
      <c r="R58" s="51" t="s">
        <v>210</v>
      </c>
      <c r="S58" s="60" t="s">
        <v>204</v>
      </c>
      <c r="T58" s="52" t="str">
        <f t="shared" si="3"/>
        <v>Service technique</v>
      </c>
      <c r="U58" s="51" t="s">
        <v>287</v>
      </c>
      <c r="V58" s="56" t="str">
        <f t="shared" si="4"/>
        <v>Conforme</v>
      </c>
      <c r="X58" s="57" t="str">
        <f t="shared" si="5"/>
        <v>Frais fixes et divers</v>
      </c>
      <c r="Y58" s="57">
        <f t="shared" si="6"/>
        <v>0</v>
      </c>
      <c r="Z58" s="57">
        <f t="shared" si="9"/>
        <v>46545</v>
      </c>
      <c r="AA58" s="57">
        <f t="shared" si="10"/>
        <v>0</v>
      </c>
      <c r="AB58" s="57">
        <f t="shared" si="7"/>
        <v>0.2</v>
      </c>
      <c r="AC58" s="57" t="str">
        <f t="shared" si="11"/>
        <v/>
      </c>
      <c r="AD58" s="57" t="str">
        <f t="shared" si="12"/>
        <v/>
      </c>
      <c r="AE58" s="57" t="str">
        <f>IF(AND($D58=RelConducteur,$S58="Oui",ISNUMBER($C58),$C58&gt;=RelDebut,$C58&lt;=RelFin),COUNTIFS($D$9:$D58,RelConducteur,$S$9:$S58,"Oui",$C$9:$C58,"&gt;="&amp;RelDebut,$C$9:$C58,"&lt;="&amp;RelFin),"")</f>
        <v/>
      </c>
    </row>
    <row r="59" spans="2:31" ht="18" customHeight="1" x14ac:dyDescent="0.25">
      <c r="B59" s="48">
        <f>IF(C59="","",COUNT($C$9:C59))</f>
        <v>51</v>
      </c>
      <c r="C59" s="49">
        <v>46511</v>
      </c>
      <c r="D59" s="51" t="s">
        <v>133</v>
      </c>
      <c r="E59" s="53">
        <v>46569</v>
      </c>
      <c r="F59" s="51" t="s">
        <v>288</v>
      </c>
      <c r="G59" s="51" t="s">
        <v>289</v>
      </c>
      <c r="H59" s="51" t="s">
        <v>290</v>
      </c>
      <c r="I59" s="51" t="s">
        <v>291</v>
      </c>
      <c r="J59" s="59"/>
      <c r="K59" s="60"/>
      <c r="L59" s="61">
        <v>312.60000000000002</v>
      </c>
      <c r="M59" s="62"/>
      <c r="N59" s="63">
        <f t="shared" si="0"/>
        <v>260.50000000000006</v>
      </c>
      <c r="O59" s="64">
        <f t="shared" si="1"/>
        <v>52.099999999999966</v>
      </c>
      <c r="P59" s="65" t="str">
        <f t="shared" si="2"/>
        <v/>
      </c>
      <c r="Q59" s="66" t="str">
        <f t="shared" si="8"/>
        <v/>
      </c>
      <c r="R59" s="51" t="s">
        <v>232</v>
      </c>
      <c r="S59" s="60" t="s">
        <v>204</v>
      </c>
      <c r="T59" s="52" t="str">
        <f t="shared" si="3"/>
        <v>Service technique</v>
      </c>
      <c r="U59" s="51" t="s">
        <v>292</v>
      </c>
      <c r="V59" s="56" t="str">
        <f t="shared" si="4"/>
        <v>Conforme</v>
      </c>
      <c r="X59" s="57" t="str">
        <f t="shared" si="5"/>
        <v>Entretien et réparations</v>
      </c>
      <c r="Y59" s="57">
        <f t="shared" si="6"/>
        <v>0</v>
      </c>
      <c r="Z59" s="57">
        <f t="shared" si="9"/>
        <v>46545</v>
      </c>
      <c r="AA59" s="57">
        <f t="shared" si="10"/>
        <v>0</v>
      </c>
      <c r="AB59" s="57">
        <f t="shared" si="7"/>
        <v>0.2</v>
      </c>
      <c r="AC59" s="57" t="str">
        <f t="shared" si="11"/>
        <v/>
      </c>
      <c r="AD59" s="57" t="str">
        <f t="shared" si="12"/>
        <v/>
      </c>
      <c r="AE59" s="57" t="str">
        <f>IF(AND($D59=RelConducteur,$S59="Oui",ISNUMBER($C59),$C59&gt;=RelDebut,$C59&lt;=RelFin),COUNTIFS($D$9:$D59,RelConducteur,$S$9:$S59,"Oui",$C$9:$C59,"&gt;="&amp;RelDebut,$C$9:$C59,"&lt;="&amp;RelFin),"")</f>
        <v/>
      </c>
    </row>
    <row r="60" spans="2:31" ht="18" customHeight="1" x14ac:dyDescent="0.25">
      <c r="B60" s="48">
        <f>IF(C60="","",COUNT($C$9:C60))</f>
        <v>52</v>
      </c>
      <c r="C60" s="49">
        <v>46514</v>
      </c>
      <c r="D60" s="51" t="s">
        <v>133</v>
      </c>
      <c r="E60" s="53">
        <v>46865</v>
      </c>
      <c r="F60" s="51" t="s">
        <v>240</v>
      </c>
      <c r="G60" s="51"/>
      <c r="H60" s="51" t="s">
        <v>241</v>
      </c>
      <c r="I60" s="51" t="s">
        <v>242</v>
      </c>
      <c r="J60" s="59"/>
      <c r="K60" s="60"/>
      <c r="L60" s="61">
        <v>14</v>
      </c>
      <c r="M60" s="62"/>
      <c r="N60" s="63">
        <f t="shared" si="0"/>
        <v>11.666666666666668</v>
      </c>
      <c r="O60" s="64">
        <f t="shared" si="1"/>
        <v>2.3333333333333321</v>
      </c>
      <c r="P60" s="65" t="str">
        <f t="shared" si="2"/>
        <v/>
      </c>
      <c r="Q60" s="66" t="str">
        <f t="shared" si="8"/>
        <v/>
      </c>
      <c r="R60" s="51" t="s">
        <v>210</v>
      </c>
      <c r="S60" s="60" t="s">
        <v>204</v>
      </c>
      <c r="T60" s="52" t="str">
        <f t="shared" si="3"/>
        <v>Service technique</v>
      </c>
      <c r="U60" s="51" t="s">
        <v>293</v>
      </c>
      <c r="V60" s="56" t="str">
        <f t="shared" si="4"/>
        <v>Conforme</v>
      </c>
      <c r="X60" s="57" t="str">
        <f t="shared" si="5"/>
        <v>Frais fixes et divers</v>
      </c>
      <c r="Y60" s="57">
        <f t="shared" si="6"/>
        <v>0</v>
      </c>
      <c r="Z60" s="57">
        <f t="shared" si="9"/>
        <v>46545</v>
      </c>
      <c r="AA60" s="57">
        <f t="shared" si="10"/>
        <v>0</v>
      </c>
      <c r="AB60" s="57">
        <f t="shared" si="7"/>
        <v>0.2</v>
      </c>
      <c r="AC60" s="57" t="str">
        <f t="shared" si="11"/>
        <v/>
      </c>
      <c r="AD60" s="57" t="str">
        <f t="shared" si="12"/>
        <v/>
      </c>
      <c r="AE60" s="57" t="str">
        <f>IF(AND($D60=RelConducteur,$S60="Oui",ISNUMBER($C60),$C60&gt;=RelDebut,$C60&lt;=RelFin),COUNTIFS($D$9:$D60,RelConducteur,$S$9:$S60,"Oui",$C$9:$C60,"&gt;="&amp;RelDebut,$C$9:$C60,"&lt;="&amp;RelFin),"")</f>
        <v/>
      </c>
    </row>
    <row r="61" spans="2:31" ht="18" customHeight="1" x14ac:dyDescent="0.25">
      <c r="B61" s="48">
        <f>IF(C61="","",COUNT($C$9:C61))</f>
        <v>53</v>
      </c>
      <c r="C61" s="49">
        <v>46518</v>
      </c>
      <c r="D61" s="51" t="s">
        <v>148</v>
      </c>
      <c r="E61" s="53">
        <v>47008</v>
      </c>
      <c r="F61" s="51" t="s">
        <v>217</v>
      </c>
      <c r="G61" s="51"/>
      <c r="H61" s="51" t="s">
        <v>250</v>
      </c>
      <c r="I61" s="51" t="s">
        <v>219</v>
      </c>
      <c r="J61" s="59"/>
      <c r="K61" s="60"/>
      <c r="L61" s="61">
        <v>9</v>
      </c>
      <c r="M61" s="62"/>
      <c r="N61" s="63">
        <f t="shared" si="0"/>
        <v>7.5</v>
      </c>
      <c r="O61" s="64">
        <f t="shared" si="1"/>
        <v>1.5</v>
      </c>
      <c r="P61" s="65" t="str">
        <f t="shared" si="2"/>
        <v/>
      </c>
      <c r="Q61" s="66" t="str">
        <f t="shared" si="8"/>
        <v/>
      </c>
      <c r="R61" s="51" t="s">
        <v>215</v>
      </c>
      <c r="S61" s="60" t="s">
        <v>209</v>
      </c>
      <c r="T61" s="52" t="str">
        <f t="shared" si="3"/>
        <v>Service commercial</v>
      </c>
      <c r="U61" s="51" t="s">
        <v>294</v>
      </c>
      <c r="V61" s="56" t="str">
        <f t="shared" si="4"/>
        <v>Conforme</v>
      </c>
      <c r="X61" s="57" t="str">
        <f t="shared" si="5"/>
        <v>Frais fixes et divers</v>
      </c>
      <c r="Y61" s="57">
        <f t="shared" si="6"/>
        <v>0</v>
      </c>
      <c r="Z61" s="57">
        <f t="shared" si="9"/>
        <v>46545</v>
      </c>
      <c r="AA61" s="57">
        <f t="shared" si="10"/>
        <v>0</v>
      </c>
      <c r="AB61" s="57">
        <f t="shared" si="7"/>
        <v>0.2</v>
      </c>
      <c r="AC61" s="57" t="str">
        <f t="shared" si="11"/>
        <v/>
      </c>
      <c r="AD61" s="57" t="str">
        <f t="shared" si="12"/>
        <v/>
      </c>
      <c r="AE61" s="57" t="str">
        <f>IF(AND($D61=RelConducteur,$S61="Oui",ISNUMBER($C61),$C61&gt;=RelDebut,$C61&lt;=RelFin),COUNTIFS($D$9:$D61,RelConducteur,$S$9:$S61,"Oui",$C$9:$C61,"&gt;="&amp;RelDebut,$C$9:$C61,"&lt;="&amp;RelFin),"")</f>
        <v/>
      </c>
    </row>
    <row r="62" spans="2:31" ht="18" customHeight="1" x14ac:dyDescent="0.25">
      <c r="B62" s="48">
        <f>IF(C62="","",COUNT($C$9:C62))</f>
        <v>54</v>
      </c>
      <c r="C62" s="49">
        <v>46519</v>
      </c>
      <c r="D62" s="51" t="s">
        <v>139</v>
      </c>
      <c r="E62" s="53">
        <v>47092</v>
      </c>
      <c r="F62" s="51" t="s">
        <v>206</v>
      </c>
      <c r="G62" s="51"/>
      <c r="H62" s="51" t="s">
        <v>261</v>
      </c>
      <c r="I62" s="51" t="s">
        <v>208</v>
      </c>
      <c r="J62" s="59">
        <v>39.82</v>
      </c>
      <c r="K62" s="60" t="s">
        <v>209</v>
      </c>
      <c r="L62" s="61">
        <v>71.28</v>
      </c>
      <c r="M62" s="62"/>
      <c r="N62" s="63">
        <f t="shared" si="0"/>
        <v>59.400000000000006</v>
      </c>
      <c r="O62" s="64">
        <f t="shared" si="1"/>
        <v>11.879999999999995</v>
      </c>
      <c r="P62" s="65">
        <f t="shared" si="2"/>
        <v>1.7900552486187846</v>
      </c>
      <c r="Q62" s="66">
        <f t="shared" si="8"/>
        <v>7.2797074954296157</v>
      </c>
      <c r="R62" s="51" t="s">
        <v>210</v>
      </c>
      <c r="S62" s="60" t="s">
        <v>204</v>
      </c>
      <c r="T62" s="52" t="str">
        <f t="shared" si="3"/>
        <v>Service technique</v>
      </c>
      <c r="U62" s="51" t="s">
        <v>295</v>
      </c>
      <c r="V62" s="56" t="str">
        <f t="shared" si="4"/>
        <v>Conforme</v>
      </c>
      <c r="X62" s="57" t="str">
        <f t="shared" si="5"/>
        <v>Énergie</v>
      </c>
      <c r="Y62" s="57">
        <f t="shared" si="6"/>
        <v>1</v>
      </c>
      <c r="Z62" s="57">
        <f t="shared" si="9"/>
        <v>47092</v>
      </c>
      <c r="AA62" s="57">
        <f t="shared" si="10"/>
        <v>0</v>
      </c>
      <c r="AB62" s="57">
        <f t="shared" si="7"/>
        <v>0.2</v>
      </c>
      <c r="AC62" s="57">
        <f t="shared" si="11"/>
        <v>547</v>
      </c>
      <c r="AD62" s="57">
        <f t="shared" si="12"/>
        <v>39.82</v>
      </c>
      <c r="AE62" s="57" t="str">
        <f>IF(AND($D62=RelConducteur,$S62="Oui",ISNUMBER($C62),$C62&gt;=RelDebut,$C62&lt;=RelFin),COUNTIFS($D$9:$D62,RelConducteur,$S$9:$S62,"Oui",$C$9:$C62,"&gt;="&amp;RelDebut,$C$9:$C62,"&lt;="&amp;RelFin),"")</f>
        <v/>
      </c>
    </row>
    <row r="63" spans="2:31" ht="18" customHeight="1" x14ac:dyDescent="0.25">
      <c r="B63" s="48">
        <f>IF(C63="","",COUNT($C$9:C63))</f>
        <v>55</v>
      </c>
      <c r="C63" s="49">
        <v>46527</v>
      </c>
      <c r="D63" s="51" t="s">
        <v>133</v>
      </c>
      <c r="E63" s="53">
        <v>47512</v>
      </c>
      <c r="F63" s="51" t="s">
        <v>212</v>
      </c>
      <c r="G63" s="51"/>
      <c r="H63" s="51" t="s">
        <v>213</v>
      </c>
      <c r="I63" s="51" t="s">
        <v>278</v>
      </c>
      <c r="J63" s="59"/>
      <c r="K63" s="60"/>
      <c r="L63" s="61">
        <v>7.8</v>
      </c>
      <c r="M63" s="62"/>
      <c r="N63" s="63">
        <f t="shared" si="0"/>
        <v>6.5</v>
      </c>
      <c r="O63" s="64">
        <f t="shared" si="1"/>
        <v>1.2999999999999998</v>
      </c>
      <c r="P63" s="65" t="str">
        <f t="shared" si="2"/>
        <v/>
      </c>
      <c r="Q63" s="66" t="str">
        <f t="shared" si="8"/>
        <v/>
      </c>
      <c r="R63" s="51" t="s">
        <v>210</v>
      </c>
      <c r="S63" s="60" t="s">
        <v>204</v>
      </c>
      <c r="T63" s="52" t="str">
        <f t="shared" si="3"/>
        <v>Service technique</v>
      </c>
      <c r="U63" s="51" t="s">
        <v>296</v>
      </c>
      <c r="V63" s="56" t="str">
        <f t="shared" si="4"/>
        <v>Conforme</v>
      </c>
      <c r="X63" s="57" t="str">
        <f t="shared" si="5"/>
        <v>Frais fixes et divers</v>
      </c>
      <c r="Y63" s="57">
        <f t="shared" si="6"/>
        <v>0</v>
      </c>
      <c r="Z63" s="57">
        <f t="shared" si="9"/>
        <v>47092</v>
      </c>
      <c r="AA63" s="57">
        <f t="shared" si="10"/>
        <v>0</v>
      </c>
      <c r="AB63" s="57">
        <f t="shared" si="7"/>
        <v>0.2</v>
      </c>
      <c r="AC63" s="57" t="str">
        <f t="shared" si="11"/>
        <v/>
      </c>
      <c r="AD63" s="57" t="str">
        <f t="shared" si="12"/>
        <v/>
      </c>
      <c r="AE63" s="57" t="str">
        <f>IF(AND($D63=RelConducteur,$S63="Oui",ISNUMBER($C63),$C63&gt;=RelDebut,$C63&lt;=RelFin),COUNTIFS($D$9:$D63,RelConducteur,$S$9:$S63,"Oui",$C$9:$C63,"&gt;="&amp;RelDebut,$C$9:$C63,"&lt;="&amp;RelFin),"")</f>
        <v/>
      </c>
    </row>
    <row r="64" spans="2:31" ht="18" customHeight="1" x14ac:dyDescent="0.25">
      <c r="B64" s="48">
        <f>IF(C64="","",COUNT($C$9:C64))</f>
        <v>56</v>
      </c>
      <c r="C64" s="49">
        <v>46527</v>
      </c>
      <c r="D64" s="51" t="s">
        <v>148</v>
      </c>
      <c r="E64" s="53">
        <v>47528</v>
      </c>
      <c r="F64" s="51" t="s">
        <v>217</v>
      </c>
      <c r="G64" s="51"/>
      <c r="H64" s="51" t="s">
        <v>250</v>
      </c>
      <c r="I64" s="51" t="s">
        <v>219</v>
      </c>
      <c r="J64" s="59"/>
      <c r="K64" s="60"/>
      <c r="L64" s="61">
        <v>9</v>
      </c>
      <c r="M64" s="62"/>
      <c r="N64" s="63">
        <f t="shared" si="0"/>
        <v>7.5</v>
      </c>
      <c r="O64" s="64">
        <f t="shared" si="1"/>
        <v>1.5</v>
      </c>
      <c r="P64" s="65" t="str">
        <f t="shared" si="2"/>
        <v/>
      </c>
      <c r="Q64" s="66" t="str">
        <f t="shared" si="8"/>
        <v/>
      </c>
      <c r="R64" s="51" t="s">
        <v>215</v>
      </c>
      <c r="S64" s="60" t="s">
        <v>209</v>
      </c>
      <c r="T64" s="52" t="str">
        <f t="shared" si="3"/>
        <v>Service commercial</v>
      </c>
      <c r="U64" s="51" t="s">
        <v>297</v>
      </c>
      <c r="V64" s="56" t="str">
        <f t="shared" si="4"/>
        <v>Conforme</v>
      </c>
      <c r="X64" s="57" t="str">
        <f t="shared" si="5"/>
        <v>Frais fixes et divers</v>
      </c>
      <c r="Y64" s="57">
        <f t="shared" si="6"/>
        <v>0</v>
      </c>
      <c r="Z64" s="57">
        <f t="shared" si="9"/>
        <v>47092</v>
      </c>
      <c r="AA64" s="57">
        <f t="shared" si="10"/>
        <v>0</v>
      </c>
      <c r="AB64" s="57">
        <f t="shared" si="7"/>
        <v>0.2</v>
      </c>
      <c r="AC64" s="57" t="str">
        <f t="shared" si="11"/>
        <v/>
      </c>
      <c r="AD64" s="57" t="str">
        <f t="shared" si="12"/>
        <v/>
      </c>
      <c r="AE64" s="57" t="str">
        <f>IF(AND($D64=RelConducteur,$S64="Oui",ISNUMBER($C64),$C64&gt;=RelDebut,$C64&lt;=RelFin),COUNTIFS($D$9:$D64,RelConducteur,$S$9:$S64,"Oui",$C$9:$C64,"&gt;="&amp;RelDebut,$C$9:$C64,"&lt;="&amp;RelFin),"")</f>
        <v/>
      </c>
    </row>
    <row r="65" spans="2:31" ht="18" customHeight="1" x14ac:dyDescent="0.25">
      <c r="B65" s="48">
        <f>IF(C65="","",COUNT($C$9:C65))</f>
        <v>57</v>
      </c>
      <c r="C65" s="49">
        <v>46532</v>
      </c>
      <c r="D65" s="51" t="s">
        <v>139</v>
      </c>
      <c r="E65" s="53">
        <v>47619</v>
      </c>
      <c r="F65" s="51" t="s">
        <v>206</v>
      </c>
      <c r="G65" s="51"/>
      <c r="H65" s="51" t="s">
        <v>261</v>
      </c>
      <c r="I65" s="51" t="s">
        <v>208</v>
      </c>
      <c r="J65" s="59">
        <v>36.9</v>
      </c>
      <c r="K65" s="60" t="s">
        <v>209</v>
      </c>
      <c r="L65" s="61">
        <v>64.83</v>
      </c>
      <c r="M65" s="62"/>
      <c r="N65" s="63">
        <f t="shared" si="0"/>
        <v>54.024999999999999</v>
      </c>
      <c r="O65" s="64">
        <f t="shared" si="1"/>
        <v>10.805</v>
      </c>
      <c r="P65" s="65">
        <f t="shared" si="2"/>
        <v>1.756910569105691</v>
      </c>
      <c r="Q65" s="66">
        <f t="shared" si="8"/>
        <v>7.0018975332068312</v>
      </c>
      <c r="R65" s="51" t="s">
        <v>210</v>
      </c>
      <c r="S65" s="60" t="s">
        <v>204</v>
      </c>
      <c r="T65" s="52" t="str">
        <f t="shared" si="3"/>
        <v>Service technique</v>
      </c>
      <c r="U65" s="51" t="s">
        <v>298</v>
      </c>
      <c r="V65" s="56" t="str">
        <f t="shared" si="4"/>
        <v>Conforme</v>
      </c>
      <c r="X65" s="57" t="str">
        <f t="shared" si="5"/>
        <v>Énergie</v>
      </c>
      <c r="Y65" s="57">
        <f t="shared" si="6"/>
        <v>1</v>
      </c>
      <c r="Z65" s="57">
        <f t="shared" si="9"/>
        <v>47619</v>
      </c>
      <c r="AA65" s="57">
        <f t="shared" si="10"/>
        <v>0</v>
      </c>
      <c r="AB65" s="57">
        <f t="shared" si="7"/>
        <v>0.2</v>
      </c>
      <c r="AC65" s="57">
        <f t="shared" si="11"/>
        <v>527</v>
      </c>
      <c r="AD65" s="57">
        <f t="shared" si="12"/>
        <v>36.9</v>
      </c>
      <c r="AE65" s="57" t="str">
        <f>IF(AND($D65=RelConducteur,$S65="Oui",ISNUMBER($C65),$C65&gt;=RelDebut,$C65&lt;=RelFin),COUNTIFS($D$9:$D65,RelConducteur,$S$9:$S65,"Oui",$C$9:$C65,"&gt;="&amp;RelDebut,$C$9:$C65,"&lt;="&amp;RelFin),"")</f>
        <v/>
      </c>
    </row>
    <row r="66" spans="2:31" ht="18" customHeight="1" x14ac:dyDescent="0.25">
      <c r="B66" s="48">
        <f>IF(C66="","",COUNT($C$9:C66))</f>
        <v>58</v>
      </c>
      <c r="C66" s="49">
        <v>46532</v>
      </c>
      <c r="D66" s="51" t="s">
        <v>148</v>
      </c>
      <c r="E66" s="53">
        <v>47900</v>
      </c>
      <c r="F66" s="51" t="s">
        <v>212</v>
      </c>
      <c r="G66" s="51"/>
      <c r="H66" s="51" t="s">
        <v>213</v>
      </c>
      <c r="I66" s="51" t="s">
        <v>214</v>
      </c>
      <c r="J66" s="59"/>
      <c r="K66" s="60"/>
      <c r="L66" s="61">
        <v>27.4</v>
      </c>
      <c r="M66" s="62"/>
      <c r="N66" s="63">
        <f t="shared" si="0"/>
        <v>22.833333333333332</v>
      </c>
      <c r="O66" s="64">
        <f t="shared" si="1"/>
        <v>4.5666666666666664</v>
      </c>
      <c r="P66" s="65" t="str">
        <f t="shared" si="2"/>
        <v/>
      </c>
      <c r="Q66" s="66" t="str">
        <f t="shared" si="8"/>
        <v/>
      </c>
      <c r="R66" s="51" t="s">
        <v>215</v>
      </c>
      <c r="S66" s="60" t="s">
        <v>209</v>
      </c>
      <c r="T66" s="52" t="str">
        <f t="shared" si="3"/>
        <v>Service commercial</v>
      </c>
      <c r="U66" s="51" t="s">
        <v>299</v>
      </c>
      <c r="V66" s="56" t="str">
        <f t="shared" si="4"/>
        <v>Conforme</v>
      </c>
      <c r="X66" s="57" t="str">
        <f t="shared" si="5"/>
        <v>Frais fixes et divers</v>
      </c>
      <c r="Y66" s="57">
        <f t="shared" si="6"/>
        <v>0</v>
      </c>
      <c r="Z66" s="57">
        <f t="shared" si="9"/>
        <v>47619</v>
      </c>
      <c r="AA66" s="57">
        <f t="shared" si="10"/>
        <v>0</v>
      </c>
      <c r="AB66" s="57">
        <f t="shared" si="7"/>
        <v>0.2</v>
      </c>
      <c r="AC66" s="57" t="str">
        <f t="shared" si="11"/>
        <v/>
      </c>
      <c r="AD66" s="57" t="str">
        <f t="shared" si="12"/>
        <v/>
      </c>
      <c r="AE66" s="57" t="str">
        <f>IF(AND($D66=RelConducteur,$S66="Oui",ISNUMBER($C66),$C66&gt;=RelDebut,$C66&lt;=RelFin),COUNTIFS($D$9:$D66,RelConducteur,$S$9:$S66,"Oui",$C$9:$C66,"&gt;="&amp;RelDebut,$C$9:$C66,"&lt;="&amp;RelFin),"")</f>
        <v/>
      </c>
    </row>
    <row r="67" spans="2:31" ht="18" customHeight="1" x14ac:dyDescent="0.25">
      <c r="B67" s="48">
        <f>IF(C67="","",COUNT($C$9:C67))</f>
        <v>59</v>
      </c>
      <c r="C67" s="49">
        <v>46534</v>
      </c>
      <c r="D67" s="51" t="s">
        <v>148</v>
      </c>
      <c r="E67" s="53">
        <v>48017</v>
      </c>
      <c r="F67" s="51" t="s">
        <v>206</v>
      </c>
      <c r="G67" s="51"/>
      <c r="H67" s="51" t="s">
        <v>226</v>
      </c>
      <c r="I67" s="51" t="s">
        <v>208</v>
      </c>
      <c r="J67" s="59">
        <v>27.81</v>
      </c>
      <c r="K67" s="60" t="s">
        <v>209</v>
      </c>
      <c r="L67" s="61">
        <v>49.61</v>
      </c>
      <c r="M67" s="62"/>
      <c r="N67" s="63">
        <f t="shared" si="0"/>
        <v>41.341666666666669</v>
      </c>
      <c r="O67" s="64">
        <f t="shared" si="1"/>
        <v>8.2683333333333309</v>
      </c>
      <c r="P67" s="65">
        <f t="shared" si="2"/>
        <v>1.7838906868033082</v>
      </c>
      <c r="Q67" s="66">
        <f t="shared" si="8"/>
        <v>6.9874371859296485</v>
      </c>
      <c r="R67" s="51" t="s">
        <v>210</v>
      </c>
      <c r="S67" s="60" t="s">
        <v>204</v>
      </c>
      <c r="T67" s="52" t="str">
        <f t="shared" si="3"/>
        <v>Service commercial</v>
      </c>
      <c r="U67" s="51" t="s">
        <v>300</v>
      </c>
      <c r="V67" s="56" t="str">
        <f t="shared" si="4"/>
        <v>Conforme</v>
      </c>
      <c r="X67" s="57" t="str">
        <f t="shared" si="5"/>
        <v>Énergie</v>
      </c>
      <c r="Y67" s="57">
        <f t="shared" si="6"/>
        <v>1</v>
      </c>
      <c r="Z67" s="57">
        <f t="shared" si="9"/>
        <v>48017</v>
      </c>
      <c r="AA67" s="57">
        <f t="shared" si="10"/>
        <v>0</v>
      </c>
      <c r="AB67" s="57">
        <f t="shared" si="7"/>
        <v>0.2</v>
      </c>
      <c r="AC67" s="57">
        <f t="shared" si="11"/>
        <v>398</v>
      </c>
      <c r="AD67" s="57">
        <f t="shared" si="12"/>
        <v>27.81</v>
      </c>
      <c r="AE67" s="57" t="str">
        <f>IF(AND($D67=RelConducteur,$S67="Oui",ISNUMBER($C67),$C67&gt;=RelDebut,$C67&lt;=RelFin),COUNTIFS($D$9:$D67,RelConducteur,$S$9:$S67,"Oui",$C$9:$C67,"&gt;="&amp;RelDebut,$C$9:$C67,"&lt;="&amp;RelFin),"")</f>
        <v/>
      </c>
    </row>
    <row r="68" spans="2:31" ht="18" customHeight="1" x14ac:dyDescent="0.25">
      <c r="B68" s="48">
        <f>IF(C68="","",COUNT($C$9:C68))</f>
        <v>60</v>
      </c>
      <c r="C68" s="49">
        <v>46534</v>
      </c>
      <c r="D68" s="51" t="s">
        <v>148</v>
      </c>
      <c r="E68" s="53">
        <v>48294</v>
      </c>
      <c r="F68" s="51" t="s">
        <v>212</v>
      </c>
      <c r="G68" s="51"/>
      <c r="H68" s="51" t="s">
        <v>213</v>
      </c>
      <c r="I68" s="51" t="s">
        <v>214</v>
      </c>
      <c r="J68" s="59"/>
      <c r="K68" s="60"/>
      <c r="L68" s="61">
        <v>27.4</v>
      </c>
      <c r="M68" s="62"/>
      <c r="N68" s="63">
        <f t="shared" si="0"/>
        <v>22.833333333333332</v>
      </c>
      <c r="O68" s="64">
        <f t="shared" si="1"/>
        <v>4.5666666666666664</v>
      </c>
      <c r="P68" s="65" t="str">
        <f t="shared" si="2"/>
        <v/>
      </c>
      <c r="Q68" s="66" t="str">
        <f t="shared" si="8"/>
        <v/>
      </c>
      <c r="R68" s="51" t="s">
        <v>215</v>
      </c>
      <c r="S68" s="60" t="s">
        <v>209</v>
      </c>
      <c r="T68" s="52" t="str">
        <f t="shared" si="3"/>
        <v>Service commercial</v>
      </c>
      <c r="U68" s="51" t="s">
        <v>301</v>
      </c>
      <c r="V68" s="56" t="str">
        <f t="shared" si="4"/>
        <v>Conforme</v>
      </c>
      <c r="X68" s="57" t="str">
        <f t="shared" si="5"/>
        <v>Frais fixes et divers</v>
      </c>
      <c r="Y68" s="57">
        <f t="shared" si="6"/>
        <v>0</v>
      </c>
      <c r="Z68" s="57">
        <f t="shared" si="9"/>
        <v>48017</v>
      </c>
      <c r="AA68" s="57">
        <f t="shared" si="10"/>
        <v>0</v>
      </c>
      <c r="AB68" s="57">
        <f t="shared" si="7"/>
        <v>0.2</v>
      </c>
      <c r="AC68" s="57" t="str">
        <f t="shared" si="11"/>
        <v/>
      </c>
      <c r="AD68" s="57" t="str">
        <f t="shared" si="12"/>
        <v/>
      </c>
      <c r="AE68" s="57" t="str">
        <f>IF(AND($D68=RelConducteur,$S68="Oui",ISNUMBER($C68),$C68&gt;=RelDebut,$C68&lt;=RelFin),COUNTIFS($D$9:$D68,RelConducteur,$S$9:$S68,"Oui",$C$9:$C68,"&gt;="&amp;RelDebut,$C$9:$C68,"&lt;="&amp;RelFin),"")</f>
        <v/>
      </c>
    </row>
    <row r="69" spans="2:31" ht="18" customHeight="1" x14ac:dyDescent="0.25">
      <c r="B69" s="48">
        <f>IF(C69="","",COUNT($C$9:C69))</f>
        <v>61</v>
      </c>
      <c r="C69" s="49">
        <v>46534</v>
      </c>
      <c r="D69" s="51" t="s">
        <v>148</v>
      </c>
      <c r="E69" s="53">
        <v>48294</v>
      </c>
      <c r="F69" s="51" t="s">
        <v>217</v>
      </c>
      <c r="G69" s="51"/>
      <c r="H69" s="51" t="s">
        <v>218</v>
      </c>
      <c r="I69" s="51" t="s">
        <v>219</v>
      </c>
      <c r="J69" s="59"/>
      <c r="K69" s="60"/>
      <c r="L69" s="61">
        <v>8.1999999999999993</v>
      </c>
      <c r="M69" s="62"/>
      <c r="N69" s="63">
        <f t="shared" si="0"/>
        <v>6.833333333333333</v>
      </c>
      <c r="O69" s="64">
        <f t="shared" si="1"/>
        <v>1.3666666666666663</v>
      </c>
      <c r="P69" s="65" t="str">
        <f t="shared" si="2"/>
        <v/>
      </c>
      <c r="Q69" s="66" t="str">
        <f t="shared" si="8"/>
        <v/>
      </c>
      <c r="R69" s="51" t="s">
        <v>215</v>
      </c>
      <c r="S69" s="60" t="s">
        <v>209</v>
      </c>
      <c r="T69" s="52" t="str">
        <f t="shared" si="3"/>
        <v>Service commercial</v>
      </c>
      <c r="U69" s="51" t="s">
        <v>302</v>
      </c>
      <c r="V69" s="56" t="str">
        <f t="shared" si="4"/>
        <v>Conforme</v>
      </c>
      <c r="X69" s="57" t="str">
        <f t="shared" si="5"/>
        <v>Frais fixes et divers</v>
      </c>
      <c r="Y69" s="57">
        <f t="shared" si="6"/>
        <v>0</v>
      </c>
      <c r="Z69" s="57">
        <f t="shared" si="9"/>
        <v>48017</v>
      </c>
      <c r="AA69" s="57">
        <f t="shared" si="10"/>
        <v>0</v>
      </c>
      <c r="AB69" s="57">
        <f t="shared" si="7"/>
        <v>0.2</v>
      </c>
      <c r="AC69" s="57" t="str">
        <f t="shared" si="11"/>
        <v/>
      </c>
      <c r="AD69" s="57" t="str">
        <f t="shared" si="12"/>
        <v/>
      </c>
      <c r="AE69" s="57" t="str">
        <f>IF(AND($D69=RelConducteur,$S69="Oui",ISNUMBER($C69),$C69&gt;=RelDebut,$C69&lt;=RelFin),COUNTIFS($D$9:$D69,RelConducteur,$S$9:$S69,"Oui",$C$9:$C69,"&gt;="&amp;RelDebut,$C$9:$C69,"&lt;="&amp;RelFin),"")</f>
        <v/>
      </c>
    </row>
    <row r="70" spans="2:31" ht="18" customHeight="1" x14ac:dyDescent="0.25">
      <c r="B70" s="48">
        <f>IF(C70="","",COUNT($C$9:C70))</f>
        <v>62</v>
      </c>
      <c r="C70" s="49">
        <v>46535</v>
      </c>
      <c r="D70" s="51" t="s">
        <v>148</v>
      </c>
      <c r="E70" s="53">
        <v>48312</v>
      </c>
      <c r="F70" s="51" t="s">
        <v>217</v>
      </c>
      <c r="G70" s="51"/>
      <c r="H70" s="51" t="s">
        <v>236</v>
      </c>
      <c r="I70" s="51" t="s">
        <v>219</v>
      </c>
      <c r="J70" s="59"/>
      <c r="K70" s="60"/>
      <c r="L70" s="61">
        <v>7.5</v>
      </c>
      <c r="M70" s="62"/>
      <c r="N70" s="63">
        <f t="shared" si="0"/>
        <v>6.25</v>
      </c>
      <c r="O70" s="64">
        <f t="shared" si="1"/>
        <v>1.25</v>
      </c>
      <c r="P70" s="65" t="str">
        <f t="shared" si="2"/>
        <v/>
      </c>
      <c r="Q70" s="66" t="str">
        <f t="shared" si="8"/>
        <v/>
      </c>
      <c r="R70" s="51" t="s">
        <v>215</v>
      </c>
      <c r="S70" s="60" t="s">
        <v>209</v>
      </c>
      <c r="T70" s="52" t="str">
        <f t="shared" si="3"/>
        <v>Service commercial</v>
      </c>
      <c r="U70" s="51" t="s">
        <v>303</v>
      </c>
      <c r="V70" s="56" t="str">
        <f t="shared" si="4"/>
        <v>Conforme</v>
      </c>
      <c r="X70" s="57" t="str">
        <f t="shared" si="5"/>
        <v>Frais fixes et divers</v>
      </c>
      <c r="Y70" s="57">
        <f t="shared" si="6"/>
        <v>0</v>
      </c>
      <c r="Z70" s="57">
        <f t="shared" si="9"/>
        <v>48017</v>
      </c>
      <c r="AA70" s="57">
        <f t="shared" si="10"/>
        <v>0</v>
      </c>
      <c r="AB70" s="57">
        <f t="shared" si="7"/>
        <v>0.2</v>
      </c>
      <c r="AC70" s="57" t="str">
        <f t="shared" si="11"/>
        <v/>
      </c>
      <c r="AD70" s="57" t="str">
        <f t="shared" si="12"/>
        <v/>
      </c>
      <c r="AE70" s="57" t="str">
        <f>IF(AND($D70=RelConducteur,$S70="Oui",ISNUMBER($C70),$C70&gt;=RelDebut,$C70&lt;=RelFin),COUNTIFS($D$9:$D70,RelConducteur,$S$9:$S70,"Oui",$C$9:$C70,"&gt;="&amp;RelDebut,$C$9:$C70,"&lt;="&amp;RelFin),"")</f>
        <v/>
      </c>
    </row>
    <row r="71" spans="2:31" ht="18" customHeight="1" x14ac:dyDescent="0.25">
      <c r="B71" s="48">
        <f>IF(C71="","",COUNT($C$9:C71))</f>
        <v>63</v>
      </c>
      <c r="C71" s="49">
        <v>46540</v>
      </c>
      <c r="D71" s="51" t="s">
        <v>148</v>
      </c>
      <c r="E71" s="53">
        <v>48442</v>
      </c>
      <c r="F71" s="51" t="s">
        <v>217</v>
      </c>
      <c r="G71" s="51"/>
      <c r="H71" s="51" t="s">
        <v>236</v>
      </c>
      <c r="I71" s="51" t="s">
        <v>219</v>
      </c>
      <c r="J71" s="59"/>
      <c r="K71" s="60"/>
      <c r="L71" s="61">
        <v>7.5</v>
      </c>
      <c r="M71" s="62"/>
      <c r="N71" s="63">
        <f t="shared" si="0"/>
        <v>6.25</v>
      </c>
      <c r="O71" s="64">
        <f t="shared" si="1"/>
        <v>1.25</v>
      </c>
      <c r="P71" s="65" t="str">
        <f t="shared" si="2"/>
        <v/>
      </c>
      <c r="Q71" s="66" t="str">
        <f t="shared" si="8"/>
        <v/>
      </c>
      <c r="R71" s="51" t="s">
        <v>215</v>
      </c>
      <c r="S71" s="60" t="s">
        <v>209</v>
      </c>
      <c r="T71" s="52" t="str">
        <f t="shared" si="3"/>
        <v>Service commercial</v>
      </c>
      <c r="U71" s="51" t="s">
        <v>304</v>
      </c>
      <c r="V71" s="56" t="str">
        <f t="shared" si="4"/>
        <v>Conforme</v>
      </c>
      <c r="X71" s="57" t="str">
        <f t="shared" si="5"/>
        <v>Frais fixes et divers</v>
      </c>
      <c r="Y71" s="57">
        <f t="shared" si="6"/>
        <v>0</v>
      </c>
      <c r="Z71" s="57">
        <f t="shared" si="9"/>
        <v>48017</v>
      </c>
      <c r="AA71" s="57">
        <f t="shared" si="10"/>
        <v>0</v>
      </c>
      <c r="AB71" s="57">
        <f t="shared" si="7"/>
        <v>0.2</v>
      </c>
      <c r="AC71" s="57" t="str">
        <f t="shared" si="11"/>
        <v/>
      </c>
      <c r="AD71" s="57" t="str">
        <f t="shared" si="12"/>
        <v/>
      </c>
      <c r="AE71" s="57" t="str">
        <f>IF(AND($D71=RelConducteur,$S71="Oui",ISNUMBER($C71),$C71&gt;=RelDebut,$C71&lt;=RelFin),COUNTIFS($D$9:$D71,RelConducteur,$S$9:$S71,"Oui",$C$9:$C71,"&gt;="&amp;RelDebut,$C$9:$C71,"&lt;="&amp;RelFin),"")</f>
        <v/>
      </c>
    </row>
    <row r="72" spans="2:31" ht="18" customHeight="1" x14ac:dyDescent="0.25">
      <c r="B72" s="48">
        <f>IF(C72="","",COUNT($C$9:C72))</f>
        <v>64</v>
      </c>
      <c r="C72" s="49">
        <v>46541</v>
      </c>
      <c r="D72" s="51" t="s">
        <v>133</v>
      </c>
      <c r="E72" s="53">
        <v>48536</v>
      </c>
      <c r="F72" s="51" t="s">
        <v>212</v>
      </c>
      <c r="G72" s="51"/>
      <c r="H72" s="51" t="s">
        <v>213</v>
      </c>
      <c r="I72" s="51" t="s">
        <v>278</v>
      </c>
      <c r="J72" s="59"/>
      <c r="K72" s="60"/>
      <c r="L72" s="61">
        <v>7.8</v>
      </c>
      <c r="M72" s="62"/>
      <c r="N72" s="63">
        <f t="shared" si="0"/>
        <v>6.5</v>
      </c>
      <c r="O72" s="64">
        <f t="shared" si="1"/>
        <v>1.2999999999999998</v>
      </c>
      <c r="P72" s="65" t="str">
        <f t="shared" si="2"/>
        <v/>
      </c>
      <c r="Q72" s="66" t="str">
        <f t="shared" si="8"/>
        <v/>
      </c>
      <c r="R72" s="51" t="s">
        <v>210</v>
      </c>
      <c r="S72" s="60" t="s">
        <v>204</v>
      </c>
      <c r="T72" s="52" t="str">
        <f t="shared" si="3"/>
        <v>Service technique</v>
      </c>
      <c r="U72" s="51" t="s">
        <v>305</v>
      </c>
      <c r="V72" s="56" t="str">
        <f t="shared" si="4"/>
        <v>Conforme</v>
      </c>
      <c r="X72" s="57" t="str">
        <f t="shared" si="5"/>
        <v>Frais fixes et divers</v>
      </c>
      <c r="Y72" s="57">
        <f t="shared" si="6"/>
        <v>0</v>
      </c>
      <c r="Z72" s="57">
        <f t="shared" si="9"/>
        <v>48017</v>
      </c>
      <c r="AA72" s="57">
        <f t="shared" si="10"/>
        <v>0</v>
      </c>
      <c r="AB72" s="57">
        <f t="shared" si="7"/>
        <v>0.2</v>
      </c>
      <c r="AC72" s="57" t="str">
        <f t="shared" si="11"/>
        <v/>
      </c>
      <c r="AD72" s="57" t="str">
        <f t="shared" si="12"/>
        <v/>
      </c>
      <c r="AE72" s="57" t="str">
        <f>IF(AND($D72=RelConducteur,$S72="Oui",ISNUMBER($C72),$C72&gt;=RelDebut,$C72&lt;=RelFin),COUNTIFS($D$9:$D72,RelConducteur,$S$9:$S72,"Oui",$C$9:$C72,"&gt;="&amp;RelDebut,$C$9:$C72,"&lt;="&amp;RelFin),"")</f>
        <v/>
      </c>
    </row>
    <row r="73" spans="2:31" ht="18" customHeight="1" x14ac:dyDescent="0.25">
      <c r="B73" s="48">
        <f>IF(C73="","",COUNT($C$9:C73))</f>
        <v>65</v>
      </c>
      <c r="C73" s="49">
        <v>46542</v>
      </c>
      <c r="D73" s="51" t="s">
        <v>139</v>
      </c>
      <c r="E73" s="53">
        <v>48536</v>
      </c>
      <c r="F73" s="51" t="s">
        <v>206</v>
      </c>
      <c r="G73" s="51"/>
      <c r="H73" s="51" t="s">
        <v>261</v>
      </c>
      <c r="I73" s="51" t="s">
        <v>208</v>
      </c>
      <c r="J73" s="59">
        <v>18.260000000000002</v>
      </c>
      <c r="K73" s="60" t="s">
        <v>204</v>
      </c>
      <c r="L73" s="61">
        <v>32.39</v>
      </c>
      <c r="M73" s="62"/>
      <c r="N73" s="63">
        <f t="shared" ref="N73:N136" si="13">IF(L73="","",L73/(1+AB73))</f>
        <v>26.991666666666667</v>
      </c>
      <c r="O73" s="64">
        <f t="shared" ref="O73:O136" si="14">IF(L73="","",L73-N73)</f>
        <v>5.3983333333333334</v>
      </c>
      <c r="P73" s="65">
        <f t="shared" ref="P73:P136" si="15">IF(AND(Y73=1,N(J73)&gt;0,ISNUMBER(L73)),L73/J73,"")</f>
        <v>1.7738225629791893</v>
      </c>
      <c r="Q73" s="66" t="str">
        <f t="shared" si="8"/>
        <v/>
      </c>
      <c r="R73" s="51" t="s">
        <v>210</v>
      </c>
      <c r="S73" s="60" t="s">
        <v>204</v>
      </c>
      <c r="T73" s="52" t="str">
        <f t="shared" ref="T73:T136" si="16">IF(C73="","",IF(D73="","Non affecté",IFERROR(INDEX(CondService,MATCH(D73,CondNoms,0))&amp;"","Non affecté")))</f>
        <v>Service technique</v>
      </c>
      <c r="U73" s="51" t="s">
        <v>306</v>
      </c>
      <c r="V73" s="56" t="str">
        <f t="shared" ref="V73:V136" si="17">IF(C73="","",IF(OR(F73="",L73=""),"Incomplet",IF(X73="Catégorie inconnue","Catégorie inconnue",IF(AND(Y73=1,OR(E73="",J73="",K73="")),"Plein incomplet",IF(AND(ISNUMBER(E73),E73&lt;N(KmOuverture)),"Compteur &lt; ouverture",IF(AND(Y73=1,N(Capacite)&gt;0,N(J73)&gt;Capacite*1.02),"Quantité &gt; réservoir",IF(ISNUMBER(Q73),IF(AND(ConsoRef&gt;0,ABS(Q73/MAX(ConsoRef,0.0001)-1)&gt;SeuilConso),"Conso. atypique","Conforme"),IF(AND(G73&lt;&gt;"",E73="",X73="Entretien et réparations"),"Compteur manquant","Conforme"))))))))</f>
        <v>Conforme</v>
      </c>
      <c r="X73" s="57" t="str">
        <f t="shared" ref="X73:X136" si="18">IF(F73="","",IFERROR(INDEX(CatGroupe,MATCH(F73,CatNoms,0))&amp;"","Catégorie inconnue"))</f>
        <v>Énergie</v>
      </c>
      <c r="Y73" s="57">
        <f t="shared" ref="Y73:Y136" si="19">IF(X73="Énergie",1,0)</f>
        <v>1</v>
      </c>
      <c r="Z73" s="57">
        <f t="shared" si="9"/>
        <v>48017</v>
      </c>
      <c r="AA73" s="57">
        <f t="shared" si="10"/>
        <v>18.260000000000002</v>
      </c>
      <c r="AB73" s="57">
        <f t="shared" ref="AB73:AB136" si="20">IF(ISNUMBER(M73),M73,IFERROR(INDEX(CatTVA,MATCH(F73,CatNoms,0))*1,0.2))</f>
        <v>0.2</v>
      </c>
      <c r="AC73" s="57" t="str">
        <f t="shared" si="11"/>
        <v/>
      </c>
      <c r="AD73" s="57" t="str">
        <f t="shared" si="12"/>
        <v/>
      </c>
      <c r="AE73" s="57" t="str">
        <f>IF(AND($D73=RelConducteur,$S73="Oui",ISNUMBER($C73),$C73&gt;=RelDebut,$C73&lt;=RelFin),COUNTIFS($D$9:$D73,RelConducteur,$S$9:$S73,"Oui",$C$9:$C73,"&gt;="&amp;RelDebut,$C$9:$C73,"&lt;="&amp;RelFin),"")</f>
        <v/>
      </c>
    </row>
    <row r="74" spans="2:31" ht="18" customHeight="1" x14ac:dyDescent="0.25">
      <c r="B74" s="48">
        <f>IF(C74="","",COUNT($C$9:C74))</f>
        <v>66</v>
      </c>
      <c r="C74" s="49">
        <v>46542</v>
      </c>
      <c r="D74" s="51" t="s">
        <v>139</v>
      </c>
      <c r="E74" s="53">
        <v>48632</v>
      </c>
      <c r="F74" s="51" t="s">
        <v>212</v>
      </c>
      <c r="G74" s="51"/>
      <c r="H74" s="51" t="s">
        <v>213</v>
      </c>
      <c r="I74" s="51" t="s">
        <v>278</v>
      </c>
      <c r="J74" s="59"/>
      <c r="K74" s="60"/>
      <c r="L74" s="61">
        <v>7.8</v>
      </c>
      <c r="M74" s="62"/>
      <c r="N74" s="63">
        <f t="shared" si="13"/>
        <v>6.5</v>
      </c>
      <c r="O74" s="64">
        <f t="shared" si="14"/>
        <v>1.2999999999999998</v>
      </c>
      <c r="P74" s="65" t="str">
        <f t="shared" si="15"/>
        <v/>
      </c>
      <c r="Q74" s="66" t="str">
        <f t="shared" ref="Q74:Q137" si="21">IF(AND(Y74=1,K74="Oui",ISNUMBER(E74),ISNUMBER(Z73),N(J74)&gt;0),IF(E74&gt;Z73,(N(AA73)+N(J74))/(E74-Z73)*100,""),"")</f>
        <v/>
      </c>
      <c r="R74" s="51" t="s">
        <v>210</v>
      </c>
      <c r="S74" s="60" t="s">
        <v>204</v>
      </c>
      <c r="T74" s="52" t="str">
        <f t="shared" si="16"/>
        <v>Service technique</v>
      </c>
      <c r="U74" s="51" t="s">
        <v>307</v>
      </c>
      <c r="V74" s="56" t="str">
        <f t="shared" si="17"/>
        <v>Conforme</v>
      </c>
      <c r="X74" s="57" t="str">
        <f t="shared" si="18"/>
        <v>Frais fixes et divers</v>
      </c>
      <c r="Y74" s="57">
        <f t="shared" si="19"/>
        <v>0</v>
      </c>
      <c r="Z74" s="57">
        <f t="shared" ref="Z74:Z137" si="22">IF(AND(Y74=1,K74="Oui",ISNUMBER(E74)),E74,Z73)</f>
        <v>48017</v>
      </c>
      <c r="AA74" s="57">
        <f t="shared" ref="AA74:AA137" si="23">IF(Y74=1,IF(K74="Oui",0,N(AA73)+N(J74)),N(AA73))</f>
        <v>18.260000000000002</v>
      </c>
      <c r="AB74" s="57">
        <f t="shared" si="20"/>
        <v>0.2</v>
      </c>
      <c r="AC74" s="57" t="str">
        <f t="shared" ref="AC74:AC137" si="24">IF(Q74="","",E74-Z73)</f>
        <v/>
      </c>
      <c r="AD74" s="57" t="str">
        <f t="shared" ref="AD74:AD137" si="25">IF(Q74="","",N(AA73)+N(J74))</f>
        <v/>
      </c>
      <c r="AE74" s="57" t="str">
        <f>IF(AND($D74=RelConducteur,$S74="Oui",ISNUMBER($C74),$C74&gt;=RelDebut,$C74&lt;=RelFin),COUNTIFS($D$9:$D74,RelConducteur,$S$9:$S74,"Oui",$C$9:$C74,"&gt;="&amp;RelDebut,$C$9:$C74,"&lt;="&amp;RelFin),"")</f>
        <v/>
      </c>
    </row>
    <row r="75" spans="2:31" ht="18" customHeight="1" x14ac:dyDescent="0.25">
      <c r="B75" s="48">
        <f>IF(C75="","",COUNT($C$9:C75))</f>
        <v>67</v>
      </c>
      <c r="C75" s="49">
        <v>46542</v>
      </c>
      <c r="D75" s="51" t="s">
        <v>133</v>
      </c>
      <c r="E75" s="53">
        <v>48667</v>
      </c>
      <c r="F75" s="51" t="s">
        <v>240</v>
      </c>
      <c r="G75" s="51"/>
      <c r="H75" s="51" t="s">
        <v>241</v>
      </c>
      <c r="I75" s="51" t="s">
        <v>242</v>
      </c>
      <c r="J75" s="59"/>
      <c r="K75" s="60"/>
      <c r="L75" s="61">
        <v>14</v>
      </c>
      <c r="M75" s="62"/>
      <c r="N75" s="63">
        <f t="shared" si="13"/>
        <v>11.666666666666668</v>
      </c>
      <c r="O75" s="64">
        <f t="shared" si="14"/>
        <v>2.3333333333333321</v>
      </c>
      <c r="P75" s="65" t="str">
        <f t="shared" si="15"/>
        <v/>
      </c>
      <c r="Q75" s="66" t="str">
        <f t="shared" si="21"/>
        <v/>
      </c>
      <c r="R75" s="51" t="s">
        <v>210</v>
      </c>
      <c r="S75" s="60" t="s">
        <v>204</v>
      </c>
      <c r="T75" s="52" t="str">
        <f t="shared" si="16"/>
        <v>Service technique</v>
      </c>
      <c r="U75" s="51" t="s">
        <v>308</v>
      </c>
      <c r="V75" s="56" t="str">
        <f t="shared" si="17"/>
        <v>Conforme</v>
      </c>
      <c r="X75" s="57" t="str">
        <f t="shared" si="18"/>
        <v>Frais fixes et divers</v>
      </c>
      <c r="Y75" s="57">
        <f t="shared" si="19"/>
        <v>0</v>
      </c>
      <c r="Z75" s="57">
        <f t="shared" si="22"/>
        <v>48017</v>
      </c>
      <c r="AA75" s="57">
        <f t="shared" si="23"/>
        <v>18.260000000000002</v>
      </c>
      <c r="AB75" s="57">
        <f t="shared" si="20"/>
        <v>0.2</v>
      </c>
      <c r="AC75" s="57" t="str">
        <f t="shared" si="24"/>
        <v/>
      </c>
      <c r="AD75" s="57" t="str">
        <f t="shared" si="25"/>
        <v/>
      </c>
      <c r="AE75" s="57" t="str">
        <f>IF(AND($D75=RelConducteur,$S75="Oui",ISNUMBER($C75),$C75&gt;=RelDebut,$C75&lt;=RelFin),COUNTIFS($D$9:$D75,RelConducteur,$S$9:$S75,"Oui",$C$9:$C75,"&gt;="&amp;RelDebut,$C$9:$C75,"&lt;="&amp;RelFin),"")</f>
        <v/>
      </c>
    </row>
    <row r="76" spans="2:31" ht="18" customHeight="1" x14ac:dyDescent="0.25">
      <c r="B76" s="48">
        <f>IF(C76="","",COUNT($C$9:C76))</f>
        <v>68</v>
      </c>
      <c r="C76" s="49">
        <v>46545</v>
      </c>
      <c r="D76" s="51" t="s">
        <v>148</v>
      </c>
      <c r="E76" s="53">
        <v>48693</v>
      </c>
      <c r="F76" s="51" t="s">
        <v>206</v>
      </c>
      <c r="G76" s="51"/>
      <c r="H76" s="51" t="s">
        <v>309</v>
      </c>
      <c r="I76" s="51" t="s">
        <v>208</v>
      </c>
      <c r="J76" s="59">
        <v>27.88</v>
      </c>
      <c r="K76" s="60" t="s">
        <v>209</v>
      </c>
      <c r="L76" s="61">
        <v>49.88</v>
      </c>
      <c r="M76" s="62"/>
      <c r="N76" s="63">
        <f t="shared" si="13"/>
        <v>41.56666666666667</v>
      </c>
      <c r="O76" s="64">
        <f t="shared" si="14"/>
        <v>8.3133333333333326</v>
      </c>
      <c r="P76" s="65">
        <f t="shared" si="15"/>
        <v>1.7890961262553804</v>
      </c>
      <c r="Q76" s="66">
        <f t="shared" si="21"/>
        <v>6.8254437869822491</v>
      </c>
      <c r="R76" s="51" t="s">
        <v>210</v>
      </c>
      <c r="S76" s="60" t="s">
        <v>204</v>
      </c>
      <c r="T76" s="52" t="str">
        <f t="shared" si="16"/>
        <v>Service commercial</v>
      </c>
      <c r="U76" s="51" t="s">
        <v>310</v>
      </c>
      <c r="V76" s="56" t="str">
        <f t="shared" si="17"/>
        <v>Conforme</v>
      </c>
      <c r="X76" s="57" t="str">
        <f t="shared" si="18"/>
        <v>Énergie</v>
      </c>
      <c r="Y76" s="57">
        <f t="shared" si="19"/>
        <v>1</v>
      </c>
      <c r="Z76" s="57">
        <f t="shared" si="22"/>
        <v>48693</v>
      </c>
      <c r="AA76" s="57">
        <f t="shared" si="23"/>
        <v>0</v>
      </c>
      <c r="AB76" s="57">
        <f t="shared" si="20"/>
        <v>0.2</v>
      </c>
      <c r="AC76" s="57">
        <f t="shared" si="24"/>
        <v>676</v>
      </c>
      <c r="AD76" s="57">
        <f t="shared" si="25"/>
        <v>46.14</v>
      </c>
      <c r="AE76" s="57" t="str">
        <f>IF(AND($D76=RelConducteur,$S76="Oui",ISNUMBER($C76),$C76&gt;=RelDebut,$C76&lt;=RelFin),COUNTIFS($D$9:$D76,RelConducteur,$S$9:$S76,"Oui",$C$9:$C76,"&gt;="&amp;RelDebut,$C$9:$C76,"&lt;="&amp;RelFin),"")</f>
        <v/>
      </c>
    </row>
    <row r="77" spans="2:31" ht="18" customHeight="1" x14ac:dyDescent="0.25">
      <c r="B77" s="48">
        <f>IF(C77="","",COUNT($C$9:C77))</f>
        <v>69</v>
      </c>
      <c r="C77" s="49">
        <v>46545</v>
      </c>
      <c r="D77" s="51" t="s">
        <v>148</v>
      </c>
      <c r="E77" s="53">
        <v>48907</v>
      </c>
      <c r="F77" s="51" t="s">
        <v>212</v>
      </c>
      <c r="G77" s="51"/>
      <c r="H77" s="51" t="s">
        <v>213</v>
      </c>
      <c r="I77" s="51" t="s">
        <v>224</v>
      </c>
      <c r="J77" s="59"/>
      <c r="K77" s="60"/>
      <c r="L77" s="61">
        <v>19.8</v>
      </c>
      <c r="M77" s="62"/>
      <c r="N77" s="63">
        <f t="shared" si="13"/>
        <v>16.5</v>
      </c>
      <c r="O77" s="64">
        <f t="shared" si="14"/>
        <v>3.3000000000000007</v>
      </c>
      <c r="P77" s="65" t="str">
        <f t="shared" si="15"/>
        <v/>
      </c>
      <c r="Q77" s="66" t="str">
        <f t="shared" si="21"/>
        <v/>
      </c>
      <c r="R77" s="51" t="s">
        <v>215</v>
      </c>
      <c r="S77" s="60" t="s">
        <v>209</v>
      </c>
      <c r="T77" s="52" t="str">
        <f t="shared" si="16"/>
        <v>Service commercial</v>
      </c>
      <c r="U77" s="51" t="s">
        <v>311</v>
      </c>
      <c r="V77" s="56" t="str">
        <f t="shared" si="17"/>
        <v>Conforme</v>
      </c>
      <c r="X77" s="57" t="str">
        <f t="shared" si="18"/>
        <v>Frais fixes et divers</v>
      </c>
      <c r="Y77" s="57">
        <f t="shared" si="19"/>
        <v>0</v>
      </c>
      <c r="Z77" s="57">
        <f t="shared" si="22"/>
        <v>48693</v>
      </c>
      <c r="AA77" s="57">
        <f t="shared" si="23"/>
        <v>0</v>
      </c>
      <c r="AB77" s="57">
        <f t="shared" si="20"/>
        <v>0.2</v>
      </c>
      <c r="AC77" s="57" t="str">
        <f t="shared" si="24"/>
        <v/>
      </c>
      <c r="AD77" s="57" t="str">
        <f t="shared" si="25"/>
        <v/>
      </c>
      <c r="AE77" s="57" t="str">
        <f>IF(AND($D77=RelConducteur,$S77="Oui",ISNUMBER($C77),$C77&gt;=RelDebut,$C77&lt;=RelFin),COUNTIFS($D$9:$D77,RelConducteur,$S$9:$S77,"Oui",$C$9:$C77,"&gt;="&amp;RelDebut,$C$9:$C77,"&lt;="&amp;RelFin),"")</f>
        <v/>
      </c>
    </row>
    <row r="78" spans="2:31" ht="18" customHeight="1" x14ac:dyDescent="0.25">
      <c r="B78" s="48">
        <f>IF(C78="","",COUNT($C$9:C78))</f>
        <v>70</v>
      </c>
      <c r="C78" s="49">
        <v>46545</v>
      </c>
      <c r="D78" s="51" t="s">
        <v>148</v>
      </c>
      <c r="E78" s="53">
        <v>48907</v>
      </c>
      <c r="F78" s="51" t="s">
        <v>217</v>
      </c>
      <c r="G78" s="51"/>
      <c r="H78" s="51" t="s">
        <v>248</v>
      </c>
      <c r="I78" s="51" t="s">
        <v>219</v>
      </c>
      <c r="J78" s="59"/>
      <c r="K78" s="60"/>
      <c r="L78" s="61">
        <v>6.4</v>
      </c>
      <c r="M78" s="62"/>
      <c r="N78" s="63">
        <f t="shared" si="13"/>
        <v>5.3333333333333339</v>
      </c>
      <c r="O78" s="64">
        <f t="shared" si="14"/>
        <v>1.0666666666666664</v>
      </c>
      <c r="P78" s="65" t="str">
        <f t="shared" si="15"/>
        <v/>
      </c>
      <c r="Q78" s="66" t="str">
        <f t="shared" si="21"/>
        <v/>
      </c>
      <c r="R78" s="51" t="s">
        <v>215</v>
      </c>
      <c r="S78" s="60" t="s">
        <v>209</v>
      </c>
      <c r="T78" s="52" t="str">
        <f t="shared" si="16"/>
        <v>Service commercial</v>
      </c>
      <c r="U78" s="51" t="s">
        <v>312</v>
      </c>
      <c r="V78" s="56" t="str">
        <f t="shared" si="17"/>
        <v>Conforme</v>
      </c>
      <c r="X78" s="57" t="str">
        <f t="shared" si="18"/>
        <v>Frais fixes et divers</v>
      </c>
      <c r="Y78" s="57">
        <f t="shared" si="19"/>
        <v>0</v>
      </c>
      <c r="Z78" s="57">
        <f t="shared" si="22"/>
        <v>48693</v>
      </c>
      <c r="AA78" s="57">
        <f t="shared" si="23"/>
        <v>0</v>
      </c>
      <c r="AB78" s="57">
        <f t="shared" si="20"/>
        <v>0.2</v>
      </c>
      <c r="AC78" s="57" t="str">
        <f t="shared" si="24"/>
        <v/>
      </c>
      <c r="AD78" s="57" t="str">
        <f t="shared" si="25"/>
        <v/>
      </c>
      <c r="AE78" s="57" t="str">
        <f>IF(AND($D78=RelConducteur,$S78="Oui",ISNUMBER($C78),$C78&gt;=RelDebut,$C78&lt;=RelFin),COUNTIFS($D$9:$D78,RelConducteur,$S$9:$S78,"Oui",$C$9:$C78,"&gt;="&amp;RelDebut,$C$9:$C78,"&lt;="&amp;RelFin),"")</f>
        <v/>
      </c>
    </row>
    <row r="79" spans="2:31" ht="18" customHeight="1" x14ac:dyDescent="0.25">
      <c r="B79" s="48">
        <f>IF(C79="","",COUNT($C$9:C79))</f>
        <v>71</v>
      </c>
      <c r="C79" s="49">
        <v>46549</v>
      </c>
      <c r="D79" s="51" t="s">
        <v>148</v>
      </c>
      <c r="E79" s="53">
        <v>49147</v>
      </c>
      <c r="F79" s="51" t="s">
        <v>206</v>
      </c>
      <c r="G79" s="51"/>
      <c r="H79" s="51" t="s">
        <v>226</v>
      </c>
      <c r="I79" s="51" t="s">
        <v>208</v>
      </c>
      <c r="J79" s="59">
        <v>31.61</v>
      </c>
      <c r="K79" s="60" t="s">
        <v>209</v>
      </c>
      <c r="L79" s="61">
        <v>56.74</v>
      </c>
      <c r="M79" s="62"/>
      <c r="N79" s="63">
        <f t="shared" si="13"/>
        <v>47.283333333333339</v>
      </c>
      <c r="O79" s="64">
        <f t="shared" si="14"/>
        <v>9.4566666666666634</v>
      </c>
      <c r="P79" s="65">
        <f t="shared" si="15"/>
        <v>1.7950015817779186</v>
      </c>
      <c r="Q79" s="66">
        <f t="shared" si="21"/>
        <v>6.9625550660792959</v>
      </c>
      <c r="R79" s="51" t="s">
        <v>210</v>
      </c>
      <c r="S79" s="60" t="s">
        <v>204</v>
      </c>
      <c r="T79" s="52" t="str">
        <f t="shared" si="16"/>
        <v>Service commercial</v>
      </c>
      <c r="U79" s="51" t="s">
        <v>313</v>
      </c>
      <c r="V79" s="56" t="str">
        <f t="shared" si="17"/>
        <v>Conforme</v>
      </c>
      <c r="X79" s="57" t="str">
        <f t="shared" si="18"/>
        <v>Énergie</v>
      </c>
      <c r="Y79" s="57">
        <f t="shared" si="19"/>
        <v>1</v>
      </c>
      <c r="Z79" s="57">
        <f t="shared" si="22"/>
        <v>49147</v>
      </c>
      <c r="AA79" s="57">
        <f t="shared" si="23"/>
        <v>0</v>
      </c>
      <c r="AB79" s="57">
        <f t="shared" si="20"/>
        <v>0.2</v>
      </c>
      <c r="AC79" s="57">
        <f t="shared" si="24"/>
        <v>454</v>
      </c>
      <c r="AD79" s="57">
        <f t="shared" si="25"/>
        <v>31.61</v>
      </c>
      <c r="AE79" s="57" t="str">
        <f>IF(AND($D79=RelConducteur,$S79="Oui",ISNUMBER($C79),$C79&gt;=RelDebut,$C79&lt;=RelFin),COUNTIFS($D$9:$D79,RelConducteur,$S$9:$S79,"Oui",$C$9:$C79,"&gt;="&amp;RelDebut,$C$9:$C79,"&lt;="&amp;RelFin),"")</f>
        <v/>
      </c>
    </row>
    <row r="80" spans="2:31" ht="18" customHeight="1" x14ac:dyDescent="0.25">
      <c r="B80" s="48">
        <f>IF(C80="","",COUNT($C$9:C80))</f>
        <v>72</v>
      </c>
      <c r="C80" s="49">
        <v>46549</v>
      </c>
      <c r="D80" s="51" t="s">
        <v>148</v>
      </c>
      <c r="E80" s="53">
        <v>49423</v>
      </c>
      <c r="F80" s="51" t="s">
        <v>212</v>
      </c>
      <c r="G80" s="51"/>
      <c r="H80" s="51" t="s">
        <v>213</v>
      </c>
      <c r="I80" s="51" t="s">
        <v>214</v>
      </c>
      <c r="J80" s="59"/>
      <c r="K80" s="60"/>
      <c r="L80" s="61">
        <v>27.4</v>
      </c>
      <c r="M80" s="62"/>
      <c r="N80" s="63">
        <f t="shared" si="13"/>
        <v>22.833333333333332</v>
      </c>
      <c r="O80" s="64">
        <f t="shared" si="14"/>
        <v>4.5666666666666664</v>
      </c>
      <c r="P80" s="65" t="str">
        <f t="shared" si="15"/>
        <v/>
      </c>
      <c r="Q80" s="66" t="str">
        <f t="shared" si="21"/>
        <v/>
      </c>
      <c r="R80" s="51" t="s">
        <v>215</v>
      </c>
      <c r="S80" s="60" t="s">
        <v>209</v>
      </c>
      <c r="T80" s="52" t="str">
        <f t="shared" si="16"/>
        <v>Service commercial</v>
      </c>
      <c r="U80" s="51" t="s">
        <v>314</v>
      </c>
      <c r="V80" s="56" t="str">
        <f t="shared" si="17"/>
        <v>Conforme</v>
      </c>
      <c r="X80" s="57" t="str">
        <f t="shared" si="18"/>
        <v>Frais fixes et divers</v>
      </c>
      <c r="Y80" s="57">
        <f t="shared" si="19"/>
        <v>0</v>
      </c>
      <c r="Z80" s="57">
        <f t="shared" si="22"/>
        <v>49147</v>
      </c>
      <c r="AA80" s="57">
        <f t="shared" si="23"/>
        <v>0</v>
      </c>
      <c r="AB80" s="57">
        <f t="shared" si="20"/>
        <v>0.2</v>
      </c>
      <c r="AC80" s="57" t="str">
        <f t="shared" si="24"/>
        <v/>
      </c>
      <c r="AD80" s="57" t="str">
        <f t="shared" si="25"/>
        <v/>
      </c>
      <c r="AE80" s="57" t="str">
        <f>IF(AND($D80=RelConducteur,$S80="Oui",ISNUMBER($C80),$C80&gt;=RelDebut,$C80&lt;=RelFin),COUNTIFS($D$9:$D80,RelConducteur,$S$9:$S80,"Oui",$C$9:$C80,"&gt;="&amp;RelDebut,$C$9:$C80,"&lt;="&amp;RelFin),"")</f>
        <v/>
      </c>
    </row>
    <row r="81" spans="2:31" ht="18" customHeight="1" x14ac:dyDescent="0.25">
      <c r="B81" s="48">
        <f>IF(C81="","",COUNT($C$9:C81))</f>
        <v>73</v>
      </c>
      <c r="C81" s="49">
        <v>46549</v>
      </c>
      <c r="D81" s="51" t="s">
        <v>148</v>
      </c>
      <c r="E81" s="53">
        <v>49423</v>
      </c>
      <c r="F81" s="51" t="s">
        <v>217</v>
      </c>
      <c r="G81" s="51"/>
      <c r="H81" s="51" t="s">
        <v>218</v>
      </c>
      <c r="I81" s="51" t="s">
        <v>219</v>
      </c>
      <c r="J81" s="59"/>
      <c r="K81" s="60"/>
      <c r="L81" s="61">
        <v>8.1999999999999993</v>
      </c>
      <c r="M81" s="62"/>
      <c r="N81" s="63">
        <f t="shared" si="13"/>
        <v>6.833333333333333</v>
      </c>
      <c r="O81" s="64">
        <f t="shared" si="14"/>
        <v>1.3666666666666663</v>
      </c>
      <c r="P81" s="65" t="str">
        <f t="shared" si="15"/>
        <v/>
      </c>
      <c r="Q81" s="66" t="str">
        <f t="shared" si="21"/>
        <v/>
      </c>
      <c r="R81" s="51" t="s">
        <v>215</v>
      </c>
      <c r="S81" s="60" t="s">
        <v>209</v>
      </c>
      <c r="T81" s="52" t="str">
        <f t="shared" si="16"/>
        <v>Service commercial</v>
      </c>
      <c r="U81" s="51" t="s">
        <v>315</v>
      </c>
      <c r="V81" s="56" t="str">
        <f t="shared" si="17"/>
        <v>Conforme</v>
      </c>
      <c r="X81" s="57" t="str">
        <f t="shared" si="18"/>
        <v>Frais fixes et divers</v>
      </c>
      <c r="Y81" s="57">
        <f t="shared" si="19"/>
        <v>0</v>
      </c>
      <c r="Z81" s="57">
        <f t="shared" si="22"/>
        <v>49147</v>
      </c>
      <c r="AA81" s="57">
        <f t="shared" si="23"/>
        <v>0</v>
      </c>
      <c r="AB81" s="57">
        <f t="shared" si="20"/>
        <v>0.2</v>
      </c>
      <c r="AC81" s="57" t="str">
        <f t="shared" si="24"/>
        <v/>
      </c>
      <c r="AD81" s="57" t="str">
        <f t="shared" si="25"/>
        <v/>
      </c>
      <c r="AE81" s="57" t="str">
        <f>IF(AND($D81=RelConducteur,$S81="Oui",ISNUMBER($C81),$C81&gt;=RelDebut,$C81&lt;=RelFin),COUNTIFS($D$9:$D81,RelConducteur,$S$9:$S81,"Oui",$C$9:$C81,"&gt;="&amp;RelDebut,$C$9:$C81,"&lt;="&amp;RelFin),"")</f>
        <v/>
      </c>
    </row>
    <row r="82" spans="2:31" ht="18" customHeight="1" x14ac:dyDescent="0.25">
      <c r="B82" s="48">
        <f>IF(C82="","",COUNT($C$9:C82))</f>
        <v>74</v>
      </c>
      <c r="C82" s="49">
        <v>46555</v>
      </c>
      <c r="D82" s="51" t="s">
        <v>139</v>
      </c>
      <c r="E82" s="53">
        <v>49643</v>
      </c>
      <c r="F82" s="51" t="s">
        <v>206</v>
      </c>
      <c r="G82" s="51"/>
      <c r="H82" s="51" t="s">
        <v>226</v>
      </c>
      <c r="I82" s="51" t="s">
        <v>208</v>
      </c>
      <c r="J82" s="59">
        <v>35.090000000000003</v>
      </c>
      <c r="K82" s="60" t="s">
        <v>209</v>
      </c>
      <c r="L82" s="61">
        <v>63.16</v>
      </c>
      <c r="M82" s="62"/>
      <c r="N82" s="63">
        <f t="shared" si="13"/>
        <v>52.633333333333333</v>
      </c>
      <c r="O82" s="64">
        <f t="shared" si="14"/>
        <v>10.526666666666664</v>
      </c>
      <c r="P82" s="65">
        <f t="shared" si="15"/>
        <v>1.799943003704759</v>
      </c>
      <c r="Q82" s="66">
        <f t="shared" si="21"/>
        <v>7.0745967741935489</v>
      </c>
      <c r="R82" s="51" t="s">
        <v>210</v>
      </c>
      <c r="S82" s="60" t="s">
        <v>204</v>
      </c>
      <c r="T82" s="52" t="str">
        <f t="shared" si="16"/>
        <v>Service technique</v>
      </c>
      <c r="U82" s="51" t="s">
        <v>316</v>
      </c>
      <c r="V82" s="56" t="str">
        <f t="shared" si="17"/>
        <v>Conforme</v>
      </c>
      <c r="X82" s="57" t="str">
        <f t="shared" si="18"/>
        <v>Énergie</v>
      </c>
      <c r="Y82" s="57">
        <f t="shared" si="19"/>
        <v>1</v>
      </c>
      <c r="Z82" s="57">
        <f t="shared" si="22"/>
        <v>49643</v>
      </c>
      <c r="AA82" s="57">
        <f t="shared" si="23"/>
        <v>0</v>
      </c>
      <c r="AB82" s="57">
        <f t="shared" si="20"/>
        <v>0.2</v>
      </c>
      <c r="AC82" s="57">
        <f t="shared" si="24"/>
        <v>496</v>
      </c>
      <c r="AD82" s="57">
        <f t="shared" si="25"/>
        <v>35.090000000000003</v>
      </c>
      <c r="AE82" s="57" t="str">
        <f>IF(AND($D82=RelConducteur,$S82="Oui",ISNUMBER($C82),$C82&gt;=RelDebut,$C82&lt;=RelFin),COUNTIFS($D$9:$D82,RelConducteur,$S$9:$S82,"Oui",$C$9:$C82,"&gt;="&amp;RelDebut,$C$9:$C82,"&lt;="&amp;RelFin),"")</f>
        <v/>
      </c>
    </row>
    <row r="83" spans="2:31" ht="18" customHeight="1" x14ac:dyDescent="0.25">
      <c r="B83" s="48">
        <f>IF(C83="","",COUNT($C$9:C83))</f>
        <v>75</v>
      </c>
      <c r="C83" s="49">
        <v>46559</v>
      </c>
      <c r="D83" s="51" t="s">
        <v>148</v>
      </c>
      <c r="E83" s="53">
        <v>49962</v>
      </c>
      <c r="F83" s="51" t="s">
        <v>212</v>
      </c>
      <c r="G83" s="51"/>
      <c r="H83" s="51" t="s">
        <v>213</v>
      </c>
      <c r="I83" s="51" t="s">
        <v>222</v>
      </c>
      <c r="J83" s="59"/>
      <c r="K83" s="60"/>
      <c r="L83" s="61">
        <v>14.6</v>
      </c>
      <c r="M83" s="62"/>
      <c r="N83" s="63">
        <f t="shared" si="13"/>
        <v>12.166666666666666</v>
      </c>
      <c r="O83" s="64">
        <f t="shared" si="14"/>
        <v>2.4333333333333336</v>
      </c>
      <c r="P83" s="65" t="str">
        <f t="shared" si="15"/>
        <v/>
      </c>
      <c r="Q83" s="66" t="str">
        <f t="shared" si="21"/>
        <v/>
      </c>
      <c r="R83" s="51" t="s">
        <v>215</v>
      </c>
      <c r="S83" s="60" t="s">
        <v>209</v>
      </c>
      <c r="T83" s="52" t="str">
        <f t="shared" si="16"/>
        <v>Service commercial</v>
      </c>
      <c r="U83" s="51" t="s">
        <v>317</v>
      </c>
      <c r="V83" s="56" t="str">
        <f t="shared" si="17"/>
        <v>Conforme</v>
      </c>
      <c r="X83" s="57" t="str">
        <f t="shared" si="18"/>
        <v>Frais fixes et divers</v>
      </c>
      <c r="Y83" s="57">
        <f t="shared" si="19"/>
        <v>0</v>
      </c>
      <c r="Z83" s="57">
        <f t="shared" si="22"/>
        <v>49643</v>
      </c>
      <c r="AA83" s="57">
        <f t="shared" si="23"/>
        <v>0</v>
      </c>
      <c r="AB83" s="57">
        <f t="shared" si="20"/>
        <v>0.2</v>
      </c>
      <c r="AC83" s="57" t="str">
        <f t="shared" si="24"/>
        <v/>
      </c>
      <c r="AD83" s="57" t="str">
        <f t="shared" si="25"/>
        <v/>
      </c>
      <c r="AE83" s="57" t="str">
        <f>IF(AND($D83=RelConducteur,$S83="Oui",ISNUMBER($C83),$C83&gt;=RelDebut,$C83&lt;=RelFin),COUNTIFS($D$9:$D83,RelConducteur,$S$9:$S83,"Oui",$C$9:$C83,"&gt;="&amp;RelDebut,$C$9:$C83,"&lt;="&amp;RelFin),"")</f>
        <v/>
      </c>
    </row>
    <row r="84" spans="2:31" ht="18" customHeight="1" x14ac:dyDescent="0.25">
      <c r="B84" s="48">
        <f>IF(C84="","",COUNT($C$9:C84))</f>
        <v>76</v>
      </c>
      <c r="C84" s="49">
        <v>46560</v>
      </c>
      <c r="D84" s="51" t="s">
        <v>139</v>
      </c>
      <c r="E84" s="53">
        <v>49962</v>
      </c>
      <c r="F84" s="51" t="s">
        <v>318</v>
      </c>
      <c r="G84" s="51"/>
      <c r="H84" s="51" t="s">
        <v>290</v>
      </c>
      <c r="I84" s="51" t="s">
        <v>319</v>
      </c>
      <c r="J84" s="59"/>
      <c r="K84" s="60"/>
      <c r="L84" s="61">
        <v>186</v>
      </c>
      <c r="M84" s="62"/>
      <c r="N84" s="63">
        <f t="shared" si="13"/>
        <v>155</v>
      </c>
      <c r="O84" s="64">
        <f t="shared" si="14"/>
        <v>31</v>
      </c>
      <c r="P84" s="65" t="str">
        <f t="shared" si="15"/>
        <v/>
      </c>
      <c r="Q84" s="66" t="str">
        <f t="shared" si="21"/>
        <v/>
      </c>
      <c r="R84" s="51" t="s">
        <v>232</v>
      </c>
      <c r="S84" s="60" t="s">
        <v>204</v>
      </c>
      <c r="T84" s="52" t="str">
        <f t="shared" si="16"/>
        <v>Service technique</v>
      </c>
      <c r="U84" s="51" t="s">
        <v>320</v>
      </c>
      <c r="V84" s="56" t="str">
        <f t="shared" si="17"/>
        <v>Conforme</v>
      </c>
      <c r="X84" s="57" t="str">
        <f t="shared" si="18"/>
        <v>Entretien et réparations</v>
      </c>
      <c r="Y84" s="57">
        <f t="shared" si="19"/>
        <v>0</v>
      </c>
      <c r="Z84" s="57">
        <f t="shared" si="22"/>
        <v>49643</v>
      </c>
      <c r="AA84" s="57">
        <f t="shared" si="23"/>
        <v>0</v>
      </c>
      <c r="AB84" s="57">
        <f t="shared" si="20"/>
        <v>0.2</v>
      </c>
      <c r="AC84" s="57" t="str">
        <f t="shared" si="24"/>
        <v/>
      </c>
      <c r="AD84" s="57" t="str">
        <f t="shared" si="25"/>
        <v/>
      </c>
      <c r="AE84" s="57" t="str">
        <f>IF(AND($D84=RelConducteur,$S84="Oui",ISNUMBER($C84),$C84&gt;=RelDebut,$C84&lt;=RelFin),COUNTIFS($D$9:$D84,RelConducteur,$S$9:$S84,"Oui",$C$9:$C84,"&gt;="&amp;RelDebut,$C$9:$C84,"&lt;="&amp;RelFin),"")</f>
        <v/>
      </c>
    </row>
    <row r="85" spans="2:31" ht="18" customHeight="1" x14ac:dyDescent="0.25">
      <c r="B85" s="48">
        <f>IF(C85="","",COUNT($C$9:C85))</f>
        <v>77</v>
      </c>
      <c r="C85" s="49">
        <v>46560</v>
      </c>
      <c r="D85" s="51" t="s">
        <v>148</v>
      </c>
      <c r="E85" s="53">
        <v>50133</v>
      </c>
      <c r="F85" s="51" t="s">
        <v>212</v>
      </c>
      <c r="G85" s="51"/>
      <c r="H85" s="51" t="s">
        <v>213</v>
      </c>
      <c r="I85" s="51" t="s">
        <v>222</v>
      </c>
      <c r="J85" s="59"/>
      <c r="K85" s="60"/>
      <c r="L85" s="61">
        <v>14.6</v>
      </c>
      <c r="M85" s="62"/>
      <c r="N85" s="63">
        <f t="shared" si="13"/>
        <v>12.166666666666666</v>
      </c>
      <c r="O85" s="64">
        <f t="shared" si="14"/>
        <v>2.4333333333333336</v>
      </c>
      <c r="P85" s="65" t="str">
        <f t="shared" si="15"/>
        <v/>
      </c>
      <c r="Q85" s="66" t="str">
        <f t="shared" si="21"/>
        <v/>
      </c>
      <c r="R85" s="51" t="s">
        <v>215</v>
      </c>
      <c r="S85" s="60" t="s">
        <v>209</v>
      </c>
      <c r="T85" s="52" t="str">
        <f t="shared" si="16"/>
        <v>Service commercial</v>
      </c>
      <c r="U85" s="51" t="s">
        <v>321</v>
      </c>
      <c r="V85" s="56" t="str">
        <f t="shared" si="17"/>
        <v>Conforme</v>
      </c>
      <c r="X85" s="57" t="str">
        <f t="shared" si="18"/>
        <v>Frais fixes et divers</v>
      </c>
      <c r="Y85" s="57">
        <f t="shared" si="19"/>
        <v>0</v>
      </c>
      <c r="Z85" s="57">
        <f t="shared" si="22"/>
        <v>49643</v>
      </c>
      <c r="AA85" s="57">
        <f t="shared" si="23"/>
        <v>0</v>
      </c>
      <c r="AB85" s="57">
        <f t="shared" si="20"/>
        <v>0.2</v>
      </c>
      <c r="AC85" s="57" t="str">
        <f t="shared" si="24"/>
        <v/>
      </c>
      <c r="AD85" s="57" t="str">
        <f t="shared" si="25"/>
        <v/>
      </c>
      <c r="AE85" s="57" t="str">
        <f>IF(AND($D85=RelConducteur,$S85="Oui",ISNUMBER($C85),$C85&gt;=RelDebut,$C85&lt;=RelFin),COUNTIFS($D$9:$D85,RelConducteur,$S$9:$S85,"Oui",$C$9:$C85,"&gt;="&amp;RelDebut,$C$9:$C85,"&lt;="&amp;RelFin),"")</f>
        <v/>
      </c>
    </row>
    <row r="86" spans="2:31" ht="18" customHeight="1" x14ac:dyDescent="0.25">
      <c r="B86" s="48">
        <f>IF(C86="","",COUNT($C$9:C86))</f>
        <v>78</v>
      </c>
      <c r="C86" s="49">
        <v>46561</v>
      </c>
      <c r="D86" s="51" t="s">
        <v>133</v>
      </c>
      <c r="E86" s="53">
        <v>50133</v>
      </c>
      <c r="F86" s="51" t="s">
        <v>206</v>
      </c>
      <c r="G86" s="51"/>
      <c r="H86" s="51" t="s">
        <v>309</v>
      </c>
      <c r="I86" s="51" t="s">
        <v>208</v>
      </c>
      <c r="J86" s="59">
        <v>35.26</v>
      </c>
      <c r="K86" s="60" t="s">
        <v>209</v>
      </c>
      <c r="L86" s="61">
        <v>63.36</v>
      </c>
      <c r="M86" s="62"/>
      <c r="N86" s="63">
        <f t="shared" si="13"/>
        <v>52.800000000000004</v>
      </c>
      <c r="O86" s="64">
        <f t="shared" si="14"/>
        <v>10.559999999999995</v>
      </c>
      <c r="P86" s="65">
        <f t="shared" si="15"/>
        <v>1.7969370391378334</v>
      </c>
      <c r="Q86" s="66">
        <f t="shared" si="21"/>
        <v>7.1959183673469385</v>
      </c>
      <c r="R86" s="51" t="s">
        <v>210</v>
      </c>
      <c r="S86" s="60" t="s">
        <v>204</v>
      </c>
      <c r="T86" s="52" t="str">
        <f t="shared" si="16"/>
        <v>Service technique</v>
      </c>
      <c r="U86" s="51" t="s">
        <v>322</v>
      </c>
      <c r="V86" s="56" t="str">
        <f t="shared" si="17"/>
        <v>Conforme</v>
      </c>
      <c r="X86" s="57" t="str">
        <f t="shared" si="18"/>
        <v>Énergie</v>
      </c>
      <c r="Y86" s="57">
        <f t="shared" si="19"/>
        <v>1</v>
      </c>
      <c r="Z86" s="57">
        <f t="shared" si="22"/>
        <v>50133</v>
      </c>
      <c r="AA86" s="57">
        <f t="shared" si="23"/>
        <v>0</v>
      </c>
      <c r="AB86" s="57">
        <f t="shared" si="20"/>
        <v>0.2</v>
      </c>
      <c r="AC86" s="57">
        <f t="shared" si="24"/>
        <v>490</v>
      </c>
      <c r="AD86" s="57">
        <f t="shared" si="25"/>
        <v>35.26</v>
      </c>
      <c r="AE86" s="57" t="str">
        <f>IF(AND($D86=RelConducteur,$S86="Oui",ISNUMBER($C86),$C86&gt;=RelDebut,$C86&lt;=RelFin),COUNTIFS($D$9:$D86,RelConducteur,$S$9:$S86,"Oui",$C$9:$C86,"&gt;="&amp;RelDebut,$C$9:$C86,"&lt;="&amp;RelFin),"")</f>
        <v/>
      </c>
    </row>
    <row r="87" spans="2:31" ht="18" customHeight="1" x14ac:dyDescent="0.25">
      <c r="B87" s="48">
        <f>IF(C87="","",COUNT($C$9:C87))</f>
        <v>79</v>
      </c>
      <c r="C87" s="49">
        <v>46562</v>
      </c>
      <c r="D87" s="51" t="s">
        <v>139</v>
      </c>
      <c r="E87" s="53">
        <v>50271</v>
      </c>
      <c r="F87" s="51" t="s">
        <v>212</v>
      </c>
      <c r="G87" s="51"/>
      <c r="H87" s="51" t="s">
        <v>213</v>
      </c>
      <c r="I87" s="51" t="s">
        <v>271</v>
      </c>
      <c r="J87" s="59"/>
      <c r="K87" s="60"/>
      <c r="L87" s="61">
        <v>5.2</v>
      </c>
      <c r="M87" s="62"/>
      <c r="N87" s="63">
        <f t="shared" si="13"/>
        <v>4.3333333333333339</v>
      </c>
      <c r="O87" s="64">
        <f t="shared" si="14"/>
        <v>0.86666666666666625</v>
      </c>
      <c r="P87" s="65" t="str">
        <f t="shared" si="15"/>
        <v/>
      </c>
      <c r="Q87" s="66" t="str">
        <f t="shared" si="21"/>
        <v/>
      </c>
      <c r="R87" s="51" t="s">
        <v>210</v>
      </c>
      <c r="S87" s="60" t="s">
        <v>204</v>
      </c>
      <c r="T87" s="52" t="str">
        <f t="shared" si="16"/>
        <v>Service technique</v>
      </c>
      <c r="U87" s="51" t="s">
        <v>323</v>
      </c>
      <c r="V87" s="56" t="str">
        <f t="shared" si="17"/>
        <v>Conforme</v>
      </c>
      <c r="X87" s="57" t="str">
        <f t="shared" si="18"/>
        <v>Frais fixes et divers</v>
      </c>
      <c r="Y87" s="57">
        <f t="shared" si="19"/>
        <v>0</v>
      </c>
      <c r="Z87" s="57">
        <f t="shared" si="22"/>
        <v>50133</v>
      </c>
      <c r="AA87" s="57">
        <f t="shared" si="23"/>
        <v>0</v>
      </c>
      <c r="AB87" s="57">
        <f t="shared" si="20"/>
        <v>0.2</v>
      </c>
      <c r="AC87" s="57" t="str">
        <f t="shared" si="24"/>
        <v/>
      </c>
      <c r="AD87" s="57" t="str">
        <f t="shared" si="25"/>
        <v/>
      </c>
      <c r="AE87" s="57" t="str">
        <f>IF(AND($D87=RelConducteur,$S87="Oui",ISNUMBER($C87),$C87&gt;=RelDebut,$C87&lt;=RelFin),COUNTIFS($D$9:$D87,RelConducteur,$S$9:$S87,"Oui",$C$9:$C87,"&gt;="&amp;RelDebut,$C$9:$C87,"&lt;="&amp;RelFin),"")</f>
        <v/>
      </c>
    </row>
    <row r="88" spans="2:31" ht="18" customHeight="1" x14ac:dyDescent="0.25">
      <c r="B88" s="48">
        <f>IF(C88="","",COUNT($C$9:C88))</f>
        <v>80</v>
      </c>
      <c r="C88" s="49">
        <v>46563</v>
      </c>
      <c r="D88" s="51" t="s">
        <v>148</v>
      </c>
      <c r="E88" s="53">
        <v>50334</v>
      </c>
      <c r="F88" s="51" t="s">
        <v>217</v>
      </c>
      <c r="G88" s="51"/>
      <c r="H88" s="51" t="s">
        <v>250</v>
      </c>
      <c r="I88" s="51" t="s">
        <v>219</v>
      </c>
      <c r="J88" s="59"/>
      <c r="K88" s="60"/>
      <c r="L88" s="61">
        <v>9</v>
      </c>
      <c r="M88" s="62"/>
      <c r="N88" s="63">
        <f t="shared" si="13"/>
        <v>7.5</v>
      </c>
      <c r="O88" s="64">
        <f t="shared" si="14"/>
        <v>1.5</v>
      </c>
      <c r="P88" s="65" t="str">
        <f t="shared" si="15"/>
        <v/>
      </c>
      <c r="Q88" s="66" t="str">
        <f t="shared" si="21"/>
        <v/>
      </c>
      <c r="R88" s="51" t="s">
        <v>215</v>
      </c>
      <c r="S88" s="60" t="s">
        <v>209</v>
      </c>
      <c r="T88" s="52" t="str">
        <f t="shared" si="16"/>
        <v>Service commercial</v>
      </c>
      <c r="U88" s="51" t="s">
        <v>324</v>
      </c>
      <c r="V88" s="56" t="str">
        <f t="shared" si="17"/>
        <v>Conforme</v>
      </c>
      <c r="X88" s="57" t="str">
        <f t="shared" si="18"/>
        <v>Frais fixes et divers</v>
      </c>
      <c r="Y88" s="57">
        <f t="shared" si="19"/>
        <v>0</v>
      </c>
      <c r="Z88" s="57">
        <f t="shared" si="22"/>
        <v>50133</v>
      </c>
      <c r="AA88" s="57">
        <f t="shared" si="23"/>
        <v>0</v>
      </c>
      <c r="AB88" s="57">
        <f t="shared" si="20"/>
        <v>0.2</v>
      </c>
      <c r="AC88" s="57" t="str">
        <f t="shared" si="24"/>
        <v/>
      </c>
      <c r="AD88" s="57" t="str">
        <f t="shared" si="25"/>
        <v/>
      </c>
      <c r="AE88" s="57" t="str">
        <f>IF(AND($D88=RelConducteur,$S88="Oui",ISNUMBER($C88),$C88&gt;=RelDebut,$C88&lt;=RelFin),COUNTIFS($D$9:$D88,RelConducteur,$S$9:$S88,"Oui",$C$9:$C88,"&gt;="&amp;RelDebut,$C$9:$C88,"&lt;="&amp;RelFin),"")</f>
        <v/>
      </c>
    </row>
    <row r="89" spans="2:31" ht="18" customHeight="1" x14ac:dyDescent="0.25">
      <c r="B89" s="48">
        <f>IF(C89="","",COUNT($C$9:C89))</f>
        <v>81</v>
      </c>
      <c r="C89" s="49">
        <v>46566</v>
      </c>
      <c r="D89" s="51" t="s">
        <v>139</v>
      </c>
      <c r="E89" s="53">
        <v>50429</v>
      </c>
      <c r="F89" s="51" t="s">
        <v>212</v>
      </c>
      <c r="G89" s="51"/>
      <c r="H89" s="51" t="s">
        <v>213</v>
      </c>
      <c r="I89" s="51" t="s">
        <v>278</v>
      </c>
      <c r="J89" s="59"/>
      <c r="K89" s="60"/>
      <c r="L89" s="61">
        <v>7.8</v>
      </c>
      <c r="M89" s="62"/>
      <c r="N89" s="63">
        <f t="shared" si="13"/>
        <v>6.5</v>
      </c>
      <c r="O89" s="64">
        <f t="shared" si="14"/>
        <v>1.2999999999999998</v>
      </c>
      <c r="P89" s="65" t="str">
        <f t="shared" si="15"/>
        <v/>
      </c>
      <c r="Q89" s="66" t="str">
        <f t="shared" si="21"/>
        <v/>
      </c>
      <c r="R89" s="51" t="s">
        <v>210</v>
      </c>
      <c r="S89" s="60" t="s">
        <v>204</v>
      </c>
      <c r="T89" s="52" t="str">
        <f t="shared" si="16"/>
        <v>Service technique</v>
      </c>
      <c r="U89" s="51" t="s">
        <v>325</v>
      </c>
      <c r="V89" s="56" t="str">
        <f t="shared" si="17"/>
        <v>Conforme</v>
      </c>
      <c r="X89" s="57" t="str">
        <f t="shared" si="18"/>
        <v>Frais fixes et divers</v>
      </c>
      <c r="Y89" s="57">
        <f t="shared" si="19"/>
        <v>0</v>
      </c>
      <c r="Z89" s="57">
        <f t="shared" si="22"/>
        <v>50133</v>
      </c>
      <c r="AA89" s="57">
        <f t="shared" si="23"/>
        <v>0</v>
      </c>
      <c r="AB89" s="57">
        <f t="shared" si="20"/>
        <v>0.2</v>
      </c>
      <c r="AC89" s="57" t="str">
        <f t="shared" si="24"/>
        <v/>
      </c>
      <c r="AD89" s="57" t="str">
        <f t="shared" si="25"/>
        <v/>
      </c>
      <c r="AE89" s="57" t="str">
        <f>IF(AND($D89=RelConducteur,$S89="Oui",ISNUMBER($C89),$C89&gt;=RelDebut,$C89&lt;=RelFin),COUNTIFS($D$9:$D89,RelConducteur,$S$9:$S89,"Oui",$C$9:$C89,"&gt;="&amp;RelDebut,$C$9:$C89,"&lt;="&amp;RelFin),"")</f>
        <v/>
      </c>
    </row>
    <row r="90" spans="2:31" ht="18" customHeight="1" x14ac:dyDescent="0.25">
      <c r="B90" s="48">
        <f>IF(C90="","",COUNT($C$9:C90))</f>
        <v>82</v>
      </c>
      <c r="C90" s="49">
        <v>46568</v>
      </c>
      <c r="D90" s="51" t="s">
        <v>133</v>
      </c>
      <c r="E90" s="53">
        <v>50633</v>
      </c>
      <c r="F90" s="51" t="s">
        <v>206</v>
      </c>
      <c r="G90" s="51"/>
      <c r="H90" s="51" t="s">
        <v>261</v>
      </c>
      <c r="I90" s="51" t="s">
        <v>208</v>
      </c>
      <c r="J90" s="59">
        <v>35.89</v>
      </c>
      <c r="K90" s="60" t="s">
        <v>209</v>
      </c>
      <c r="L90" s="61">
        <v>63.31</v>
      </c>
      <c r="M90" s="62"/>
      <c r="N90" s="63">
        <f t="shared" si="13"/>
        <v>52.75833333333334</v>
      </c>
      <c r="O90" s="64">
        <f t="shared" si="14"/>
        <v>10.551666666666662</v>
      </c>
      <c r="P90" s="65">
        <f t="shared" si="15"/>
        <v>1.7640011145165784</v>
      </c>
      <c r="Q90" s="66">
        <f t="shared" si="21"/>
        <v>7.1779999999999999</v>
      </c>
      <c r="R90" s="51" t="s">
        <v>210</v>
      </c>
      <c r="S90" s="60" t="s">
        <v>204</v>
      </c>
      <c r="T90" s="52" t="str">
        <f t="shared" si="16"/>
        <v>Service technique</v>
      </c>
      <c r="U90" s="51" t="s">
        <v>326</v>
      </c>
      <c r="V90" s="56" t="str">
        <f t="shared" si="17"/>
        <v>Conforme</v>
      </c>
      <c r="X90" s="57" t="str">
        <f t="shared" si="18"/>
        <v>Énergie</v>
      </c>
      <c r="Y90" s="57">
        <f t="shared" si="19"/>
        <v>1</v>
      </c>
      <c r="Z90" s="57">
        <f t="shared" si="22"/>
        <v>50633</v>
      </c>
      <c r="AA90" s="57">
        <f t="shared" si="23"/>
        <v>0</v>
      </c>
      <c r="AB90" s="57">
        <f t="shared" si="20"/>
        <v>0.2</v>
      </c>
      <c r="AC90" s="57">
        <f t="shared" si="24"/>
        <v>500</v>
      </c>
      <c r="AD90" s="57">
        <f t="shared" si="25"/>
        <v>35.89</v>
      </c>
      <c r="AE90" s="57" t="str">
        <f>IF(AND($D90=RelConducteur,$S90="Oui",ISNUMBER($C90),$C90&gt;=RelDebut,$C90&lt;=RelFin),COUNTIFS($D$9:$D90,RelConducteur,$S$9:$S90,"Oui",$C$9:$C90,"&gt;="&amp;RelDebut,$C$9:$C90,"&lt;="&amp;RelFin),"")</f>
        <v/>
      </c>
    </row>
    <row r="91" spans="2:31" ht="18" customHeight="1" x14ac:dyDescent="0.25">
      <c r="B91" s="48">
        <f>IF(C91="","",COUNT($C$9:C91))</f>
        <v>83</v>
      </c>
      <c r="C91" s="49">
        <v>46570</v>
      </c>
      <c r="D91" s="51" t="s">
        <v>133</v>
      </c>
      <c r="E91" s="53">
        <v>50788</v>
      </c>
      <c r="F91" s="51" t="s">
        <v>240</v>
      </c>
      <c r="G91" s="51"/>
      <c r="H91" s="51" t="s">
        <v>241</v>
      </c>
      <c r="I91" s="51" t="s">
        <v>242</v>
      </c>
      <c r="J91" s="59"/>
      <c r="K91" s="60"/>
      <c r="L91" s="61">
        <v>14</v>
      </c>
      <c r="M91" s="62"/>
      <c r="N91" s="63">
        <f t="shared" si="13"/>
        <v>11.666666666666668</v>
      </c>
      <c r="O91" s="64">
        <f t="shared" si="14"/>
        <v>2.3333333333333321</v>
      </c>
      <c r="P91" s="65" t="str">
        <f t="shared" si="15"/>
        <v/>
      </c>
      <c r="Q91" s="66" t="str">
        <f t="shared" si="21"/>
        <v/>
      </c>
      <c r="R91" s="51" t="s">
        <v>210</v>
      </c>
      <c r="S91" s="60" t="s">
        <v>204</v>
      </c>
      <c r="T91" s="52" t="str">
        <f t="shared" si="16"/>
        <v>Service technique</v>
      </c>
      <c r="U91" s="51" t="s">
        <v>327</v>
      </c>
      <c r="V91" s="56" t="str">
        <f t="shared" si="17"/>
        <v>Conforme</v>
      </c>
      <c r="X91" s="57" t="str">
        <f t="shared" si="18"/>
        <v>Frais fixes et divers</v>
      </c>
      <c r="Y91" s="57">
        <f t="shared" si="19"/>
        <v>0</v>
      </c>
      <c r="Z91" s="57">
        <f t="shared" si="22"/>
        <v>50633</v>
      </c>
      <c r="AA91" s="57">
        <f t="shared" si="23"/>
        <v>0</v>
      </c>
      <c r="AB91" s="57">
        <f t="shared" si="20"/>
        <v>0.2</v>
      </c>
      <c r="AC91" s="57" t="str">
        <f t="shared" si="24"/>
        <v/>
      </c>
      <c r="AD91" s="57" t="str">
        <f t="shared" si="25"/>
        <v/>
      </c>
      <c r="AE91" s="57" t="str">
        <f>IF(AND($D91=RelConducteur,$S91="Oui",ISNUMBER($C91),$C91&gt;=RelDebut,$C91&lt;=RelFin),COUNTIFS($D$9:$D91,RelConducteur,$S$9:$S91,"Oui",$C$9:$C91,"&gt;="&amp;RelDebut,$C$9:$C91,"&lt;="&amp;RelFin),"")</f>
        <v/>
      </c>
    </row>
    <row r="92" spans="2:31" ht="18" customHeight="1" x14ac:dyDescent="0.25">
      <c r="B92" s="48">
        <f>IF(C92="","",COUNT($C$9:C92))</f>
        <v>84</v>
      </c>
      <c r="C92" s="49">
        <v>46575</v>
      </c>
      <c r="D92" s="51" t="s">
        <v>148</v>
      </c>
      <c r="E92" s="53">
        <v>50932</v>
      </c>
      <c r="F92" s="51" t="s">
        <v>217</v>
      </c>
      <c r="G92" s="51"/>
      <c r="H92" s="51" t="s">
        <v>250</v>
      </c>
      <c r="I92" s="51" t="s">
        <v>219</v>
      </c>
      <c r="J92" s="59"/>
      <c r="K92" s="60"/>
      <c r="L92" s="61">
        <v>9</v>
      </c>
      <c r="M92" s="62"/>
      <c r="N92" s="63">
        <f t="shared" si="13"/>
        <v>7.5</v>
      </c>
      <c r="O92" s="64">
        <f t="shared" si="14"/>
        <v>1.5</v>
      </c>
      <c r="P92" s="65" t="str">
        <f t="shared" si="15"/>
        <v/>
      </c>
      <c r="Q92" s="66" t="str">
        <f t="shared" si="21"/>
        <v/>
      </c>
      <c r="R92" s="51" t="s">
        <v>215</v>
      </c>
      <c r="S92" s="60" t="s">
        <v>209</v>
      </c>
      <c r="T92" s="52" t="str">
        <f t="shared" si="16"/>
        <v>Service commercial</v>
      </c>
      <c r="U92" s="51" t="s">
        <v>328</v>
      </c>
      <c r="V92" s="56" t="str">
        <f t="shared" si="17"/>
        <v>Conforme</v>
      </c>
      <c r="X92" s="57" t="str">
        <f t="shared" si="18"/>
        <v>Frais fixes et divers</v>
      </c>
      <c r="Y92" s="57">
        <f t="shared" si="19"/>
        <v>0</v>
      </c>
      <c r="Z92" s="57">
        <f t="shared" si="22"/>
        <v>50633</v>
      </c>
      <c r="AA92" s="57">
        <f t="shared" si="23"/>
        <v>0</v>
      </c>
      <c r="AB92" s="57">
        <f t="shared" si="20"/>
        <v>0.2</v>
      </c>
      <c r="AC92" s="57" t="str">
        <f t="shared" si="24"/>
        <v/>
      </c>
      <c r="AD92" s="57" t="str">
        <f t="shared" si="25"/>
        <v/>
      </c>
      <c r="AE92" s="57" t="str">
        <f>IF(AND($D92=RelConducteur,$S92="Oui",ISNUMBER($C92),$C92&gt;=RelDebut,$C92&lt;=RelFin),COUNTIFS($D$9:$D92,RelConducteur,$S$9:$S92,"Oui",$C$9:$C92,"&gt;="&amp;RelDebut,$C$9:$C92,"&lt;="&amp;RelFin),"")</f>
        <v/>
      </c>
    </row>
    <row r="93" spans="2:31" ht="18" customHeight="1" x14ac:dyDescent="0.25">
      <c r="B93" s="48">
        <f>IF(C93="","",COUNT($C$9:C93))</f>
        <v>85</v>
      </c>
      <c r="C93" s="49">
        <v>46576</v>
      </c>
      <c r="D93" s="51" t="s">
        <v>148</v>
      </c>
      <c r="E93" s="53">
        <v>51233</v>
      </c>
      <c r="F93" s="51" t="s">
        <v>206</v>
      </c>
      <c r="G93" s="51"/>
      <c r="H93" s="51" t="s">
        <v>309</v>
      </c>
      <c r="I93" s="51" t="s">
        <v>208</v>
      </c>
      <c r="J93" s="59">
        <v>39.770000000000003</v>
      </c>
      <c r="K93" s="60" t="s">
        <v>209</v>
      </c>
      <c r="L93" s="61">
        <v>71.430000000000007</v>
      </c>
      <c r="M93" s="62"/>
      <c r="N93" s="63">
        <f t="shared" si="13"/>
        <v>59.525000000000006</v>
      </c>
      <c r="O93" s="64">
        <f t="shared" si="14"/>
        <v>11.905000000000001</v>
      </c>
      <c r="P93" s="65">
        <f t="shared" si="15"/>
        <v>1.7960774453105357</v>
      </c>
      <c r="Q93" s="66">
        <f t="shared" si="21"/>
        <v>6.628333333333333</v>
      </c>
      <c r="R93" s="51" t="s">
        <v>210</v>
      </c>
      <c r="S93" s="60" t="s">
        <v>204</v>
      </c>
      <c r="T93" s="52" t="str">
        <f t="shared" si="16"/>
        <v>Service commercial</v>
      </c>
      <c r="U93" s="51" t="s">
        <v>329</v>
      </c>
      <c r="V93" s="56" t="str">
        <f t="shared" si="17"/>
        <v>Conforme</v>
      </c>
      <c r="X93" s="57" t="str">
        <f t="shared" si="18"/>
        <v>Énergie</v>
      </c>
      <c r="Y93" s="57">
        <f t="shared" si="19"/>
        <v>1</v>
      </c>
      <c r="Z93" s="57">
        <f t="shared" si="22"/>
        <v>51233</v>
      </c>
      <c r="AA93" s="57">
        <f t="shared" si="23"/>
        <v>0</v>
      </c>
      <c r="AB93" s="57">
        <f t="shared" si="20"/>
        <v>0.2</v>
      </c>
      <c r="AC93" s="57">
        <f t="shared" si="24"/>
        <v>600</v>
      </c>
      <c r="AD93" s="57">
        <f t="shared" si="25"/>
        <v>39.770000000000003</v>
      </c>
      <c r="AE93" s="57" t="str">
        <f>IF(AND($D93=RelConducteur,$S93="Oui",ISNUMBER($C93),$C93&gt;=RelDebut,$C93&lt;=RelFin),COUNTIFS($D$9:$D93,RelConducteur,$S$9:$S93,"Oui",$C$9:$C93,"&gt;="&amp;RelDebut,$C$9:$C93,"&lt;="&amp;RelFin),"")</f>
        <v/>
      </c>
    </row>
    <row r="94" spans="2:31" ht="18" customHeight="1" x14ac:dyDescent="0.25">
      <c r="B94" s="48">
        <f>IF(C94="","",COUNT($C$9:C94))</f>
        <v>86</v>
      </c>
      <c r="C94" s="49">
        <v>46576</v>
      </c>
      <c r="D94" s="51" t="s">
        <v>148</v>
      </c>
      <c r="E94" s="53">
        <v>51233</v>
      </c>
      <c r="F94" s="51" t="s">
        <v>212</v>
      </c>
      <c r="G94" s="51"/>
      <c r="H94" s="51" t="s">
        <v>213</v>
      </c>
      <c r="I94" s="51" t="s">
        <v>224</v>
      </c>
      <c r="J94" s="59"/>
      <c r="K94" s="60"/>
      <c r="L94" s="61">
        <v>19.8</v>
      </c>
      <c r="M94" s="62"/>
      <c r="N94" s="63">
        <f t="shared" si="13"/>
        <v>16.5</v>
      </c>
      <c r="O94" s="64">
        <f t="shared" si="14"/>
        <v>3.3000000000000007</v>
      </c>
      <c r="P94" s="65" t="str">
        <f t="shared" si="15"/>
        <v/>
      </c>
      <c r="Q94" s="66" t="str">
        <f t="shared" si="21"/>
        <v/>
      </c>
      <c r="R94" s="51" t="s">
        <v>215</v>
      </c>
      <c r="S94" s="60" t="s">
        <v>209</v>
      </c>
      <c r="T94" s="52" t="str">
        <f t="shared" si="16"/>
        <v>Service commercial</v>
      </c>
      <c r="U94" s="51" t="s">
        <v>330</v>
      </c>
      <c r="V94" s="56" t="str">
        <f t="shared" si="17"/>
        <v>Conforme</v>
      </c>
      <c r="X94" s="57" t="str">
        <f t="shared" si="18"/>
        <v>Frais fixes et divers</v>
      </c>
      <c r="Y94" s="57">
        <f t="shared" si="19"/>
        <v>0</v>
      </c>
      <c r="Z94" s="57">
        <f t="shared" si="22"/>
        <v>51233</v>
      </c>
      <c r="AA94" s="57">
        <f t="shared" si="23"/>
        <v>0</v>
      </c>
      <c r="AB94" s="57">
        <f t="shared" si="20"/>
        <v>0.2</v>
      </c>
      <c r="AC94" s="57" t="str">
        <f t="shared" si="24"/>
        <v/>
      </c>
      <c r="AD94" s="57" t="str">
        <f t="shared" si="25"/>
        <v/>
      </c>
      <c r="AE94" s="57" t="str">
        <f>IF(AND($D94=RelConducteur,$S94="Oui",ISNUMBER($C94),$C94&gt;=RelDebut,$C94&lt;=RelFin),COUNTIFS($D$9:$D94,RelConducteur,$S$9:$S94,"Oui",$C$9:$C94,"&gt;="&amp;RelDebut,$C$9:$C94,"&lt;="&amp;RelFin),"")</f>
        <v/>
      </c>
    </row>
    <row r="95" spans="2:31" ht="18" customHeight="1" x14ac:dyDescent="0.25">
      <c r="B95" s="48">
        <f>IF(C95="","",COUNT($C$9:C95))</f>
        <v>87</v>
      </c>
      <c r="C95" s="49">
        <v>46581</v>
      </c>
      <c r="D95" s="51" t="s">
        <v>148</v>
      </c>
      <c r="E95" s="53">
        <v>51325</v>
      </c>
      <c r="F95" s="51" t="s">
        <v>217</v>
      </c>
      <c r="G95" s="51"/>
      <c r="H95" s="51" t="s">
        <v>250</v>
      </c>
      <c r="I95" s="51" t="s">
        <v>219</v>
      </c>
      <c r="J95" s="59"/>
      <c r="K95" s="60"/>
      <c r="L95" s="61">
        <v>9</v>
      </c>
      <c r="M95" s="62"/>
      <c r="N95" s="63">
        <f t="shared" si="13"/>
        <v>7.5</v>
      </c>
      <c r="O95" s="64">
        <f t="shared" si="14"/>
        <v>1.5</v>
      </c>
      <c r="P95" s="65" t="str">
        <f t="shared" si="15"/>
        <v/>
      </c>
      <c r="Q95" s="66" t="str">
        <f t="shared" si="21"/>
        <v/>
      </c>
      <c r="R95" s="51" t="s">
        <v>215</v>
      </c>
      <c r="S95" s="60" t="s">
        <v>209</v>
      </c>
      <c r="T95" s="52" t="str">
        <f t="shared" si="16"/>
        <v>Service commercial</v>
      </c>
      <c r="U95" s="51" t="s">
        <v>331</v>
      </c>
      <c r="V95" s="56" t="str">
        <f t="shared" si="17"/>
        <v>Conforme</v>
      </c>
      <c r="X95" s="57" t="str">
        <f t="shared" si="18"/>
        <v>Frais fixes et divers</v>
      </c>
      <c r="Y95" s="57">
        <f t="shared" si="19"/>
        <v>0</v>
      </c>
      <c r="Z95" s="57">
        <f t="shared" si="22"/>
        <v>51233</v>
      </c>
      <c r="AA95" s="57">
        <f t="shared" si="23"/>
        <v>0</v>
      </c>
      <c r="AB95" s="57">
        <f t="shared" si="20"/>
        <v>0.2</v>
      </c>
      <c r="AC95" s="57" t="str">
        <f t="shared" si="24"/>
        <v/>
      </c>
      <c r="AD95" s="57" t="str">
        <f t="shared" si="25"/>
        <v/>
      </c>
      <c r="AE95" s="57" t="str">
        <f>IF(AND($D95=RelConducteur,$S95="Oui",ISNUMBER($C95),$C95&gt;=RelDebut,$C95&lt;=RelFin),COUNTIFS($D$9:$D95,RelConducteur,$S$9:$S95,"Oui",$C$9:$C95,"&gt;="&amp;RelDebut,$C$9:$C95,"&lt;="&amp;RelFin),"")</f>
        <v/>
      </c>
    </row>
    <row r="96" spans="2:31" ht="18" customHeight="1" x14ac:dyDescent="0.25">
      <c r="B96" s="48">
        <f>IF(C96="","",COUNT($C$9:C96))</f>
        <v>88</v>
      </c>
      <c r="C96" s="49">
        <v>46588</v>
      </c>
      <c r="D96" s="51" t="s">
        <v>148</v>
      </c>
      <c r="E96" s="53">
        <v>51698</v>
      </c>
      <c r="F96" s="51" t="s">
        <v>212</v>
      </c>
      <c r="G96" s="51"/>
      <c r="H96" s="51" t="s">
        <v>213</v>
      </c>
      <c r="I96" s="51" t="s">
        <v>224</v>
      </c>
      <c r="J96" s="59"/>
      <c r="K96" s="60"/>
      <c r="L96" s="61">
        <v>19.8</v>
      </c>
      <c r="M96" s="62"/>
      <c r="N96" s="63">
        <f t="shared" si="13"/>
        <v>16.5</v>
      </c>
      <c r="O96" s="64">
        <f t="shared" si="14"/>
        <v>3.3000000000000007</v>
      </c>
      <c r="P96" s="65" t="str">
        <f t="shared" si="15"/>
        <v/>
      </c>
      <c r="Q96" s="66" t="str">
        <f t="shared" si="21"/>
        <v/>
      </c>
      <c r="R96" s="51" t="s">
        <v>215</v>
      </c>
      <c r="S96" s="60" t="s">
        <v>209</v>
      </c>
      <c r="T96" s="52" t="str">
        <f t="shared" si="16"/>
        <v>Service commercial</v>
      </c>
      <c r="U96" s="51" t="s">
        <v>332</v>
      </c>
      <c r="V96" s="56" t="str">
        <f t="shared" si="17"/>
        <v>Conforme</v>
      </c>
      <c r="X96" s="57" t="str">
        <f t="shared" si="18"/>
        <v>Frais fixes et divers</v>
      </c>
      <c r="Y96" s="57">
        <f t="shared" si="19"/>
        <v>0</v>
      </c>
      <c r="Z96" s="57">
        <f t="shared" si="22"/>
        <v>51233</v>
      </c>
      <c r="AA96" s="57">
        <f t="shared" si="23"/>
        <v>0</v>
      </c>
      <c r="AB96" s="57">
        <f t="shared" si="20"/>
        <v>0.2</v>
      </c>
      <c r="AC96" s="57" t="str">
        <f t="shared" si="24"/>
        <v/>
      </c>
      <c r="AD96" s="57" t="str">
        <f t="shared" si="25"/>
        <v/>
      </c>
      <c r="AE96" s="57" t="str">
        <f>IF(AND($D96=RelConducteur,$S96="Oui",ISNUMBER($C96),$C96&gt;=RelDebut,$C96&lt;=RelFin),COUNTIFS($D$9:$D96,RelConducteur,$S$9:$S96,"Oui",$C$9:$C96,"&gt;="&amp;RelDebut,$C$9:$C96,"&lt;="&amp;RelFin),"")</f>
        <v/>
      </c>
    </row>
    <row r="97" spans="2:31" ht="18" customHeight="1" x14ac:dyDescent="0.25">
      <c r="B97" s="48">
        <f>IF(C97="","",COUNT($C$9:C97))</f>
        <v>89</v>
      </c>
      <c r="C97" s="49">
        <v>46588</v>
      </c>
      <c r="D97" s="51" t="s">
        <v>148</v>
      </c>
      <c r="E97" s="53">
        <v>51698</v>
      </c>
      <c r="F97" s="51" t="s">
        <v>217</v>
      </c>
      <c r="G97" s="51"/>
      <c r="H97" s="51" t="s">
        <v>248</v>
      </c>
      <c r="I97" s="51" t="s">
        <v>219</v>
      </c>
      <c r="J97" s="59"/>
      <c r="K97" s="60"/>
      <c r="L97" s="61">
        <v>6.4</v>
      </c>
      <c r="M97" s="62"/>
      <c r="N97" s="63">
        <f t="shared" si="13"/>
        <v>5.3333333333333339</v>
      </c>
      <c r="O97" s="64">
        <f t="shared" si="14"/>
        <v>1.0666666666666664</v>
      </c>
      <c r="P97" s="65" t="str">
        <f t="shared" si="15"/>
        <v/>
      </c>
      <c r="Q97" s="66" t="str">
        <f t="shared" si="21"/>
        <v/>
      </c>
      <c r="R97" s="51" t="s">
        <v>215</v>
      </c>
      <c r="S97" s="60" t="s">
        <v>209</v>
      </c>
      <c r="T97" s="52" t="str">
        <f t="shared" si="16"/>
        <v>Service commercial</v>
      </c>
      <c r="U97" s="51" t="s">
        <v>333</v>
      </c>
      <c r="V97" s="56" t="str">
        <f t="shared" si="17"/>
        <v>Conforme</v>
      </c>
      <c r="X97" s="57" t="str">
        <f t="shared" si="18"/>
        <v>Frais fixes et divers</v>
      </c>
      <c r="Y97" s="57">
        <f t="shared" si="19"/>
        <v>0</v>
      </c>
      <c r="Z97" s="57">
        <f t="shared" si="22"/>
        <v>51233</v>
      </c>
      <c r="AA97" s="57">
        <f t="shared" si="23"/>
        <v>0</v>
      </c>
      <c r="AB97" s="57">
        <f t="shared" si="20"/>
        <v>0.2</v>
      </c>
      <c r="AC97" s="57" t="str">
        <f t="shared" si="24"/>
        <v/>
      </c>
      <c r="AD97" s="57" t="str">
        <f t="shared" si="25"/>
        <v/>
      </c>
      <c r="AE97" s="57" t="str">
        <f>IF(AND($D97=RelConducteur,$S97="Oui",ISNUMBER($C97),$C97&gt;=RelDebut,$C97&lt;=RelFin),COUNTIFS($D$9:$D97,RelConducteur,$S$9:$S97,"Oui",$C$9:$C97,"&gt;="&amp;RelDebut,$C$9:$C97,"&lt;="&amp;RelFin),"")</f>
        <v/>
      </c>
    </row>
    <row r="98" spans="2:31" ht="18" customHeight="1" x14ac:dyDescent="0.25">
      <c r="B98" s="48">
        <f>IF(C98="","",COUNT($C$9:C98))</f>
        <v>90</v>
      </c>
      <c r="C98" s="49">
        <v>46590</v>
      </c>
      <c r="D98" s="51" t="s">
        <v>139</v>
      </c>
      <c r="E98" s="53">
        <v>51759</v>
      </c>
      <c r="F98" s="51" t="s">
        <v>206</v>
      </c>
      <c r="G98" s="51"/>
      <c r="H98" s="51" t="s">
        <v>226</v>
      </c>
      <c r="I98" s="51" t="s">
        <v>208</v>
      </c>
      <c r="J98" s="59">
        <v>35.869999999999997</v>
      </c>
      <c r="K98" s="60" t="s">
        <v>209</v>
      </c>
      <c r="L98" s="61">
        <v>62.99</v>
      </c>
      <c r="M98" s="62"/>
      <c r="N98" s="63">
        <f t="shared" si="13"/>
        <v>52.491666666666667</v>
      </c>
      <c r="O98" s="64">
        <f t="shared" si="14"/>
        <v>10.498333333333335</v>
      </c>
      <c r="P98" s="65">
        <f t="shared" si="15"/>
        <v>1.7560635628659049</v>
      </c>
      <c r="Q98" s="66">
        <f t="shared" si="21"/>
        <v>6.8193916349809882</v>
      </c>
      <c r="R98" s="51" t="s">
        <v>210</v>
      </c>
      <c r="S98" s="60" t="s">
        <v>204</v>
      </c>
      <c r="T98" s="52" t="str">
        <f t="shared" si="16"/>
        <v>Service technique</v>
      </c>
      <c r="U98" s="51" t="s">
        <v>334</v>
      </c>
      <c r="V98" s="56" t="str">
        <f t="shared" si="17"/>
        <v>Conforme</v>
      </c>
      <c r="X98" s="57" t="str">
        <f t="shared" si="18"/>
        <v>Énergie</v>
      </c>
      <c r="Y98" s="57">
        <f t="shared" si="19"/>
        <v>1</v>
      </c>
      <c r="Z98" s="57">
        <f t="shared" si="22"/>
        <v>51759</v>
      </c>
      <c r="AA98" s="57">
        <f t="shared" si="23"/>
        <v>0</v>
      </c>
      <c r="AB98" s="57">
        <f t="shared" si="20"/>
        <v>0.2</v>
      </c>
      <c r="AC98" s="57">
        <f t="shared" si="24"/>
        <v>526</v>
      </c>
      <c r="AD98" s="57">
        <f t="shared" si="25"/>
        <v>35.869999999999997</v>
      </c>
      <c r="AE98" s="57" t="str">
        <f>IF(AND($D98=RelConducteur,$S98="Oui",ISNUMBER($C98),$C98&gt;=RelDebut,$C98&lt;=RelFin),COUNTIFS($D$9:$D98,RelConducteur,$S$9:$S98,"Oui",$C$9:$C98,"&gt;="&amp;RelDebut,$C$9:$C98,"&lt;="&amp;RelFin),"")</f>
        <v/>
      </c>
    </row>
    <row r="99" spans="2:31" ht="18" customHeight="1" x14ac:dyDescent="0.25">
      <c r="B99" s="48">
        <f>IF(C99="","",COUNT($C$9:C99))</f>
        <v>91</v>
      </c>
      <c r="C99" s="49">
        <v>46591</v>
      </c>
      <c r="D99" s="51" t="s">
        <v>148</v>
      </c>
      <c r="E99" s="53">
        <v>52099</v>
      </c>
      <c r="F99" s="51" t="s">
        <v>212</v>
      </c>
      <c r="G99" s="51"/>
      <c r="H99" s="51" t="s">
        <v>213</v>
      </c>
      <c r="I99" s="51" t="s">
        <v>214</v>
      </c>
      <c r="J99" s="59"/>
      <c r="K99" s="60"/>
      <c r="L99" s="61">
        <v>27.4</v>
      </c>
      <c r="M99" s="62"/>
      <c r="N99" s="63">
        <f t="shared" si="13"/>
        <v>22.833333333333332</v>
      </c>
      <c r="O99" s="64">
        <f t="shared" si="14"/>
        <v>4.5666666666666664</v>
      </c>
      <c r="P99" s="65" t="str">
        <f t="shared" si="15"/>
        <v/>
      </c>
      <c r="Q99" s="66" t="str">
        <f t="shared" si="21"/>
        <v/>
      </c>
      <c r="R99" s="51" t="s">
        <v>215</v>
      </c>
      <c r="S99" s="60" t="s">
        <v>209</v>
      </c>
      <c r="T99" s="52" t="str">
        <f t="shared" si="16"/>
        <v>Service commercial</v>
      </c>
      <c r="U99" s="51" t="s">
        <v>335</v>
      </c>
      <c r="V99" s="56" t="str">
        <f t="shared" si="17"/>
        <v>Conforme</v>
      </c>
      <c r="X99" s="57" t="str">
        <f t="shared" si="18"/>
        <v>Frais fixes et divers</v>
      </c>
      <c r="Y99" s="57">
        <f t="shared" si="19"/>
        <v>0</v>
      </c>
      <c r="Z99" s="57">
        <f t="shared" si="22"/>
        <v>51759</v>
      </c>
      <c r="AA99" s="57">
        <f t="shared" si="23"/>
        <v>0</v>
      </c>
      <c r="AB99" s="57">
        <f t="shared" si="20"/>
        <v>0.2</v>
      </c>
      <c r="AC99" s="57" t="str">
        <f t="shared" si="24"/>
        <v/>
      </c>
      <c r="AD99" s="57" t="str">
        <f t="shared" si="25"/>
        <v/>
      </c>
      <c r="AE99" s="57" t="str">
        <f>IF(AND($D99=RelConducteur,$S99="Oui",ISNUMBER($C99),$C99&gt;=RelDebut,$C99&lt;=RelFin),COUNTIFS($D$9:$D99,RelConducteur,$S$9:$S99,"Oui",$C$9:$C99,"&gt;="&amp;RelDebut,$C$9:$C99,"&lt;="&amp;RelFin),"")</f>
        <v/>
      </c>
    </row>
    <row r="100" spans="2:31" ht="18" customHeight="1" x14ac:dyDescent="0.25">
      <c r="B100" s="48">
        <f>IF(C100="","",COUNT($C$9:C100))</f>
        <v>92</v>
      </c>
      <c r="C100" s="49">
        <v>46591</v>
      </c>
      <c r="D100" s="51" t="s">
        <v>148</v>
      </c>
      <c r="E100" s="53">
        <v>52099</v>
      </c>
      <c r="F100" s="51" t="s">
        <v>217</v>
      </c>
      <c r="G100" s="51"/>
      <c r="H100" s="51" t="s">
        <v>218</v>
      </c>
      <c r="I100" s="51" t="s">
        <v>219</v>
      </c>
      <c r="J100" s="59"/>
      <c r="K100" s="60"/>
      <c r="L100" s="61">
        <v>8.1999999999999993</v>
      </c>
      <c r="M100" s="62"/>
      <c r="N100" s="63">
        <f t="shared" si="13"/>
        <v>6.833333333333333</v>
      </c>
      <c r="O100" s="64">
        <f t="shared" si="14"/>
        <v>1.3666666666666663</v>
      </c>
      <c r="P100" s="65" t="str">
        <f t="shared" si="15"/>
        <v/>
      </c>
      <c r="Q100" s="66" t="str">
        <f t="shared" si="21"/>
        <v/>
      </c>
      <c r="R100" s="51" t="s">
        <v>215</v>
      </c>
      <c r="S100" s="60" t="s">
        <v>209</v>
      </c>
      <c r="T100" s="52" t="str">
        <f t="shared" si="16"/>
        <v>Service commercial</v>
      </c>
      <c r="U100" s="51" t="s">
        <v>336</v>
      </c>
      <c r="V100" s="56" t="str">
        <f t="shared" si="17"/>
        <v>Conforme</v>
      </c>
      <c r="X100" s="57" t="str">
        <f t="shared" si="18"/>
        <v>Frais fixes et divers</v>
      </c>
      <c r="Y100" s="57">
        <f t="shared" si="19"/>
        <v>0</v>
      </c>
      <c r="Z100" s="57">
        <f t="shared" si="22"/>
        <v>51759</v>
      </c>
      <c r="AA100" s="57">
        <f t="shared" si="23"/>
        <v>0</v>
      </c>
      <c r="AB100" s="57">
        <f t="shared" si="20"/>
        <v>0.2</v>
      </c>
      <c r="AC100" s="57" t="str">
        <f t="shared" si="24"/>
        <v/>
      </c>
      <c r="AD100" s="57" t="str">
        <f t="shared" si="25"/>
        <v/>
      </c>
      <c r="AE100" s="57" t="str">
        <f>IF(AND($D100=RelConducteur,$S100="Oui",ISNUMBER($C100),$C100&gt;=RelDebut,$C100&lt;=RelFin),COUNTIFS($D$9:$D100,RelConducteur,$S$9:$S100,"Oui",$C$9:$C100,"&gt;="&amp;RelDebut,$C$9:$C100,"&lt;="&amp;RelFin),"")</f>
        <v/>
      </c>
    </row>
    <row r="101" spans="2:31" ht="18" customHeight="1" x14ac:dyDescent="0.25">
      <c r="B101" s="48">
        <f>IF(C101="","",COUNT($C$9:C101))</f>
        <v>93</v>
      </c>
      <c r="C101" s="49">
        <v>46596</v>
      </c>
      <c r="D101" s="51" t="s">
        <v>139</v>
      </c>
      <c r="E101" s="53">
        <v>52235</v>
      </c>
      <c r="F101" s="51" t="s">
        <v>212</v>
      </c>
      <c r="G101" s="51"/>
      <c r="H101" s="51" t="s">
        <v>213</v>
      </c>
      <c r="I101" s="51" t="s">
        <v>278</v>
      </c>
      <c r="J101" s="59"/>
      <c r="K101" s="60"/>
      <c r="L101" s="61">
        <v>7.8</v>
      </c>
      <c r="M101" s="62"/>
      <c r="N101" s="63">
        <f t="shared" si="13"/>
        <v>6.5</v>
      </c>
      <c r="O101" s="64">
        <f t="shared" si="14"/>
        <v>1.2999999999999998</v>
      </c>
      <c r="P101" s="65" t="str">
        <f t="shared" si="15"/>
        <v/>
      </c>
      <c r="Q101" s="66" t="str">
        <f t="shared" si="21"/>
        <v/>
      </c>
      <c r="R101" s="51" t="s">
        <v>210</v>
      </c>
      <c r="S101" s="60" t="s">
        <v>204</v>
      </c>
      <c r="T101" s="52" t="str">
        <f t="shared" si="16"/>
        <v>Service technique</v>
      </c>
      <c r="U101" s="51" t="s">
        <v>337</v>
      </c>
      <c r="V101" s="56" t="str">
        <f t="shared" si="17"/>
        <v>Conforme</v>
      </c>
      <c r="X101" s="57" t="str">
        <f t="shared" si="18"/>
        <v>Frais fixes et divers</v>
      </c>
      <c r="Y101" s="57">
        <f t="shared" si="19"/>
        <v>0</v>
      </c>
      <c r="Z101" s="57">
        <f t="shared" si="22"/>
        <v>51759</v>
      </c>
      <c r="AA101" s="57">
        <f t="shared" si="23"/>
        <v>0</v>
      </c>
      <c r="AB101" s="57">
        <f t="shared" si="20"/>
        <v>0.2</v>
      </c>
      <c r="AC101" s="57" t="str">
        <f t="shared" si="24"/>
        <v/>
      </c>
      <c r="AD101" s="57" t="str">
        <f t="shared" si="25"/>
        <v/>
      </c>
      <c r="AE101" s="57" t="str">
        <f>IF(AND($D101=RelConducteur,$S101="Oui",ISNUMBER($C101),$C101&gt;=RelDebut,$C101&lt;=RelFin),COUNTIFS($D$9:$D101,RelConducteur,$S$9:$S101,"Oui",$C$9:$C101,"&gt;="&amp;RelDebut,$C$9:$C101,"&lt;="&amp;RelFin),"")</f>
        <v/>
      </c>
    </row>
    <row r="102" spans="2:31" ht="18" customHeight="1" x14ac:dyDescent="0.25">
      <c r="B102" s="48">
        <f>IF(C102="","",COUNT($C$9:C102))</f>
        <v>94</v>
      </c>
      <c r="C102" s="49">
        <v>46598</v>
      </c>
      <c r="D102" s="51" t="s">
        <v>139</v>
      </c>
      <c r="E102" s="53">
        <v>52355</v>
      </c>
      <c r="F102" s="51" t="s">
        <v>206</v>
      </c>
      <c r="G102" s="51"/>
      <c r="H102" s="51" t="s">
        <v>226</v>
      </c>
      <c r="I102" s="51" t="s">
        <v>208</v>
      </c>
      <c r="J102" s="59">
        <v>40.659999999999997</v>
      </c>
      <c r="K102" s="60" t="s">
        <v>209</v>
      </c>
      <c r="L102" s="61">
        <v>72.209999999999994</v>
      </c>
      <c r="M102" s="62"/>
      <c r="N102" s="63">
        <f t="shared" si="13"/>
        <v>60.174999999999997</v>
      </c>
      <c r="O102" s="64">
        <f t="shared" si="14"/>
        <v>12.034999999999997</v>
      </c>
      <c r="P102" s="65">
        <f t="shared" si="15"/>
        <v>1.7759468765371371</v>
      </c>
      <c r="Q102" s="66">
        <f t="shared" si="21"/>
        <v>6.8221476510067101</v>
      </c>
      <c r="R102" s="51" t="s">
        <v>210</v>
      </c>
      <c r="S102" s="60" t="s">
        <v>204</v>
      </c>
      <c r="T102" s="52" t="str">
        <f t="shared" si="16"/>
        <v>Service technique</v>
      </c>
      <c r="U102" s="51" t="s">
        <v>338</v>
      </c>
      <c r="V102" s="56" t="str">
        <f t="shared" si="17"/>
        <v>Conforme</v>
      </c>
      <c r="X102" s="57" t="str">
        <f t="shared" si="18"/>
        <v>Énergie</v>
      </c>
      <c r="Y102" s="57">
        <f t="shared" si="19"/>
        <v>1</v>
      </c>
      <c r="Z102" s="57">
        <f t="shared" si="22"/>
        <v>52355</v>
      </c>
      <c r="AA102" s="57">
        <f t="shared" si="23"/>
        <v>0</v>
      </c>
      <c r="AB102" s="57">
        <f t="shared" si="20"/>
        <v>0.2</v>
      </c>
      <c r="AC102" s="57">
        <f t="shared" si="24"/>
        <v>596</v>
      </c>
      <c r="AD102" s="57">
        <f t="shared" si="25"/>
        <v>40.659999999999997</v>
      </c>
      <c r="AE102" s="57" t="str">
        <f>IF(AND($D102=RelConducteur,$S102="Oui",ISNUMBER($C102),$C102&gt;=RelDebut,$C102&lt;=RelFin),COUNTIFS($D$9:$D102,RelConducteur,$S$9:$S102,"Oui",$C$9:$C102,"&gt;="&amp;RelDebut,$C$9:$C102,"&lt;="&amp;RelFin),"")</f>
        <v/>
      </c>
    </row>
    <row r="103" spans="2:31" ht="18" customHeight="1" x14ac:dyDescent="0.25">
      <c r="B103" s="48">
        <f>IF(C103="","",COUNT($C$9:C103))</f>
        <v>95</v>
      </c>
      <c r="C103" s="49">
        <v>46602</v>
      </c>
      <c r="D103" s="51" t="s">
        <v>139</v>
      </c>
      <c r="E103" s="53">
        <v>52469</v>
      </c>
      <c r="F103" s="51" t="s">
        <v>212</v>
      </c>
      <c r="G103" s="51"/>
      <c r="H103" s="51" t="s">
        <v>213</v>
      </c>
      <c r="I103" s="51" t="s">
        <v>278</v>
      </c>
      <c r="J103" s="59"/>
      <c r="K103" s="60"/>
      <c r="L103" s="61">
        <v>7.8</v>
      </c>
      <c r="M103" s="62"/>
      <c r="N103" s="63">
        <f t="shared" si="13"/>
        <v>6.5</v>
      </c>
      <c r="O103" s="64">
        <f t="shared" si="14"/>
        <v>1.2999999999999998</v>
      </c>
      <c r="P103" s="65" t="str">
        <f t="shared" si="15"/>
        <v/>
      </c>
      <c r="Q103" s="66" t="str">
        <f t="shared" si="21"/>
        <v/>
      </c>
      <c r="R103" s="51" t="s">
        <v>210</v>
      </c>
      <c r="S103" s="60" t="s">
        <v>204</v>
      </c>
      <c r="T103" s="52" t="str">
        <f t="shared" si="16"/>
        <v>Service technique</v>
      </c>
      <c r="U103" s="51" t="s">
        <v>339</v>
      </c>
      <c r="V103" s="56" t="str">
        <f t="shared" si="17"/>
        <v>Conforme</v>
      </c>
      <c r="X103" s="57" t="str">
        <f t="shared" si="18"/>
        <v>Frais fixes et divers</v>
      </c>
      <c r="Y103" s="57">
        <f t="shared" si="19"/>
        <v>0</v>
      </c>
      <c r="Z103" s="57">
        <f t="shared" si="22"/>
        <v>52355</v>
      </c>
      <c r="AA103" s="57">
        <f t="shared" si="23"/>
        <v>0</v>
      </c>
      <c r="AB103" s="57">
        <f t="shared" si="20"/>
        <v>0.2</v>
      </c>
      <c r="AC103" s="57" t="str">
        <f t="shared" si="24"/>
        <v/>
      </c>
      <c r="AD103" s="57" t="str">
        <f t="shared" si="25"/>
        <v/>
      </c>
      <c r="AE103" s="57" t="str">
        <f>IF(AND($D103=RelConducteur,$S103="Oui",ISNUMBER($C103),$C103&gt;=RelDebut,$C103&lt;=RelFin),COUNTIFS($D$9:$D103,RelConducteur,$S$9:$S103,"Oui",$C$9:$C103,"&gt;="&amp;RelDebut,$C$9:$C103,"&lt;="&amp;RelFin),"")</f>
        <v/>
      </c>
    </row>
    <row r="104" spans="2:31" ht="18" customHeight="1" x14ac:dyDescent="0.25">
      <c r="B104" s="48">
        <f>IF(C104="","",COUNT($C$9:C104))</f>
        <v>96</v>
      </c>
      <c r="C104" s="49">
        <v>46603</v>
      </c>
      <c r="D104" s="51" t="s">
        <v>148</v>
      </c>
      <c r="E104" s="53">
        <v>52680</v>
      </c>
      <c r="F104" s="51" t="s">
        <v>212</v>
      </c>
      <c r="G104" s="51"/>
      <c r="H104" s="51" t="s">
        <v>213</v>
      </c>
      <c r="I104" s="51" t="s">
        <v>222</v>
      </c>
      <c r="J104" s="59"/>
      <c r="K104" s="60"/>
      <c r="L104" s="61">
        <v>14.6</v>
      </c>
      <c r="M104" s="62"/>
      <c r="N104" s="63">
        <f t="shared" si="13"/>
        <v>12.166666666666666</v>
      </c>
      <c r="O104" s="64">
        <f t="shared" si="14"/>
        <v>2.4333333333333336</v>
      </c>
      <c r="P104" s="65" t="str">
        <f t="shared" si="15"/>
        <v/>
      </c>
      <c r="Q104" s="66" t="str">
        <f t="shared" si="21"/>
        <v/>
      </c>
      <c r="R104" s="51" t="s">
        <v>215</v>
      </c>
      <c r="S104" s="60" t="s">
        <v>209</v>
      </c>
      <c r="T104" s="52" t="str">
        <f t="shared" si="16"/>
        <v>Service commercial</v>
      </c>
      <c r="U104" s="51" t="s">
        <v>340</v>
      </c>
      <c r="V104" s="56" t="str">
        <f t="shared" si="17"/>
        <v>Conforme</v>
      </c>
      <c r="X104" s="57" t="str">
        <f t="shared" si="18"/>
        <v>Frais fixes et divers</v>
      </c>
      <c r="Y104" s="57">
        <f t="shared" si="19"/>
        <v>0</v>
      </c>
      <c r="Z104" s="57">
        <f t="shared" si="22"/>
        <v>52355</v>
      </c>
      <c r="AA104" s="57">
        <f t="shared" si="23"/>
        <v>0</v>
      </c>
      <c r="AB104" s="57">
        <f t="shared" si="20"/>
        <v>0.2</v>
      </c>
      <c r="AC104" s="57" t="str">
        <f t="shared" si="24"/>
        <v/>
      </c>
      <c r="AD104" s="57" t="str">
        <f t="shared" si="25"/>
        <v/>
      </c>
      <c r="AE104" s="57" t="str">
        <f>IF(AND($D104=RelConducteur,$S104="Oui",ISNUMBER($C104),$C104&gt;=RelDebut,$C104&lt;=RelFin),COUNTIFS($D$9:$D104,RelConducteur,$S$9:$S104,"Oui",$C$9:$C104,"&gt;="&amp;RelDebut,$C$9:$C104,"&lt;="&amp;RelFin),"")</f>
        <v/>
      </c>
    </row>
    <row r="105" spans="2:31" ht="18" customHeight="1" x14ac:dyDescent="0.25">
      <c r="B105" s="48">
        <f>IF(C105="","",COUNT($C$9:C105))</f>
        <v>97</v>
      </c>
      <c r="C105" s="49">
        <v>46605</v>
      </c>
      <c r="D105" s="51" t="s">
        <v>133</v>
      </c>
      <c r="E105" s="53">
        <v>52748</v>
      </c>
      <c r="F105" s="51" t="s">
        <v>240</v>
      </c>
      <c r="G105" s="51"/>
      <c r="H105" s="51" t="s">
        <v>241</v>
      </c>
      <c r="I105" s="51" t="s">
        <v>242</v>
      </c>
      <c r="J105" s="59"/>
      <c r="K105" s="60"/>
      <c r="L105" s="61">
        <v>14</v>
      </c>
      <c r="M105" s="62"/>
      <c r="N105" s="63">
        <f t="shared" si="13"/>
        <v>11.666666666666668</v>
      </c>
      <c r="O105" s="64">
        <f t="shared" si="14"/>
        <v>2.3333333333333321</v>
      </c>
      <c r="P105" s="65" t="str">
        <f t="shared" si="15"/>
        <v/>
      </c>
      <c r="Q105" s="66" t="str">
        <f t="shared" si="21"/>
        <v/>
      </c>
      <c r="R105" s="51" t="s">
        <v>210</v>
      </c>
      <c r="S105" s="60" t="s">
        <v>204</v>
      </c>
      <c r="T105" s="52" t="str">
        <f t="shared" si="16"/>
        <v>Service technique</v>
      </c>
      <c r="U105" s="51" t="s">
        <v>341</v>
      </c>
      <c r="V105" s="56" t="str">
        <f t="shared" si="17"/>
        <v>Conforme</v>
      </c>
      <c r="X105" s="57" t="str">
        <f t="shared" si="18"/>
        <v>Frais fixes et divers</v>
      </c>
      <c r="Y105" s="57">
        <f t="shared" si="19"/>
        <v>0</v>
      </c>
      <c r="Z105" s="57">
        <f t="shared" si="22"/>
        <v>52355</v>
      </c>
      <c r="AA105" s="57">
        <f t="shared" si="23"/>
        <v>0</v>
      </c>
      <c r="AB105" s="57">
        <f t="shared" si="20"/>
        <v>0.2</v>
      </c>
      <c r="AC105" s="57" t="str">
        <f t="shared" si="24"/>
        <v/>
      </c>
      <c r="AD105" s="57" t="str">
        <f t="shared" si="25"/>
        <v/>
      </c>
      <c r="AE105" s="57" t="str">
        <f>IF(AND($D105=RelConducteur,$S105="Oui",ISNUMBER($C105),$C105&gt;=RelDebut,$C105&lt;=RelFin),COUNTIFS($D$9:$D105,RelConducteur,$S$9:$S105,"Oui",$C$9:$C105,"&gt;="&amp;RelDebut,$C$9:$C105,"&lt;="&amp;RelFin),"")</f>
        <v/>
      </c>
    </row>
    <row r="106" spans="2:31" ht="18" customHeight="1" x14ac:dyDescent="0.25">
      <c r="B106" s="48">
        <f>IF(C106="","",COUNT($C$9:C106))</f>
        <v>98</v>
      </c>
      <c r="C106" s="49">
        <v>46625</v>
      </c>
      <c r="D106" s="51" t="s">
        <v>148</v>
      </c>
      <c r="E106" s="53">
        <v>52877</v>
      </c>
      <c r="F106" s="51" t="s">
        <v>206</v>
      </c>
      <c r="G106" s="51"/>
      <c r="H106" s="51" t="s">
        <v>261</v>
      </c>
      <c r="I106" s="51" t="s">
        <v>208</v>
      </c>
      <c r="J106" s="59">
        <v>36.729999999999997</v>
      </c>
      <c r="K106" s="60" t="s">
        <v>209</v>
      </c>
      <c r="L106" s="61">
        <v>65.09</v>
      </c>
      <c r="M106" s="62"/>
      <c r="N106" s="63">
        <f t="shared" si="13"/>
        <v>54.241666666666674</v>
      </c>
      <c r="O106" s="64">
        <f t="shared" si="14"/>
        <v>10.848333333333329</v>
      </c>
      <c r="P106" s="65">
        <f t="shared" si="15"/>
        <v>1.7721208821127146</v>
      </c>
      <c r="Q106" s="66">
        <f t="shared" si="21"/>
        <v>7.0363984674329503</v>
      </c>
      <c r="R106" s="51" t="s">
        <v>210</v>
      </c>
      <c r="S106" s="60" t="s">
        <v>204</v>
      </c>
      <c r="T106" s="52" t="str">
        <f t="shared" si="16"/>
        <v>Service commercial</v>
      </c>
      <c r="U106" s="51" t="s">
        <v>342</v>
      </c>
      <c r="V106" s="56" t="str">
        <f t="shared" si="17"/>
        <v>Conforme</v>
      </c>
      <c r="X106" s="57" t="str">
        <f t="shared" si="18"/>
        <v>Énergie</v>
      </c>
      <c r="Y106" s="57">
        <f t="shared" si="19"/>
        <v>1</v>
      </c>
      <c r="Z106" s="57">
        <f t="shared" si="22"/>
        <v>52877</v>
      </c>
      <c r="AA106" s="57">
        <f t="shared" si="23"/>
        <v>0</v>
      </c>
      <c r="AB106" s="57">
        <f t="shared" si="20"/>
        <v>0.2</v>
      </c>
      <c r="AC106" s="57">
        <f t="shared" si="24"/>
        <v>522</v>
      </c>
      <c r="AD106" s="57">
        <f t="shared" si="25"/>
        <v>36.729999999999997</v>
      </c>
      <c r="AE106" s="57" t="str">
        <f>IF(AND($D106=RelConducteur,$S106="Oui",ISNUMBER($C106),$C106&gt;=RelDebut,$C106&lt;=RelFin),COUNTIFS($D$9:$D106,RelConducteur,$S$9:$S106,"Oui",$C$9:$C106,"&gt;="&amp;RelDebut,$C$9:$C106,"&lt;="&amp;RelFin),"")</f>
        <v/>
      </c>
    </row>
    <row r="107" spans="2:31" ht="18" customHeight="1" x14ac:dyDescent="0.25">
      <c r="B107" s="48">
        <f>IF(C107="","",COUNT($C$9:C107))</f>
        <v>99</v>
      </c>
      <c r="C107" s="49">
        <v>46625</v>
      </c>
      <c r="D107" s="51" t="s">
        <v>148</v>
      </c>
      <c r="E107" s="53">
        <v>53023</v>
      </c>
      <c r="F107" s="51" t="s">
        <v>212</v>
      </c>
      <c r="G107" s="51"/>
      <c r="H107" s="51" t="s">
        <v>213</v>
      </c>
      <c r="I107" s="51" t="s">
        <v>222</v>
      </c>
      <c r="J107" s="59"/>
      <c r="K107" s="60"/>
      <c r="L107" s="61">
        <v>14.6</v>
      </c>
      <c r="M107" s="62"/>
      <c r="N107" s="63">
        <f t="shared" si="13"/>
        <v>12.166666666666666</v>
      </c>
      <c r="O107" s="64">
        <f t="shared" si="14"/>
        <v>2.4333333333333336</v>
      </c>
      <c r="P107" s="65" t="str">
        <f t="shared" si="15"/>
        <v/>
      </c>
      <c r="Q107" s="66" t="str">
        <f t="shared" si="21"/>
        <v/>
      </c>
      <c r="R107" s="51" t="s">
        <v>215</v>
      </c>
      <c r="S107" s="60" t="s">
        <v>209</v>
      </c>
      <c r="T107" s="52" t="str">
        <f t="shared" si="16"/>
        <v>Service commercial</v>
      </c>
      <c r="U107" s="51" t="s">
        <v>343</v>
      </c>
      <c r="V107" s="56" t="str">
        <f t="shared" si="17"/>
        <v>Conforme</v>
      </c>
      <c r="X107" s="57" t="str">
        <f t="shared" si="18"/>
        <v>Frais fixes et divers</v>
      </c>
      <c r="Y107" s="57">
        <f t="shared" si="19"/>
        <v>0</v>
      </c>
      <c r="Z107" s="57">
        <f t="shared" si="22"/>
        <v>52877</v>
      </c>
      <c r="AA107" s="57">
        <f t="shared" si="23"/>
        <v>0</v>
      </c>
      <c r="AB107" s="57">
        <f t="shared" si="20"/>
        <v>0.2</v>
      </c>
      <c r="AC107" s="57" t="str">
        <f t="shared" si="24"/>
        <v/>
      </c>
      <c r="AD107" s="57" t="str">
        <f t="shared" si="25"/>
        <v/>
      </c>
      <c r="AE107" s="57" t="str">
        <f>IF(AND($D107=RelConducteur,$S107="Oui",ISNUMBER($C107),$C107&gt;=RelDebut,$C107&lt;=RelFin),COUNTIFS($D$9:$D107,RelConducteur,$S$9:$S107,"Oui",$C$9:$C107,"&gt;="&amp;RelDebut,$C$9:$C107,"&lt;="&amp;RelFin),"")</f>
        <v/>
      </c>
    </row>
    <row r="108" spans="2:31" ht="18" customHeight="1" x14ac:dyDescent="0.25">
      <c r="B108" s="48">
        <f>IF(C108="","",COUNT($C$9:C108))</f>
        <v>100</v>
      </c>
      <c r="C108" s="49">
        <v>46630</v>
      </c>
      <c r="D108" s="51" t="s">
        <v>148</v>
      </c>
      <c r="E108" s="53">
        <v>53347</v>
      </c>
      <c r="F108" s="51" t="s">
        <v>212</v>
      </c>
      <c r="G108" s="51"/>
      <c r="H108" s="51" t="s">
        <v>213</v>
      </c>
      <c r="I108" s="51" t="s">
        <v>224</v>
      </c>
      <c r="J108" s="59"/>
      <c r="K108" s="60"/>
      <c r="L108" s="61">
        <v>19.8</v>
      </c>
      <c r="M108" s="62"/>
      <c r="N108" s="63">
        <f t="shared" si="13"/>
        <v>16.5</v>
      </c>
      <c r="O108" s="64">
        <f t="shared" si="14"/>
        <v>3.3000000000000007</v>
      </c>
      <c r="P108" s="65" t="str">
        <f t="shared" si="15"/>
        <v/>
      </c>
      <c r="Q108" s="66" t="str">
        <f t="shared" si="21"/>
        <v/>
      </c>
      <c r="R108" s="51" t="s">
        <v>215</v>
      </c>
      <c r="S108" s="60" t="s">
        <v>209</v>
      </c>
      <c r="T108" s="52" t="str">
        <f t="shared" si="16"/>
        <v>Service commercial</v>
      </c>
      <c r="U108" s="51" t="s">
        <v>344</v>
      </c>
      <c r="V108" s="56" t="str">
        <f t="shared" si="17"/>
        <v>Conforme</v>
      </c>
      <c r="X108" s="57" t="str">
        <f t="shared" si="18"/>
        <v>Frais fixes et divers</v>
      </c>
      <c r="Y108" s="57">
        <f t="shared" si="19"/>
        <v>0</v>
      </c>
      <c r="Z108" s="57">
        <f t="shared" si="22"/>
        <v>52877</v>
      </c>
      <c r="AA108" s="57">
        <f t="shared" si="23"/>
        <v>0</v>
      </c>
      <c r="AB108" s="57">
        <f t="shared" si="20"/>
        <v>0.2</v>
      </c>
      <c r="AC108" s="57" t="str">
        <f t="shared" si="24"/>
        <v/>
      </c>
      <c r="AD108" s="57" t="str">
        <f t="shared" si="25"/>
        <v/>
      </c>
      <c r="AE108" s="57" t="str">
        <f>IF(AND($D108=RelConducteur,$S108="Oui",ISNUMBER($C108),$C108&gt;=RelDebut,$C108&lt;=RelFin),COUNTIFS($D$9:$D108,RelConducteur,$S$9:$S108,"Oui",$C$9:$C108,"&gt;="&amp;RelDebut,$C$9:$C108,"&lt;="&amp;RelFin),"")</f>
        <v/>
      </c>
    </row>
    <row r="109" spans="2:31" ht="18" customHeight="1" x14ac:dyDescent="0.25">
      <c r="B109" s="48">
        <f>IF(C109="","",COUNT($C$9:C109))</f>
        <v>101</v>
      </c>
      <c r="C109" s="49">
        <v>46630</v>
      </c>
      <c r="D109" s="51" t="s">
        <v>148</v>
      </c>
      <c r="E109" s="53">
        <v>53347</v>
      </c>
      <c r="F109" s="51" t="s">
        <v>217</v>
      </c>
      <c r="G109" s="51"/>
      <c r="H109" s="51" t="s">
        <v>248</v>
      </c>
      <c r="I109" s="51" t="s">
        <v>219</v>
      </c>
      <c r="J109" s="59"/>
      <c r="K109" s="60"/>
      <c r="L109" s="61">
        <v>6.4</v>
      </c>
      <c r="M109" s="62"/>
      <c r="N109" s="63">
        <f t="shared" si="13"/>
        <v>5.3333333333333339</v>
      </c>
      <c r="O109" s="64">
        <f t="shared" si="14"/>
        <v>1.0666666666666664</v>
      </c>
      <c r="P109" s="65" t="str">
        <f t="shared" si="15"/>
        <v/>
      </c>
      <c r="Q109" s="66" t="str">
        <f t="shared" si="21"/>
        <v/>
      </c>
      <c r="R109" s="51" t="s">
        <v>215</v>
      </c>
      <c r="S109" s="60" t="s">
        <v>209</v>
      </c>
      <c r="T109" s="52" t="str">
        <f t="shared" si="16"/>
        <v>Service commercial</v>
      </c>
      <c r="U109" s="51" t="s">
        <v>345</v>
      </c>
      <c r="V109" s="56" t="str">
        <f t="shared" si="17"/>
        <v>Conforme</v>
      </c>
      <c r="X109" s="57" t="str">
        <f t="shared" si="18"/>
        <v>Frais fixes et divers</v>
      </c>
      <c r="Y109" s="57">
        <f t="shared" si="19"/>
        <v>0</v>
      </c>
      <c r="Z109" s="57">
        <f t="shared" si="22"/>
        <v>52877</v>
      </c>
      <c r="AA109" s="57">
        <f t="shared" si="23"/>
        <v>0</v>
      </c>
      <c r="AB109" s="57">
        <f t="shared" si="20"/>
        <v>0.2</v>
      </c>
      <c r="AC109" s="57" t="str">
        <f t="shared" si="24"/>
        <v/>
      </c>
      <c r="AD109" s="57" t="str">
        <f t="shared" si="25"/>
        <v/>
      </c>
      <c r="AE109" s="57" t="str">
        <f>IF(AND($D109=RelConducteur,$S109="Oui",ISNUMBER($C109),$C109&gt;=RelDebut,$C109&lt;=RelFin),COUNTIFS($D$9:$D109,RelConducteur,$S$9:$S109,"Oui",$C$9:$C109,"&gt;="&amp;RelDebut,$C$9:$C109,"&lt;="&amp;RelFin),"")</f>
        <v/>
      </c>
    </row>
    <row r="110" spans="2:31" ht="18" customHeight="1" x14ac:dyDescent="0.25">
      <c r="B110" s="48">
        <f>IF(C110="","",COUNT($C$9:C110))</f>
        <v>102</v>
      </c>
      <c r="C110" s="49">
        <v>46631</v>
      </c>
      <c r="D110" s="51" t="s">
        <v>133</v>
      </c>
      <c r="E110" s="53">
        <v>53408</v>
      </c>
      <c r="F110" s="51" t="s">
        <v>206</v>
      </c>
      <c r="G110" s="51"/>
      <c r="H110" s="51" t="s">
        <v>226</v>
      </c>
      <c r="I110" s="51" t="s">
        <v>208</v>
      </c>
      <c r="J110" s="59">
        <v>38.340000000000003</v>
      </c>
      <c r="K110" s="60" t="s">
        <v>209</v>
      </c>
      <c r="L110" s="61">
        <v>66.98</v>
      </c>
      <c r="M110" s="62"/>
      <c r="N110" s="63">
        <f t="shared" si="13"/>
        <v>55.81666666666667</v>
      </c>
      <c r="O110" s="64">
        <f t="shared" si="14"/>
        <v>11.163333333333334</v>
      </c>
      <c r="P110" s="65">
        <f t="shared" si="15"/>
        <v>1.747000521648409</v>
      </c>
      <c r="Q110" s="66">
        <f t="shared" si="21"/>
        <v>7.2203389830508478</v>
      </c>
      <c r="R110" s="51" t="s">
        <v>210</v>
      </c>
      <c r="S110" s="60" t="s">
        <v>204</v>
      </c>
      <c r="T110" s="52" t="str">
        <f t="shared" si="16"/>
        <v>Service technique</v>
      </c>
      <c r="U110" s="51" t="s">
        <v>346</v>
      </c>
      <c r="V110" s="56" t="str">
        <f t="shared" si="17"/>
        <v>Conforme</v>
      </c>
      <c r="X110" s="57" t="str">
        <f t="shared" si="18"/>
        <v>Énergie</v>
      </c>
      <c r="Y110" s="57">
        <f t="shared" si="19"/>
        <v>1</v>
      </c>
      <c r="Z110" s="57">
        <f t="shared" si="22"/>
        <v>53408</v>
      </c>
      <c r="AA110" s="57">
        <f t="shared" si="23"/>
        <v>0</v>
      </c>
      <c r="AB110" s="57">
        <f t="shared" si="20"/>
        <v>0.2</v>
      </c>
      <c r="AC110" s="57">
        <f t="shared" si="24"/>
        <v>531</v>
      </c>
      <c r="AD110" s="57">
        <f t="shared" si="25"/>
        <v>38.340000000000003</v>
      </c>
      <c r="AE110" s="57" t="str">
        <f>IF(AND($D110=RelConducteur,$S110="Oui",ISNUMBER($C110),$C110&gt;=RelDebut,$C110&lt;=RelFin),COUNTIFS($D$9:$D110,RelConducteur,$S$9:$S110,"Oui",$C$9:$C110,"&gt;="&amp;RelDebut,$C$9:$C110,"&lt;="&amp;RelFin),"")</f>
        <v/>
      </c>
    </row>
    <row r="111" spans="2:31" ht="18" customHeight="1" x14ac:dyDescent="0.25">
      <c r="B111" s="48">
        <f>IF(C111="","",COUNT($C$9:C111))</f>
        <v>103</v>
      </c>
      <c r="C111" s="49">
        <v>46633</v>
      </c>
      <c r="D111" s="51" t="s">
        <v>133</v>
      </c>
      <c r="E111" s="53">
        <v>53555</v>
      </c>
      <c r="F111" s="51" t="s">
        <v>212</v>
      </c>
      <c r="G111" s="51"/>
      <c r="H111" s="51" t="s">
        <v>213</v>
      </c>
      <c r="I111" s="51" t="s">
        <v>271</v>
      </c>
      <c r="J111" s="59"/>
      <c r="K111" s="60"/>
      <c r="L111" s="61">
        <v>5.2</v>
      </c>
      <c r="M111" s="62"/>
      <c r="N111" s="63">
        <f t="shared" si="13"/>
        <v>4.3333333333333339</v>
      </c>
      <c r="O111" s="64">
        <f t="shared" si="14"/>
        <v>0.86666666666666625</v>
      </c>
      <c r="P111" s="65" t="str">
        <f t="shared" si="15"/>
        <v/>
      </c>
      <c r="Q111" s="66" t="str">
        <f t="shared" si="21"/>
        <v/>
      </c>
      <c r="R111" s="51" t="s">
        <v>210</v>
      </c>
      <c r="S111" s="60" t="s">
        <v>204</v>
      </c>
      <c r="T111" s="52" t="str">
        <f t="shared" si="16"/>
        <v>Service technique</v>
      </c>
      <c r="U111" s="51" t="s">
        <v>347</v>
      </c>
      <c r="V111" s="56" t="str">
        <f t="shared" si="17"/>
        <v>Conforme</v>
      </c>
      <c r="X111" s="57" t="str">
        <f t="shared" si="18"/>
        <v>Frais fixes et divers</v>
      </c>
      <c r="Y111" s="57">
        <f t="shared" si="19"/>
        <v>0</v>
      </c>
      <c r="Z111" s="57">
        <f t="shared" si="22"/>
        <v>53408</v>
      </c>
      <c r="AA111" s="57">
        <f t="shared" si="23"/>
        <v>0</v>
      </c>
      <c r="AB111" s="57">
        <f t="shared" si="20"/>
        <v>0.2</v>
      </c>
      <c r="AC111" s="57" t="str">
        <f t="shared" si="24"/>
        <v/>
      </c>
      <c r="AD111" s="57" t="str">
        <f t="shared" si="25"/>
        <v/>
      </c>
      <c r="AE111" s="57" t="str">
        <f>IF(AND($D111=RelConducteur,$S111="Oui",ISNUMBER($C111),$C111&gt;=RelDebut,$C111&lt;=RelFin),COUNTIFS($D$9:$D111,RelConducteur,$S$9:$S111,"Oui",$C$9:$C111,"&gt;="&amp;RelDebut,$C$9:$C111,"&lt;="&amp;RelFin),"")</f>
        <v/>
      </c>
    </row>
    <row r="112" spans="2:31" ht="18" customHeight="1" x14ac:dyDescent="0.25">
      <c r="B112" s="48">
        <f>IF(C112="","",COUNT($C$9:C112))</f>
        <v>104</v>
      </c>
      <c r="C112" s="49">
        <v>46633</v>
      </c>
      <c r="D112" s="51" t="s">
        <v>133</v>
      </c>
      <c r="E112" s="53">
        <v>53688</v>
      </c>
      <c r="F112" s="51" t="s">
        <v>240</v>
      </c>
      <c r="G112" s="51"/>
      <c r="H112" s="51" t="s">
        <v>241</v>
      </c>
      <c r="I112" s="51" t="s">
        <v>242</v>
      </c>
      <c r="J112" s="59"/>
      <c r="K112" s="60"/>
      <c r="L112" s="61">
        <v>14</v>
      </c>
      <c r="M112" s="62"/>
      <c r="N112" s="63">
        <f t="shared" si="13"/>
        <v>11.666666666666668</v>
      </c>
      <c r="O112" s="64">
        <f t="shared" si="14"/>
        <v>2.3333333333333321</v>
      </c>
      <c r="P112" s="65" t="str">
        <f t="shared" si="15"/>
        <v/>
      </c>
      <c r="Q112" s="66" t="str">
        <f t="shared" si="21"/>
        <v/>
      </c>
      <c r="R112" s="51" t="s">
        <v>210</v>
      </c>
      <c r="S112" s="60" t="s">
        <v>204</v>
      </c>
      <c r="T112" s="52" t="str">
        <f t="shared" si="16"/>
        <v>Service technique</v>
      </c>
      <c r="U112" s="51" t="s">
        <v>348</v>
      </c>
      <c r="V112" s="56" t="str">
        <f t="shared" si="17"/>
        <v>Conforme</v>
      </c>
      <c r="X112" s="57" t="str">
        <f t="shared" si="18"/>
        <v>Frais fixes et divers</v>
      </c>
      <c r="Y112" s="57">
        <f t="shared" si="19"/>
        <v>0</v>
      </c>
      <c r="Z112" s="57">
        <f t="shared" si="22"/>
        <v>53408</v>
      </c>
      <c r="AA112" s="57">
        <f t="shared" si="23"/>
        <v>0</v>
      </c>
      <c r="AB112" s="57">
        <f t="shared" si="20"/>
        <v>0.2</v>
      </c>
      <c r="AC112" s="57" t="str">
        <f t="shared" si="24"/>
        <v/>
      </c>
      <c r="AD112" s="57" t="str">
        <f t="shared" si="25"/>
        <v/>
      </c>
      <c r="AE112" s="57" t="str">
        <f>IF(AND($D112=RelConducteur,$S112="Oui",ISNUMBER($C112),$C112&gt;=RelDebut,$C112&lt;=RelFin),COUNTIFS($D$9:$D112,RelConducteur,$S$9:$S112,"Oui",$C$9:$C112,"&gt;="&amp;RelDebut,$C$9:$C112,"&lt;="&amp;RelFin),"")</f>
        <v/>
      </c>
    </row>
    <row r="113" spans="2:31" ht="18" customHeight="1" x14ac:dyDescent="0.25">
      <c r="B113" s="48">
        <f>IF(C113="","",COUNT($C$9:C113))</f>
        <v>105</v>
      </c>
      <c r="C113" s="49">
        <v>46638</v>
      </c>
      <c r="D113" s="51" t="s">
        <v>133</v>
      </c>
      <c r="E113" s="53">
        <v>53769</v>
      </c>
      <c r="F113" s="51" t="s">
        <v>318</v>
      </c>
      <c r="G113" s="51" t="s">
        <v>349</v>
      </c>
      <c r="H113" s="51" t="s">
        <v>290</v>
      </c>
      <c r="I113" s="51" t="s">
        <v>350</v>
      </c>
      <c r="J113" s="59"/>
      <c r="K113" s="60"/>
      <c r="L113" s="61">
        <v>248.9</v>
      </c>
      <c r="M113" s="62"/>
      <c r="N113" s="63">
        <f t="shared" si="13"/>
        <v>207.41666666666669</v>
      </c>
      <c r="O113" s="64">
        <f t="shared" si="14"/>
        <v>41.48333333333332</v>
      </c>
      <c r="P113" s="65" t="str">
        <f t="shared" si="15"/>
        <v/>
      </c>
      <c r="Q113" s="66" t="str">
        <f t="shared" si="21"/>
        <v/>
      </c>
      <c r="R113" s="51" t="s">
        <v>232</v>
      </c>
      <c r="S113" s="60" t="s">
        <v>204</v>
      </c>
      <c r="T113" s="52" t="str">
        <f t="shared" si="16"/>
        <v>Service technique</v>
      </c>
      <c r="U113" s="51" t="s">
        <v>351</v>
      </c>
      <c r="V113" s="56" t="str">
        <f t="shared" si="17"/>
        <v>Conforme</v>
      </c>
      <c r="X113" s="57" t="str">
        <f t="shared" si="18"/>
        <v>Entretien et réparations</v>
      </c>
      <c r="Y113" s="57">
        <f t="shared" si="19"/>
        <v>0</v>
      </c>
      <c r="Z113" s="57">
        <f t="shared" si="22"/>
        <v>53408</v>
      </c>
      <c r="AA113" s="57">
        <f t="shared" si="23"/>
        <v>0</v>
      </c>
      <c r="AB113" s="57">
        <f t="shared" si="20"/>
        <v>0.2</v>
      </c>
      <c r="AC113" s="57" t="str">
        <f t="shared" si="24"/>
        <v/>
      </c>
      <c r="AD113" s="57" t="str">
        <f t="shared" si="25"/>
        <v/>
      </c>
      <c r="AE113" s="57" t="str">
        <f>IF(AND($D113=RelConducteur,$S113="Oui",ISNUMBER($C113),$C113&gt;=RelDebut,$C113&lt;=RelFin),COUNTIFS($D$9:$D113,RelConducteur,$S$9:$S113,"Oui",$C$9:$C113,"&gt;="&amp;RelDebut,$C$9:$C113,"&lt;="&amp;RelFin),"")</f>
        <v/>
      </c>
    </row>
    <row r="114" spans="2:31" ht="18" customHeight="1" x14ac:dyDescent="0.25">
      <c r="B114" s="48">
        <f>IF(C114="","",COUNT($C$9:C114))</f>
        <v>106</v>
      </c>
      <c r="C114" s="49">
        <v>46638</v>
      </c>
      <c r="D114" s="51" t="s">
        <v>148</v>
      </c>
      <c r="E114" s="53">
        <v>53834</v>
      </c>
      <c r="F114" s="51" t="s">
        <v>206</v>
      </c>
      <c r="G114" s="51"/>
      <c r="H114" s="51" t="s">
        <v>261</v>
      </c>
      <c r="I114" s="51" t="s">
        <v>208</v>
      </c>
      <c r="J114" s="59">
        <v>28.8</v>
      </c>
      <c r="K114" s="60" t="s">
        <v>209</v>
      </c>
      <c r="L114" s="61">
        <v>49.88</v>
      </c>
      <c r="M114" s="62"/>
      <c r="N114" s="63">
        <f t="shared" si="13"/>
        <v>41.56666666666667</v>
      </c>
      <c r="O114" s="64">
        <f t="shared" si="14"/>
        <v>8.3133333333333326</v>
      </c>
      <c r="P114" s="65">
        <f t="shared" si="15"/>
        <v>1.7319444444444445</v>
      </c>
      <c r="Q114" s="66">
        <f t="shared" si="21"/>
        <v>6.7605633802816909</v>
      </c>
      <c r="R114" s="51" t="s">
        <v>210</v>
      </c>
      <c r="S114" s="60" t="s">
        <v>204</v>
      </c>
      <c r="T114" s="52" t="str">
        <f t="shared" si="16"/>
        <v>Service commercial</v>
      </c>
      <c r="U114" s="51" t="s">
        <v>352</v>
      </c>
      <c r="V114" s="56" t="str">
        <f t="shared" si="17"/>
        <v>Conforme</v>
      </c>
      <c r="X114" s="57" t="str">
        <f t="shared" si="18"/>
        <v>Énergie</v>
      </c>
      <c r="Y114" s="57">
        <f t="shared" si="19"/>
        <v>1</v>
      </c>
      <c r="Z114" s="57">
        <f t="shared" si="22"/>
        <v>53834</v>
      </c>
      <c r="AA114" s="57">
        <f t="shared" si="23"/>
        <v>0</v>
      </c>
      <c r="AB114" s="57">
        <f t="shared" si="20"/>
        <v>0.2</v>
      </c>
      <c r="AC114" s="57">
        <f t="shared" si="24"/>
        <v>426</v>
      </c>
      <c r="AD114" s="57">
        <f t="shared" si="25"/>
        <v>28.8</v>
      </c>
      <c r="AE114" s="57" t="str">
        <f>IF(AND($D114=RelConducteur,$S114="Oui",ISNUMBER($C114),$C114&gt;=RelDebut,$C114&lt;=RelFin),COUNTIFS($D$9:$D114,RelConducteur,$S$9:$S114,"Oui",$C$9:$C114,"&gt;="&amp;RelDebut,$C$9:$C114,"&lt;="&amp;RelFin),"")</f>
        <v/>
      </c>
    </row>
    <row r="115" spans="2:31" ht="18" customHeight="1" x14ac:dyDescent="0.25">
      <c r="B115" s="48">
        <f>IF(C115="","",COUNT($C$9:C115))</f>
        <v>107</v>
      </c>
      <c r="C115" s="49">
        <v>46638</v>
      </c>
      <c r="D115" s="51" t="s">
        <v>148</v>
      </c>
      <c r="E115" s="53">
        <v>54047</v>
      </c>
      <c r="F115" s="51" t="s">
        <v>212</v>
      </c>
      <c r="G115" s="51"/>
      <c r="H115" s="51" t="s">
        <v>213</v>
      </c>
      <c r="I115" s="51" t="s">
        <v>224</v>
      </c>
      <c r="J115" s="59"/>
      <c r="K115" s="60"/>
      <c r="L115" s="61">
        <v>19.8</v>
      </c>
      <c r="M115" s="62"/>
      <c r="N115" s="63">
        <f t="shared" si="13"/>
        <v>16.5</v>
      </c>
      <c r="O115" s="64">
        <f t="shared" si="14"/>
        <v>3.3000000000000007</v>
      </c>
      <c r="P115" s="65" t="str">
        <f t="shared" si="15"/>
        <v/>
      </c>
      <c r="Q115" s="66" t="str">
        <f t="shared" si="21"/>
        <v/>
      </c>
      <c r="R115" s="51" t="s">
        <v>215</v>
      </c>
      <c r="S115" s="60" t="s">
        <v>209</v>
      </c>
      <c r="T115" s="52" t="str">
        <f t="shared" si="16"/>
        <v>Service commercial</v>
      </c>
      <c r="U115" s="51" t="s">
        <v>353</v>
      </c>
      <c r="V115" s="56" t="str">
        <f t="shared" si="17"/>
        <v>Conforme</v>
      </c>
      <c r="X115" s="57" t="str">
        <f t="shared" si="18"/>
        <v>Frais fixes et divers</v>
      </c>
      <c r="Y115" s="57">
        <f t="shared" si="19"/>
        <v>0</v>
      </c>
      <c r="Z115" s="57">
        <f t="shared" si="22"/>
        <v>53834</v>
      </c>
      <c r="AA115" s="57">
        <f t="shared" si="23"/>
        <v>0</v>
      </c>
      <c r="AB115" s="57">
        <f t="shared" si="20"/>
        <v>0.2</v>
      </c>
      <c r="AC115" s="57" t="str">
        <f t="shared" si="24"/>
        <v/>
      </c>
      <c r="AD115" s="57" t="str">
        <f t="shared" si="25"/>
        <v/>
      </c>
      <c r="AE115" s="57" t="str">
        <f>IF(AND($D115=RelConducteur,$S115="Oui",ISNUMBER($C115),$C115&gt;=RelDebut,$C115&lt;=RelFin),COUNTIFS($D$9:$D115,RelConducteur,$S$9:$S115,"Oui",$C$9:$C115,"&gt;="&amp;RelDebut,$C$9:$C115,"&lt;="&amp;RelFin),"")</f>
        <v/>
      </c>
    </row>
    <row r="116" spans="2:31" ht="18" customHeight="1" x14ac:dyDescent="0.25">
      <c r="B116" s="48">
        <f>IF(C116="","",COUNT($C$9:C116))</f>
        <v>108</v>
      </c>
      <c r="C116" s="49">
        <v>46638</v>
      </c>
      <c r="D116" s="51" t="s">
        <v>148</v>
      </c>
      <c r="E116" s="53">
        <v>54047</v>
      </c>
      <c r="F116" s="51" t="s">
        <v>217</v>
      </c>
      <c r="G116" s="51"/>
      <c r="H116" s="51" t="s">
        <v>248</v>
      </c>
      <c r="I116" s="51" t="s">
        <v>219</v>
      </c>
      <c r="J116" s="59"/>
      <c r="K116" s="60"/>
      <c r="L116" s="61">
        <v>6.4</v>
      </c>
      <c r="M116" s="62"/>
      <c r="N116" s="63">
        <f t="shared" si="13"/>
        <v>5.3333333333333339</v>
      </c>
      <c r="O116" s="64">
        <f t="shared" si="14"/>
        <v>1.0666666666666664</v>
      </c>
      <c r="P116" s="65" t="str">
        <f t="shared" si="15"/>
        <v/>
      </c>
      <c r="Q116" s="66" t="str">
        <f t="shared" si="21"/>
        <v/>
      </c>
      <c r="R116" s="51" t="s">
        <v>215</v>
      </c>
      <c r="S116" s="60" t="s">
        <v>209</v>
      </c>
      <c r="T116" s="52" t="str">
        <f t="shared" si="16"/>
        <v>Service commercial</v>
      </c>
      <c r="U116" s="51" t="s">
        <v>354</v>
      </c>
      <c r="V116" s="56" t="str">
        <f t="shared" si="17"/>
        <v>Conforme</v>
      </c>
      <c r="X116" s="57" t="str">
        <f t="shared" si="18"/>
        <v>Frais fixes et divers</v>
      </c>
      <c r="Y116" s="57">
        <f t="shared" si="19"/>
        <v>0</v>
      </c>
      <c r="Z116" s="57">
        <f t="shared" si="22"/>
        <v>53834</v>
      </c>
      <c r="AA116" s="57">
        <f t="shared" si="23"/>
        <v>0</v>
      </c>
      <c r="AB116" s="57">
        <f t="shared" si="20"/>
        <v>0.2</v>
      </c>
      <c r="AC116" s="57" t="str">
        <f t="shared" si="24"/>
        <v/>
      </c>
      <c r="AD116" s="57" t="str">
        <f t="shared" si="25"/>
        <v/>
      </c>
      <c r="AE116" s="57" t="str">
        <f>IF(AND($D116=RelConducteur,$S116="Oui",ISNUMBER($C116),$C116&gt;=RelDebut,$C116&lt;=RelFin),COUNTIFS($D$9:$D116,RelConducteur,$S$9:$S116,"Oui",$C$9:$C116,"&gt;="&amp;RelDebut,$C$9:$C116,"&lt;="&amp;RelFin),"")</f>
        <v/>
      </c>
    </row>
    <row r="117" spans="2:31" ht="18" customHeight="1" x14ac:dyDescent="0.25">
      <c r="B117" s="48">
        <f>IF(C117="","",COUNT($C$9:C117))</f>
        <v>109</v>
      </c>
      <c r="C117" s="49">
        <v>46644</v>
      </c>
      <c r="D117" s="51" t="s">
        <v>139</v>
      </c>
      <c r="E117" s="53">
        <v>54353</v>
      </c>
      <c r="F117" s="51" t="s">
        <v>206</v>
      </c>
      <c r="G117" s="51"/>
      <c r="H117" s="51" t="s">
        <v>207</v>
      </c>
      <c r="I117" s="51" t="s">
        <v>208</v>
      </c>
      <c r="J117" s="59">
        <v>36.409999999999997</v>
      </c>
      <c r="K117" s="60" t="s">
        <v>209</v>
      </c>
      <c r="L117" s="61">
        <v>62.59</v>
      </c>
      <c r="M117" s="62"/>
      <c r="N117" s="63">
        <f t="shared" si="13"/>
        <v>52.158333333333339</v>
      </c>
      <c r="O117" s="64">
        <f t="shared" si="14"/>
        <v>10.431666666666665</v>
      </c>
      <c r="P117" s="65">
        <f t="shared" si="15"/>
        <v>1.719033232628399</v>
      </c>
      <c r="Q117" s="66">
        <f t="shared" si="21"/>
        <v>7.015414258188823</v>
      </c>
      <c r="R117" s="51" t="s">
        <v>210</v>
      </c>
      <c r="S117" s="60" t="s">
        <v>204</v>
      </c>
      <c r="T117" s="52" t="str">
        <f t="shared" si="16"/>
        <v>Service technique</v>
      </c>
      <c r="U117" s="51" t="s">
        <v>355</v>
      </c>
      <c r="V117" s="56" t="str">
        <f t="shared" si="17"/>
        <v>Conforme</v>
      </c>
      <c r="X117" s="57" t="str">
        <f t="shared" si="18"/>
        <v>Énergie</v>
      </c>
      <c r="Y117" s="57">
        <f t="shared" si="19"/>
        <v>1</v>
      </c>
      <c r="Z117" s="57">
        <f t="shared" si="22"/>
        <v>54353</v>
      </c>
      <c r="AA117" s="57">
        <f t="shared" si="23"/>
        <v>0</v>
      </c>
      <c r="AB117" s="57">
        <f t="shared" si="20"/>
        <v>0.2</v>
      </c>
      <c r="AC117" s="57">
        <f t="shared" si="24"/>
        <v>519</v>
      </c>
      <c r="AD117" s="57">
        <f t="shared" si="25"/>
        <v>36.409999999999997</v>
      </c>
      <c r="AE117" s="57" t="str">
        <f>IF(AND($D117=RelConducteur,$S117="Oui",ISNUMBER($C117),$C117&gt;=RelDebut,$C117&lt;=RelFin),COUNTIFS($D$9:$D117,RelConducteur,$S$9:$S117,"Oui",$C$9:$C117,"&gt;="&amp;RelDebut,$C$9:$C117,"&lt;="&amp;RelFin),"")</f>
        <v/>
      </c>
    </row>
    <row r="118" spans="2:31" ht="18" customHeight="1" x14ac:dyDescent="0.25">
      <c r="B118" s="48">
        <f>IF(C118="","",COUNT($C$9:C118))</f>
        <v>110</v>
      </c>
      <c r="C118" s="49">
        <v>46654</v>
      </c>
      <c r="D118" s="51" t="s">
        <v>139</v>
      </c>
      <c r="E118" s="53">
        <v>54881</v>
      </c>
      <c r="F118" s="51" t="s">
        <v>206</v>
      </c>
      <c r="G118" s="51"/>
      <c r="H118" s="51" t="s">
        <v>226</v>
      </c>
      <c r="I118" s="51" t="s">
        <v>208</v>
      </c>
      <c r="J118" s="59">
        <v>37.869999999999997</v>
      </c>
      <c r="K118" s="60" t="s">
        <v>209</v>
      </c>
      <c r="L118" s="61">
        <v>64.42</v>
      </c>
      <c r="M118" s="62"/>
      <c r="N118" s="63">
        <f t="shared" si="13"/>
        <v>53.683333333333337</v>
      </c>
      <c r="O118" s="64">
        <f t="shared" si="14"/>
        <v>10.736666666666665</v>
      </c>
      <c r="P118" s="65">
        <f t="shared" si="15"/>
        <v>1.7010826511750727</v>
      </c>
      <c r="Q118" s="66">
        <f t="shared" si="21"/>
        <v>7.1723484848484844</v>
      </c>
      <c r="R118" s="51" t="s">
        <v>210</v>
      </c>
      <c r="S118" s="60" t="s">
        <v>204</v>
      </c>
      <c r="T118" s="52" t="str">
        <f t="shared" si="16"/>
        <v>Service technique</v>
      </c>
      <c r="U118" s="51" t="s">
        <v>356</v>
      </c>
      <c r="V118" s="56" t="str">
        <f t="shared" si="17"/>
        <v>Conforme</v>
      </c>
      <c r="X118" s="57" t="str">
        <f t="shared" si="18"/>
        <v>Énergie</v>
      </c>
      <c r="Y118" s="57">
        <f t="shared" si="19"/>
        <v>1</v>
      </c>
      <c r="Z118" s="57">
        <f t="shared" si="22"/>
        <v>54881</v>
      </c>
      <c r="AA118" s="57">
        <f t="shared" si="23"/>
        <v>0</v>
      </c>
      <c r="AB118" s="57">
        <f t="shared" si="20"/>
        <v>0.2</v>
      </c>
      <c r="AC118" s="57">
        <f t="shared" si="24"/>
        <v>528</v>
      </c>
      <c r="AD118" s="57">
        <f t="shared" si="25"/>
        <v>37.869999999999997</v>
      </c>
      <c r="AE118" s="57" t="str">
        <f>IF(AND($D118=RelConducteur,$S118="Oui",ISNUMBER($C118),$C118&gt;=RelDebut,$C118&lt;=RelFin),COUNTIFS($D$9:$D118,RelConducteur,$S$9:$S118,"Oui",$C$9:$C118,"&gt;="&amp;RelDebut,$C$9:$C118,"&lt;="&amp;RelFin),"")</f>
        <v/>
      </c>
    </row>
    <row r="119" spans="2:31" ht="18" customHeight="1" x14ac:dyDescent="0.25">
      <c r="B119" s="48">
        <f>IF(C119="","",COUNT($C$9:C119))</f>
        <v>111</v>
      </c>
      <c r="C119" s="49">
        <v>46658</v>
      </c>
      <c r="D119" s="51" t="s">
        <v>148</v>
      </c>
      <c r="E119" s="53">
        <v>55287</v>
      </c>
      <c r="F119" s="51" t="s">
        <v>212</v>
      </c>
      <c r="G119" s="51"/>
      <c r="H119" s="51" t="s">
        <v>213</v>
      </c>
      <c r="I119" s="51" t="s">
        <v>214</v>
      </c>
      <c r="J119" s="59"/>
      <c r="K119" s="60"/>
      <c r="L119" s="61">
        <v>27.4</v>
      </c>
      <c r="M119" s="62"/>
      <c r="N119" s="63">
        <f t="shared" si="13"/>
        <v>22.833333333333332</v>
      </c>
      <c r="O119" s="64">
        <f t="shared" si="14"/>
        <v>4.5666666666666664</v>
      </c>
      <c r="P119" s="65" t="str">
        <f t="shared" si="15"/>
        <v/>
      </c>
      <c r="Q119" s="66" t="str">
        <f t="shared" si="21"/>
        <v/>
      </c>
      <c r="R119" s="51" t="s">
        <v>215</v>
      </c>
      <c r="S119" s="60" t="s">
        <v>209</v>
      </c>
      <c r="T119" s="52" t="str">
        <f t="shared" si="16"/>
        <v>Service commercial</v>
      </c>
      <c r="U119" s="51" t="s">
        <v>357</v>
      </c>
      <c r="V119" s="56" t="str">
        <f t="shared" si="17"/>
        <v>Conforme</v>
      </c>
      <c r="X119" s="57" t="str">
        <f t="shared" si="18"/>
        <v>Frais fixes et divers</v>
      </c>
      <c r="Y119" s="57">
        <f t="shared" si="19"/>
        <v>0</v>
      </c>
      <c r="Z119" s="57">
        <f t="shared" si="22"/>
        <v>54881</v>
      </c>
      <c r="AA119" s="57">
        <f t="shared" si="23"/>
        <v>0</v>
      </c>
      <c r="AB119" s="57">
        <f t="shared" si="20"/>
        <v>0.2</v>
      </c>
      <c r="AC119" s="57" t="str">
        <f t="shared" si="24"/>
        <v/>
      </c>
      <c r="AD119" s="57" t="str">
        <f t="shared" si="25"/>
        <v/>
      </c>
      <c r="AE119" s="57" t="str">
        <f>IF(AND($D119=RelConducteur,$S119="Oui",ISNUMBER($C119),$C119&gt;=RelDebut,$C119&lt;=RelFin),COUNTIFS($D$9:$D119,RelConducteur,$S$9:$S119,"Oui",$C$9:$C119,"&gt;="&amp;RelDebut,$C$9:$C119,"&lt;="&amp;RelFin),"")</f>
        <v/>
      </c>
    </row>
    <row r="120" spans="2:31" ht="18" customHeight="1" x14ac:dyDescent="0.25">
      <c r="B120" s="48">
        <f>IF(C120="","",COUNT($C$9:C120))</f>
        <v>112</v>
      </c>
      <c r="C120" s="49">
        <v>46658</v>
      </c>
      <c r="D120" s="51" t="s">
        <v>148</v>
      </c>
      <c r="E120" s="53">
        <v>55287</v>
      </c>
      <c r="F120" s="51" t="s">
        <v>217</v>
      </c>
      <c r="G120" s="51"/>
      <c r="H120" s="51" t="s">
        <v>218</v>
      </c>
      <c r="I120" s="51" t="s">
        <v>219</v>
      </c>
      <c r="J120" s="59"/>
      <c r="K120" s="60"/>
      <c r="L120" s="61">
        <v>8.1999999999999993</v>
      </c>
      <c r="M120" s="62"/>
      <c r="N120" s="63">
        <f t="shared" si="13"/>
        <v>6.833333333333333</v>
      </c>
      <c r="O120" s="64">
        <f t="shared" si="14"/>
        <v>1.3666666666666663</v>
      </c>
      <c r="P120" s="65" t="str">
        <f t="shared" si="15"/>
        <v/>
      </c>
      <c r="Q120" s="66" t="str">
        <f t="shared" si="21"/>
        <v/>
      </c>
      <c r="R120" s="51" t="s">
        <v>215</v>
      </c>
      <c r="S120" s="60" t="s">
        <v>209</v>
      </c>
      <c r="T120" s="52" t="str">
        <f t="shared" si="16"/>
        <v>Service commercial</v>
      </c>
      <c r="U120" s="51" t="s">
        <v>358</v>
      </c>
      <c r="V120" s="56" t="str">
        <f t="shared" si="17"/>
        <v>Conforme</v>
      </c>
      <c r="X120" s="57" t="str">
        <f t="shared" si="18"/>
        <v>Frais fixes et divers</v>
      </c>
      <c r="Y120" s="57">
        <f t="shared" si="19"/>
        <v>0</v>
      </c>
      <c r="Z120" s="57">
        <f t="shared" si="22"/>
        <v>54881</v>
      </c>
      <c r="AA120" s="57">
        <f t="shared" si="23"/>
        <v>0</v>
      </c>
      <c r="AB120" s="57">
        <f t="shared" si="20"/>
        <v>0.2</v>
      </c>
      <c r="AC120" s="57" t="str">
        <f t="shared" si="24"/>
        <v/>
      </c>
      <c r="AD120" s="57" t="str">
        <f t="shared" si="25"/>
        <v/>
      </c>
      <c r="AE120" s="57" t="str">
        <f>IF(AND($D120=RelConducteur,$S120="Oui",ISNUMBER($C120),$C120&gt;=RelDebut,$C120&lt;=RelFin),COUNTIFS($D$9:$D120,RelConducteur,$S$9:$S120,"Oui",$C$9:$C120,"&gt;="&amp;RelDebut,$C$9:$C120,"&lt;="&amp;RelFin),"")</f>
        <v/>
      </c>
    </row>
    <row r="121" spans="2:31" ht="18" customHeight="1" x14ac:dyDescent="0.25">
      <c r="B121" s="48">
        <f>IF(C121="","",COUNT($C$9:C121))</f>
        <v>113</v>
      </c>
      <c r="C121" s="49">
        <v>46659</v>
      </c>
      <c r="D121" s="51" t="s">
        <v>139</v>
      </c>
      <c r="E121" s="53">
        <v>55417</v>
      </c>
      <c r="F121" s="51" t="s">
        <v>206</v>
      </c>
      <c r="G121" s="51"/>
      <c r="H121" s="51" t="s">
        <v>226</v>
      </c>
      <c r="I121" s="51" t="s">
        <v>208</v>
      </c>
      <c r="J121" s="59">
        <v>36.78</v>
      </c>
      <c r="K121" s="60" t="s">
        <v>209</v>
      </c>
      <c r="L121" s="61">
        <v>64.180000000000007</v>
      </c>
      <c r="M121" s="62"/>
      <c r="N121" s="63">
        <f t="shared" si="13"/>
        <v>53.483333333333341</v>
      </c>
      <c r="O121" s="64">
        <f t="shared" si="14"/>
        <v>10.696666666666665</v>
      </c>
      <c r="P121" s="65">
        <f t="shared" si="15"/>
        <v>1.7449700924415446</v>
      </c>
      <c r="Q121" s="66">
        <f t="shared" si="21"/>
        <v>6.8619402985074629</v>
      </c>
      <c r="R121" s="51" t="s">
        <v>210</v>
      </c>
      <c r="S121" s="60" t="s">
        <v>204</v>
      </c>
      <c r="T121" s="52" t="str">
        <f t="shared" si="16"/>
        <v>Service technique</v>
      </c>
      <c r="U121" s="51" t="s">
        <v>359</v>
      </c>
      <c r="V121" s="56" t="str">
        <f t="shared" si="17"/>
        <v>Conforme</v>
      </c>
      <c r="X121" s="57" t="str">
        <f t="shared" si="18"/>
        <v>Énergie</v>
      </c>
      <c r="Y121" s="57">
        <f t="shared" si="19"/>
        <v>1</v>
      </c>
      <c r="Z121" s="57">
        <f t="shared" si="22"/>
        <v>55417</v>
      </c>
      <c r="AA121" s="57">
        <f t="shared" si="23"/>
        <v>0</v>
      </c>
      <c r="AB121" s="57">
        <f t="shared" si="20"/>
        <v>0.2</v>
      </c>
      <c r="AC121" s="57">
        <f t="shared" si="24"/>
        <v>536</v>
      </c>
      <c r="AD121" s="57">
        <f t="shared" si="25"/>
        <v>36.78</v>
      </c>
      <c r="AE121" s="57" t="str">
        <f>IF(AND($D121=RelConducteur,$S121="Oui",ISNUMBER($C121),$C121&gt;=RelDebut,$C121&lt;=RelFin),COUNTIFS($D$9:$D121,RelConducteur,$S$9:$S121,"Oui",$C$9:$C121,"&gt;="&amp;RelDebut,$C$9:$C121,"&lt;="&amp;RelFin),"")</f>
        <v/>
      </c>
    </row>
    <row r="122" spans="2:31" ht="18" customHeight="1" x14ac:dyDescent="0.25">
      <c r="B122" s="48">
        <f>IF(C122="","",COUNT($C$9:C122))</f>
        <v>114</v>
      </c>
      <c r="C122" s="49">
        <v>46660</v>
      </c>
      <c r="D122" s="51" t="s">
        <v>148</v>
      </c>
      <c r="E122" s="53">
        <v>55667</v>
      </c>
      <c r="F122" s="51" t="s">
        <v>212</v>
      </c>
      <c r="G122" s="51"/>
      <c r="H122" s="51" t="s">
        <v>213</v>
      </c>
      <c r="I122" s="51" t="s">
        <v>224</v>
      </c>
      <c r="J122" s="59"/>
      <c r="K122" s="60"/>
      <c r="L122" s="61">
        <v>19.8</v>
      </c>
      <c r="M122" s="62"/>
      <c r="N122" s="63">
        <f t="shared" si="13"/>
        <v>16.5</v>
      </c>
      <c r="O122" s="64">
        <f t="shared" si="14"/>
        <v>3.3000000000000007</v>
      </c>
      <c r="P122" s="65" t="str">
        <f t="shared" si="15"/>
        <v/>
      </c>
      <c r="Q122" s="66" t="str">
        <f t="shared" si="21"/>
        <v/>
      </c>
      <c r="R122" s="51" t="s">
        <v>215</v>
      </c>
      <c r="S122" s="60" t="s">
        <v>209</v>
      </c>
      <c r="T122" s="52" t="str">
        <f t="shared" si="16"/>
        <v>Service commercial</v>
      </c>
      <c r="U122" s="51" t="s">
        <v>360</v>
      </c>
      <c r="V122" s="56" t="str">
        <f t="shared" si="17"/>
        <v>Conforme</v>
      </c>
      <c r="X122" s="57" t="str">
        <f t="shared" si="18"/>
        <v>Frais fixes et divers</v>
      </c>
      <c r="Y122" s="57">
        <f t="shared" si="19"/>
        <v>0</v>
      </c>
      <c r="Z122" s="57">
        <f t="shared" si="22"/>
        <v>55417</v>
      </c>
      <c r="AA122" s="57">
        <f t="shared" si="23"/>
        <v>0</v>
      </c>
      <c r="AB122" s="57">
        <f t="shared" si="20"/>
        <v>0.2</v>
      </c>
      <c r="AC122" s="57" t="str">
        <f t="shared" si="24"/>
        <v/>
      </c>
      <c r="AD122" s="57" t="str">
        <f t="shared" si="25"/>
        <v/>
      </c>
      <c r="AE122" s="57" t="str">
        <f>IF(AND($D122=RelConducteur,$S122="Oui",ISNUMBER($C122),$C122&gt;=RelDebut,$C122&lt;=RelFin),COUNTIFS($D$9:$D122,RelConducteur,$S$9:$S122,"Oui",$C$9:$C122,"&gt;="&amp;RelDebut,$C$9:$C122,"&lt;="&amp;RelFin),"")</f>
        <v/>
      </c>
    </row>
    <row r="123" spans="2:31" ht="18" customHeight="1" x14ac:dyDescent="0.25">
      <c r="B123" s="48">
        <f>IF(C123="","",COUNT($C$9:C123))</f>
        <v>115</v>
      </c>
      <c r="C123" s="49">
        <v>46660</v>
      </c>
      <c r="D123" s="51" t="s">
        <v>148</v>
      </c>
      <c r="E123" s="53">
        <v>55667</v>
      </c>
      <c r="F123" s="51" t="s">
        <v>217</v>
      </c>
      <c r="G123" s="51"/>
      <c r="H123" s="51" t="s">
        <v>248</v>
      </c>
      <c r="I123" s="51" t="s">
        <v>219</v>
      </c>
      <c r="J123" s="59"/>
      <c r="K123" s="60"/>
      <c r="L123" s="61">
        <v>6.4</v>
      </c>
      <c r="M123" s="62"/>
      <c r="N123" s="63">
        <f t="shared" si="13"/>
        <v>5.3333333333333339</v>
      </c>
      <c r="O123" s="64">
        <f t="shared" si="14"/>
        <v>1.0666666666666664</v>
      </c>
      <c r="P123" s="65" t="str">
        <f t="shared" si="15"/>
        <v/>
      </c>
      <c r="Q123" s="66" t="str">
        <f t="shared" si="21"/>
        <v/>
      </c>
      <c r="R123" s="51" t="s">
        <v>215</v>
      </c>
      <c r="S123" s="60" t="s">
        <v>209</v>
      </c>
      <c r="T123" s="52" t="str">
        <f t="shared" si="16"/>
        <v>Service commercial</v>
      </c>
      <c r="U123" s="51" t="s">
        <v>361</v>
      </c>
      <c r="V123" s="56" t="str">
        <f t="shared" si="17"/>
        <v>Conforme</v>
      </c>
      <c r="X123" s="57" t="str">
        <f t="shared" si="18"/>
        <v>Frais fixes et divers</v>
      </c>
      <c r="Y123" s="57">
        <f t="shared" si="19"/>
        <v>0</v>
      </c>
      <c r="Z123" s="57">
        <f t="shared" si="22"/>
        <v>55417</v>
      </c>
      <c r="AA123" s="57">
        <f t="shared" si="23"/>
        <v>0</v>
      </c>
      <c r="AB123" s="57">
        <f t="shared" si="20"/>
        <v>0.2</v>
      </c>
      <c r="AC123" s="57" t="str">
        <f t="shared" si="24"/>
        <v/>
      </c>
      <c r="AD123" s="57" t="str">
        <f t="shared" si="25"/>
        <v/>
      </c>
      <c r="AE123" s="57" t="str">
        <f>IF(AND($D123=RelConducteur,$S123="Oui",ISNUMBER($C123),$C123&gt;=RelDebut,$C123&lt;=RelFin),COUNTIFS($D$9:$D123,RelConducteur,$S$9:$S123,"Oui",$C$9:$C123,"&gt;="&amp;RelDebut,$C$9:$C123,"&lt;="&amp;RelFin),"")</f>
        <v/>
      </c>
    </row>
    <row r="124" spans="2:31" ht="18" customHeight="1" x14ac:dyDescent="0.25">
      <c r="B124" s="48">
        <f>IF(C124="","",COUNT($C$9:C124))</f>
        <v>116</v>
      </c>
      <c r="C124" s="49">
        <v>46661</v>
      </c>
      <c r="D124" s="51" t="s">
        <v>133</v>
      </c>
      <c r="E124" s="53">
        <v>55691</v>
      </c>
      <c r="F124" s="51" t="s">
        <v>240</v>
      </c>
      <c r="G124" s="51"/>
      <c r="H124" s="51" t="s">
        <v>241</v>
      </c>
      <c r="I124" s="51" t="s">
        <v>242</v>
      </c>
      <c r="J124" s="59"/>
      <c r="K124" s="60"/>
      <c r="L124" s="61">
        <v>14</v>
      </c>
      <c r="M124" s="62"/>
      <c r="N124" s="63">
        <f t="shared" si="13"/>
        <v>11.666666666666668</v>
      </c>
      <c r="O124" s="64">
        <f t="shared" si="14"/>
        <v>2.3333333333333321</v>
      </c>
      <c r="P124" s="65" t="str">
        <f t="shared" si="15"/>
        <v/>
      </c>
      <c r="Q124" s="66" t="str">
        <f t="shared" si="21"/>
        <v/>
      </c>
      <c r="R124" s="51" t="s">
        <v>210</v>
      </c>
      <c r="S124" s="60" t="s">
        <v>204</v>
      </c>
      <c r="T124" s="52" t="str">
        <f t="shared" si="16"/>
        <v>Service technique</v>
      </c>
      <c r="U124" s="51" t="s">
        <v>362</v>
      </c>
      <c r="V124" s="56" t="str">
        <f t="shared" si="17"/>
        <v>Conforme</v>
      </c>
      <c r="X124" s="57" t="str">
        <f t="shared" si="18"/>
        <v>Frais fixes et divers</v>
      </c>
      <c r="Y124" s="57">
        <f t="shared" si="19"/>
        <v>0</v>
      </c>
      <c r="Z124" s="57">
        <f t="shared" si="22"/>
        <v>55417</v>
      </c>
      <c r="AA124" s="57">
        <f t="shared" si="23"/>
        <v>0</v>
      </c>
      <c r="AB124" s="57">
        <f t="shared" si="20"/>
        <v>0.2</v>
      </c>
      <c r="AC124" s="57" t="str">
        <f t="shared" si="24"/>
        <v/>
      </c>
      <c r="AD124" s="57" t="str">
        <f t="shared" si="25"/>
        <v/>
      </c>
      <c r="AE124" s="57" t="str">
        <f>IF(AND($D124=RelConducteur,$S124="Oui",ISNUMBER($C124),$C124&gt;=RelDebut,$C124&lt;=RelFin),COUNTIFS($D$9:$D124,RelConducteur,$S$9:$S124,"Oui",$C$9:$C124,"&gt;="&amp;RelDebut,$C$9:$C124,"&lt;="&amp;RelFin),"")</f>
        <v/>
      </c>
    </row>
    <row r="125" spans="2:31" ht="18" customHeight="1" x14ac:dyDescent="0.25">
      <c r="B125" s="48">
        <f>IF(C125="","",COUNT($C$9:C125))</f>
        <v>117</v>
      </c>
      <c r="C125" s="49">
        <v>46666</v>
      </c>
      <c r="D125" s="51" t="s">
        <v>139</v>
      </c>
      <c r="E125" s="53">
        <v>55889</v>
      </c>
      <c r="F125" s="51" t="s">
        <v>212</v>
      </c>
      <c r="G125" s="51"/>
      <c r="H125" s="51" t="s">
        <v>213</v>
      </c>
      <c r="I125" s="51" t="s">
        <v>271</v>
      </c>
      <c r="J125" s="59"/>
      <c r="K125" s="60"/>
      <c r="L125" s="61">
        <v>5.2</v>
      </c>
      <c r="M125" s="62"/>
      <c r="N125" s="63">
        <f t="shared" si="13"/>
        <v>4.3333333333333339</v>
      </c>
      <c r="O125" s="64">
        <f t="shared" si="14"/>
        <v>0.86666666666666625</v>
      </c>
      <c r="P125" s="65" t="str">
        <f t="shared" si="15"/>
        <v/>
      </c>
      <c r="Q125" s="66" t="str">
        <f t="shared" si="21"/>
        <v/>
      </c>
      <c r="R125" s="51" t="s">
        <v>210</v>
      </c>
      <c r="S125" s="60" t="s">
        <v>204</v>
      </c>
      <c r="T125" s="52" t="str">
        <f t="shared" si="16"/>
        <v>Service technique</v>
      </c>
      <c r="U125" s="51" t="s">
        <v>363</v>
      </c>
      <c r="V125" s="56" t="str">
        <f t="shared" si="17"/>
        <v>Conforme</v>
      </c>
      <c r="X125" s="57" t="str">
        <f t="shared" si="18"/>
        <v>Frais fixes et divers</v>
      </c>
      <c r="Y125" s="57">
        <f t="shared" si="19"/>
        <v>0</v>
      </c>
      <c r="Z125" s="57">
        <f t="shared" si="22"/>
        <v>55417</v>
      </c>
      <c r="AA125" s="57">
        <f t="shared" si="23"/>
        <v>0</v>
      </c>
      <c r="AB125" s="57">
        <f t="shared" si="20"/>
        <v>0.2</v>
      </c>
      <c r="AC125" s="57" t="str">
        <f t="shared" si="24"/>
        <v/>
      </c>
      <c r="AD125" s="57" t="str">
        <f t="shared" si="25"/>
        <v/>
      </c>
      <c r="AE125" s="57" t="str">
        <f>IF(AND($D125=RelConducteur,$S125="Oui",ISNUMBER($C125),$C125&gt;=RelDebut,$C125&lt;=RelFin),COUNTIFS($D$9:$D125,RelConducteur,$S$9:$S125,"Oui",$C$9:$C125,"&gt;="&amp;RelDebut,$C$9:$C125,"&lt;="&amp;RelFin),"")</f>
        <v/>
      </c>
    </row>
    <row r="126" spans="2:31" ht="18" customHeight="1" x14ac:dyDescent="0.25">
      <c r="B126" s="48">
        <f>IF(C126="","",COUNT($C$9:C126))</f>
        <v>118</v>
      </c>
      <c r="C126" s="49">
        <v>46666</v>
      </c>
      <c r="D126" s="51" t="s">
        <v>133</v>
      </c>
      <c r="E126" s="53">
        <v>55940</v>
      </c>
      <c r="F126" s="51" t="s">
        <v>206</v>
      </c>
      <c r="G126" s="51"/>
      <c r="H126" s="51" t="s">
        <v>226</v>
      </c>
      <c r="I126" s="51" t="s">
        <v>208</v>
      </c>
      <c r="J126" s="59">
        <v>35.01</v>
      </c>
      <c r="K126" s="60" t="s">
        <v>209</v>
      </c>
      <c r="L126" s="61">
        <v>61.44</v>
      </c>
      <c r="M126" s="62"/>
      <c r="N126" s="63">
        <f t="shared" si="13"/>
        <v>51.2</v>
      </c>
      <c r="O126" s="64">
        <f t="shared" si="14"/>
        <v>10.239999999999995</v>
      </c>
      <c r="P126" s="65">
        <f t="shared" si="15"/>
        <v>1.7549271636675237</v>
      </c>
      <c r="Q126" s="66">
        <f t="shared" si="21"/>
        <v>6.694072657743785</v>
      </c>
      <c r="R126" s="51" t="s">
        <v>210</v>
      </c>
      <c r="S126" s="60" t="s">
        <v>204</v>
      </c>
      <c r="T126" s="52" t="str">
        <f t="shared" si="16"/>
        <v>Service technique</v>
      </c>
      <c r="U126" s="51" t="s">
        <v>364</v>
      </c>
      <c r="V126" s="56" t="str">
        <f t="shared" si="17"/>
        <v>Conforme</v>
      </c>
      <c r="X126" s="57" t="str">
        <f t="shared" si="18"/>
        <v>Énergie</v>
      </c>
      <c r="Y126" s="57">
        <f t="shared" si="19"/>
        <v>1</v>
      </c>
      <c r="Z126" s="57">
        <f t="shared" si="22"/>
        <v>55940</v>
      </c>
      <c r="AA126" s="57">
        <f t="shared" si="23"/>
        <v>0</v>
      </c>
      <c r="AB126" s="57">
        <f t="shared" si="20"/>
        <v>0.2</v>
      </c>
      <c r="AC126" s="57">
        <f t="shared" si="24"/>
        <v>523</v>
      </c>
      <c r="AD126" s="57">
        <f t="shared" si="25"/>
        <v>35.01</v>
      </c>
      <c r="AE126" s="57" t="str">
        <f>IF(AND($D126=RelConducteur,$S126="Oui",ISNUMBER($C126),$C126&gt;=RelDebut,$C126&lt;=RelFin),COUNTIFS($D$9:$D126,RelConducteur,$S$9:$S126,"Oui",$C$9:$C126,"&gt;="&amp;RelDebut,$C$9:$C126,"&lt;="&amp;RelFin),"")</f>
        <v/>
      </c>
    </row>
    <row r="127" spans="2:31" ht="18" customHeight="1" x14ac:dyDescent="0.25">
      <c r="B127" s="48">
        <f>IF(C127="","",COUNT($C$9:C127))</f>
        <v>119</v>
      </c>
      <c r="C127" s="49">
        <v>46672</v>
      </c>
      <c r="D127" s="51" t="s">
        <v>139</v>
      </c>
      <c r="E127" s="53">
        <v>56244</v>
      </c>
      <c r="F127" s="51" t="s">
        <v>212</v>
      </c>
      <c r="G127" s="51"/>
      <c r="H127" s="51" t="s">
        <v>213</v>
      </c>
      <c r="I127" s="51" t="s">
        <v>271</v>
      </c>
      <c r="J127" s="59"/>
      <c r="K127" s="60"/>
      <c r="L127" s="61">
        <v>5.2</v>
      </c>
      <c r="M127" s="62"/>
      <c r="N127" s="63">
        <f t="shared" si="13"/>
        <v>4.3333333333333339</v>
      </c>
      <c r="O127" s="64">
        <f t="shared" si="14"/>
        <v>0.86666666666666625</v>
      </c>
      <c r="P127" s="65" t="str">
        <f t="shared" si="15"/>
        <v/>
      </c>
      <c r="Q127" s="66" t="str">
        <f t="shared" si="21"/>
        <v/>
      </c>
      <c r="R127" s="51" t="s">
        <v>210</v>
      </c>
      <c r="S127" s="60" t="s">
        <v>204</v>
      </c>
      <c r="T127" s="52" t="str">
        <f t="shared" si="16"/>
        <v>Service technique</v>
      </c>
      <c r="U127" s="51" t="s">
        <v>365</v>
      </c>
      <c r="V127" s="56" t="str">
        <f t="shared" si="17"/>
        <v>Conforme</v>
      </c>
      <c r="X127" s="57" t="str">
        <f t="shared" si="18"/>
        <v>Frais fixes et divers</v>
      </c>
      <c r="Y127" s="57">
        <f t="shared" si="19"/>
        <v>0</v>
      </c>
      <c r="Z127" s="57">
        <f t="shared" si="22"/>
        <v>55940</v>
      </c>
      <c r="AA127" s="57">
        <f t="shared" si="23"/>
        <v>0</v>
      </c>
      <c r="AB127" s="57">
        <f t="shared" si="20"/>
        <v>0.2</v>
      </c>
      <c r="AC127" s="57" t="str">
        <f t="shared" si="24"/>
        <v/>
      </c>
      <c r="AD127" s="57" t="str">
        <f t="shared" si="25"/>
        <v/>
      </c>
      <c r="AE127" s="57" t="str">
        <f>IF(AND($D127=RelConducteur,$S127="Oui",ISNUMBER($C127),$C127&gt;=RelDebut,$C127&lt;=RelFin),COUNTIFS($D$9:$D127,RelConducteur,$S$9:$S127,"Oui",$C$9:$C127,"&gt;="&amp;RelDebut,$C$9:$C127,"&lt;="&amp;RelFin),"")</f>
        <v/>
      </c>
    </row>
    <row r="128" spans="2:31" ht="18" customHeight="1" x14ac:dyDescent="0.25">
      <c r="B128" s="48">
        <f>IF(C128="","",COUNT($C$9:C128))</f>
        <v>120</v>
      </c>
      <c r="C128" s="49">
        <v>46672</v>
      </c>
      <c r="D128" s="51" t="s">
        <v>148</v>
      </c>
      <c r="E128" s="53">
        <v>56387</v>
      </c>
      <c r="F128" s="51" t="s">
        <v>212</v>
      </c>
      <c r="G128" s="51"/>
      <c r="H128" s="51" t="s">
        <v>213</v>
      </c>
      <c r="I128" s="51" t="s">
        <v>222</v>
      </c>
      <c r="J128" s="59"/>
      <c r="K128" s="60"/>
      <c r="L128" s="61">
        <v>14.6</v>
      </c>
      <c r="M128" s="62"/>
      <c r="N128" s="63">
        <f t="shared" si="13"/>
        <v>12.166666666666666</v>
      </c>
      <c r="O128" s="64">
        <f t="shared" si="14"/>
        <v>2.4333333333333336</v>
      </c>
      <c r="P128" s="65" t="str">
        <f t="shared" si="15"/>
        <v/>
      </c>
      <c r="Q128" s="66" t="str">
        <f t="shared" si="21"/>
        <v/>
      </c>
      <c r="R128" s="51" t="s">
        <v>215</v>
      </c>
      <c r="S128" s="60" t="s">
        <v>209</v>
      </c>
      <c r="T128" s="52" t="str">
        <f t="shared" si="16"/>
        <v>Service commercial</v>
      </c>
      <c r="U128" s="51" t="s">
        <v>366</v>
      </c>
      <c r="V128" s="56" t="str">
        <f t="shared" si="17"/>
        <v>Conforme</v>
      </c>
      <c r="X128" s="57" t="str">
        <f t="shared" si="18"/>
        <v>Frais fixes et divers</v>
      </c>
      <c r="Y128" s="57">
        <f t="shared" si="19"/>
        <v>0</v>
      </c>
      <c r="Z128" s="57">
        <f t="shared" si="22"/>
        <v>55940</v>
      </c>
      <c r="AA128" s="57">
        <f t="shared" si="23"/>
        <v>0</v>
      </c>
      <c r="AB128" s="57">
        <f t="shared" si="20"/>
        <v>0.2</v>
      </c>
      <c r="AC128" s="57" t="str">
        <f t="shared" si="24"/>
        <v/>
      </c>
      <c r="AD128" s="57" t="str">
        <f t="shared" si="25"/>
        <v/>
      </c>
      <c r="AE128" s="57" t="str">
        <f>IF(AND($D128=RelConducteur,$S128="Oui",ISNUMBER($C128),$C128&gt;=RelDebut,$C128&lt;=RelFin),COUNTIFS($D$9:$D128,RelConducteur,$S$9:$S128,"Oui",$C$9:$C128,"&gt;="&amp;RelDebut,$C$9:$C128,"&lt;="&amp;RelFin),"")</f>
        <v/>
      </c>
    </row>
    <row r="129" spans="2:31" ht="18" customHeight="1" x14ac:dyDescent="0.25">
      <c r="B129" s="48">
        <f>IF(C129="","",COUNT($C$9:C129))</f>
        <v>121</v>
      </c>
      <c r="C129" s="49">
        <v>46674</v>
      </c>
      <c r="D129" s="51" t="s">
        <v>139</v>
      </c>
      <c r="E129" s="53">
        <v>56470</v>
      </c>
      <c r="F129" s="51" t="s">
        <v>206</v>
      </c>
      <c r="G129" s="51"/>
      <c r="H129" s="51" t="s">
        <v>261</v>
      </c>
      <c r="I129" s="51" t="s">
        <v>208</v>
      </c>
      <c r="J129" s="59">
        <v>36.950000000000003</v>
      </c>
      <c r="K129" s="60" t="s">
        <v>209</v>
      </c>
      <c r="L129" s="61">
        <v>63.3</v>
      </c>
      <c r="M129" s="62"/>
      <c r="N129" s="63">
        <f t="shared" si="13"/>
        <v>52.75</v>
      </c>
      <c r="O129" s="64">
        <f t="shared" si="14"/>
        <v>10.549999999999997</v>
      </c>
      <c r="P129" s="65">
        <f t="shared" si="15"/>
        <v>1.7131258457374829</v>
      </c>
      <c r="Q129" s="66">
        <f t="shared" si="21"/>
        <v>6.9716981132075473</v>
      </c>
      <c r="R129" s="51" t="s">
        <v>210</v>
      </c>
      <c r="S129" s="60" t="s">
        <v>204</v>
      </c>
      <c r="T129" s="52" t="str">
        <f t="shared" si="16"/>
        <v>Service technique</v>
      </c>
      <c r="U129" s="51" t="s">
        <v>367</v>
      </c>
      <c r="V129" s="56" t="str">
        <f t="shared" si="17"/>
        <v>Conforme</v>
      </c>
      <c r="X129" s="57" t="str">
        <f t="shared" si="18"/>
        <v>Énergie</v>
      </c>
      <c r="Y129" s="57">
        <f t="shared" si="19"/>
        <v>1</v>
      </c>
      <c r="Z129" s="57">
        <f t="shared" si="22"/>
        <v>56470</v>
      </c>
      <c r="AA129" s="57">
        <f t="shared" si="23"/>
        <v>0</v>
      </c>
      <c r="AB129" s="57">
        <f t="shared" si="20"/>
        <v>0.2</v>
      </c>
      <c r="AC129" s="57">
        <f t="shared" si="24"/>
        <v>530</v>
      </c>
      <c r="AD129" s="57">
        <f t="shared" si="25"/>
        <v>36.950000000000003</v>
      </c>
      <c r="AE129" s="57" t="str">
        <f>IF(AND($D129=RelConducteur,$S129="Oui",ISNUMBER($C129),$C129&gt;=RelDebut,$C129&lt;=RelFin),COUNTIFS($D$9:$D129,RelConducteur,$S$9:$S129,"Oui",$C$9:$C129,"&gt;="&amp;RelDebut,$C$9:$C129,"&lt;="&amp;RelFin),"")</f>
        <v/>
      </c>
    </row>
    <row r="130" spans="2:31" ht="18" customHeight="1" x14ac:dyDescent="0.25">
      <c r="B130" s="48">
        <f>IF(C130="","",COUNT($C$9:C130))</f>
        <v>122</v>
      </c>
      <c r="C130" s="49">
        <v>46675</v>
      </c>
      <c r="D130" s="51" t="s">
        <v>133</v>
      </c>
      <c r="E130" s="53">
        <v>56566</v>
      </c>
      <c r="F130" s="51" t="s">
        <v>212</v>
      </c>
      <c r="G130" s="51"/>
      <c r="H130" s="51" t="s">
        <v>213</v>
      </c>
      <c r="I130" s="51" t="s">
        <v>278</v>
      </c>
      <c r="J130" s="59"/>
      <c r="K130" s="60"/>
      <c r="L130" s="61">
        <v>7.8</v>
      </c>
      <c r="M130" s="62"/>
      <c r="N130" s="63">
        <f t="shared" si="13"/>
        <v>6.5</v>
      </c>
      <c r="O130" s="64">
        <f t="shared" si="14"/>
        <v>1.2999999999999998</v>
      </c>
      <c r="P130" s="65" t="str">
        <f t="shared" si="15"/>
        <v/>
      </c>
      <c r="Q130" s="66" t="str">
        <f t="shared" si="21"/>
        <v/>
      </c>
      <c r="R130" s="51" t="s">
        <v>210</v>
      </c>
      <c r="S130" s="60" t="s">
        <v>204</v>
      </c>
      <c r="T130" s="52" t="str">
        <f t="shared" si="16"/>
        <v>Service technique</v>
      </c>
      <c r="U130" s="51" t="s">
        <v>368</v>
      </c>
      <c r="V130" s="56" t="str">
        <f t="shared" si="17"/>
        <v>Conforme</v>
      </c>
      <c r="X130" s="57" t="str">
        <f t="shared" si="18"/>
        <v>Frais fixes et divers</v>
      </c>
      <c r="Y130" s="57">
        <f t="shared" si="19"/>
        <v>0</v>
      </c>
      <c r="Z130" s="57">
        <f t="shared" si="22"/>
        <v>56470</v>
      </c>
      <c r="AA130" s="57">
        <f t="shared" si="23"/>
        <v>0</v>
      </c>
      <c r="AB130" s="57">
        <f t="shared" si="20"/>
        <v>0.2</v>
      </c>
      <c r="AC130" s="57" t="str">
        <f t="shared" si="24"/>
        <v/>
      </c>
      <c r="AD130" s="57" t="str">
        <f t="shared" si="25"/>
        <v/>
      </c>
      <c r="AE130" s="57" t="str">
        <f>IF(AND($D130=RelConducteur,$S130="Oui",ISNUMBER($C130),$C130&gt;=RelDebut,$C130&lt;=RelFin),COUNTIFS($D$9:$D130,RelConducteur,$S$9:$S130,"Oui",$C$9:$C130,"&gt;="&amp;RelDebut,$C$9:$C130,"&lt;="&amp;RelFin),"")</f>
        <v/>
      </c>
    </row>
    <row r="131" spans="2:31" ht="18" customHeight="1" x14ac:dyDescent="0.25">
      <c r="B131" s="48">
        <f>IF(C131="","",COUNT($C$9:C131))</f>
        <v>123</v>
      </c>
      <c r="C131" s="49">
        <v>46680</v>
      </c>
      <c r="D131" s="51" t="s">
        <v>148</v>
      </c>
      <c r="E131" s="53">
        <v>57049</v>
      </c>
      <c r="F131" s="51" t="s">
        <v>206</v>
      </c>
      <c r="G131" s="51"/>
      <c r="H131" s="51" t="s">
        <v>309</v>
      </c>
      <c r="I131" s="51" t="s">
        <v>208</v>
      </c>
      <c r="J131" s="59">
        <v>41.33</v>
      </c>
      <c r="K131" s="60" t="s">
        <v>209</v>
      </c>
      <c r="L131" s="61">
        <v>70.63</v>
      </c>
      <c r="M131" s="62"/>
      <c r="N131" s="63">
        <f t="shared" si="13"/>
        <v>58.858333333333334</v>
      </c>
      <c r="O131" s="64">
        <f t="shared" si="14"/>
        <v>11.771666666666661</v>
      </c>
      <c r="P131" s="65">
        <f t="shared" si="15"/>
        <v>1.7089281393660778</v>
      </c>
      <c r="Q131" s="66">
        <f t="shared" si="21"/>
        <v>7.138169257340242</v>
      </c>
      <c r="R131" s="51" t="s">
        <v>210</v>
      </c>
      <c r="S131" s="60" t="s">
        <v>204</v>
      </c>
      <c r="T131" s="52" t="str">
        <f t="shared" si="16"/>
        <v>Service commercial</v>
      </c>
      <c r="U131" s="51" t="s">
        <v>369</v>
      </c>
      <c r="V131" s="56" t="str">
        <f t="shared" si="17"/>
        <v>Conforme</v>
      </c>
      <c r="X131" s="57" t="str">
        <f t="shared" si="18"/>
        <v>Énergie</v>
      </c>
      <c r="Y131" s="57">
        <f t="shared" si="19"/>
        <v>1</v>
      </c>
      <c r="Z131" s="57">
        <f t="shared" si="22"/>
        <v>57049</v>
      </c>
      <c r="AA131" s="57">
        <f t="shared" si="23"/>
        <v>0</v>
      </c>
      <c r="AB131" s="57">
        <f t="shared" si="20"/>
        <v>0.2</v>
      </c>
      <c r="AC131" s="57">
        <f t="shared" si="24"/>
        <v>579</v>
      </c>
      <c r="AD131" s="57">
        <f t="shared" si="25"/>
        <v>41.33</v>
      </c>
      <c r="AE131" s="57" t="str">
        <f>IF(AND($D131=RelConducteur,$S131="Oui",ISNUMBER($C131),$C131&gt;=RelDebut,$C131&lt;=RelFin),COUNTIFS($D$9:$D131,RelConducteur,$S$9:$S131,"Oui",$C$9:$C131,"&gt;="&amp;RelDebut,$C$9:$C131,"&lt;="&amp;RelFin),"")</f>
        <v/>
      </c>
    </row>
    <row r="132" spans="2:31" ht="18" customHeight="1" x14ac:dyDescent="0.25">
      <c r="B132" s="48">
        <f>IF(C132="","",COUNT($C$9:C132))</f>
        <v>124</v>
      </c>
      <c r="C132" s="49">
        <v>46680</v>
      </c>
      <c r="D132" s="51" t="s">
        <v>148</v>
      </c>
      <c r="E132" s="53">
        <v>57049</v>
      </c>
      <c r="F132" s="51" t="s">
        <v>212</v>
      </c>
      <c r="G132" s="51"/>
      <c r="H132" s="51" t="s">
        <v>213</v>
      </c>
      <c r="I132" s="51" t="s">
        <v>222</v>
      </c>
      <c r="J132" s="59"/>
      <c r="K132" s="60"/>
      <c r="L132" s="61">
        <v>14.6</v>
      </c>
      <c r="M132" s="62"/>
      <c r="N132" s="63">
        <f t="shared" si="13"/>
        <v>12.166666666666666</v>
      </c>
      <c r="O132" s="64">
        <f t="shared" si="14"/>
        <v>2.4333333333333336</v>
      </c>
      <c r="P132" s="65" t="str">
        <f t="shared" si="15"/>
        <v/>
      </c>
      <c r="Q132" s="66" t="str">
        <f t="shared" si="21"/>
        <v/>
      </c>
      <c r="R132" s="51" t="s">
        <v>215</v>
      </c>
      <c r="S132" s="60" t="s">
        <v>209</v>
      </c>
      <c r="T132" s="52" t="str">
        <f t="shared" si="16"/>
        <v>Service commercial</v>
      </c>
      <c r="U132" s="51" t="s">
        <v>370</v>
      </c>
      <c r="V132" s="56" t="str">
        <f t="shared" si="17"/>
        <v>Conforme</v>
      </c>
      <c r="X132" s="57" t="str">
        <f t="shared" si="18"/>
        <v>Frais fixes et divers</v>
      </c>
      <c r="Y132" s="57">
        <f t="shared" si="19"/>
        <v>0</v>
      </c>
      <c r="Z132" s="57">
        <f t="shared" si="22"/>
        <v>57049</v>
      </c>
      <c r="AA132" s="57">
        <f t="shared" si="23"/>
        <v>0</v>
      </c>
      <c r="AB132" s="57">
        <f t="shared" si="20"/>
        <v>0.2</v>
      </c>
      <c r="AC132" s="57" t="str">
        <f t="shared" si="24"/>
        <v/>
      </c>
      <c r="AD132" s="57" t="str">
        <f t="shared" si="25"/>
        <v/>
      </c>
      <c r="AE132" s="57" t="str">
        <f>IF(AND($D132=RelConducteur,$S132="Oui",ISNUMBER($C132),$C132&gt;=RelDebut,$C132&lt;=RelFin),COUNTIFS($D$9:$D132,RelConducteur,$S$9:$S132,"Oui",$C$9:$C132,"&gt;="&amp;RelDebut,$C$9:$C132,"&lt;="&amp;RelFin),"")</f>
        <v/>
      </c>
    </row>
    <row r="133" spans="2:31" ht="18" customHeight="1" x14ac:dyDescent="0.25">
      <c r="B133" s="48">
        <f>IF(C133="","",COUNT($C$9:C133))</f>
        <v>125</v>
      </c>
      <c r="C133" s="49">
        <v>46682</v>
      </c>
      <c r="D133" s="51" t="s">
        <v>148</v>
      </c>
      <c r="E133" s="53">
        <v>57286</v>
      </c>
      <c r="F133" s="51" t="s">
        <v>212</v>
      </c>
      <c r="G133" s="51"/>
      <c r="H133" s="51" t="s">
        <v>213</v>
      </c>
      <c r="I133" s="51" t="s">
        <v>224</v>
      </c>
      <c r="J133" s="59"/>
      <c r="K133" s="60"/>
      <c r="L133" s="61">
        <v>19.8</v>
      </c>
      <c r="M133" s="62"/>
      <c r="N133" s="63">
        <f t="shared" si="13"/>
        <v>16.5</v>
      </c>
      <c r="O133" s="64">
        <f t="shared" si="14"/>
        <v>3.3000000000000007</v>
      </c>
      <c r="P133" s="65" t="str">
        <f t="shared" si="15"/>
        <v/>
      </c>
      <c r="Q133" s="66" t="str">
        <f t="shared" si="21"/>
        <v/>
      </c>
      <c r="R133" s="51" t="s">
        <v>215</v>
      </c>
      <c r="S133" s="60" t="s">
        <v>209</v>
      </c>
      <c r="T133" s="52" t="str">
        <f t="shared" si="16"/>
        <v>Service commercial</v>
      </c>
      <c r="U133" s="51" t="s">
        <v>371</v>
      </c>
      <c r="V133" s="56" t="str">
        <f t="shared" si="17"/>
        <v>Conforme</v>
      </c>
      <c r="X133" s="57" t="str">
        <f t="shared" si="18"/>
        <v>Frais fixes et divers</v>
      </c>
      <c r="Y133" s="57">
        <f t="shared" si="19"/>
        <v>0</v>
      </c>
      <c r="Z133" s="57">
        <f t="shared" si="22"/>
        <v>57049</v>
      </c>
      <c r="AA133" s="57">
        <f t="shared" si="23"/>
        <v>0</v>
      </c>
      <c r="AB133" s="57">
        <f t="shared" si="20"/>
        <v>0.2</v>
      </c>
      <c r="AC133" s="57" t="str">
        <f t="shared" si="24"/>
        <v/>
      </c>
      <c r="AD133" s="57" t="str">
        <f t="shared" si="25"/>
        <v/>
      </c>
      <c r="AE133" s="57" t="str">
        <f>IF(AND($D133=RelConducteur,$S133="Oui",ISNUMBER($C133),$C133&gt;=RelDebut,$C133&lt;=RelFin),COUNTIFS($D$9:$D133,RelConducteur,$S$9:$S133,"Oui",$C$9:$C133,"&gt;="&amp;RelDebut,$C$9:$C133,"&lt;="&amp;RelFin),"")</f>
        <v/>
      </c>
    </row>
    <row r="134" spans="2:31" ht="18" customHeight="1" x14ac:dyDescent="0.25">
      <c r="B134" s="48">
        <f>IF(C134="","",COUNT($C$9:C134))</f>
        <v>126</v>
      </c>
      <c r="C134" s="49">
        <v>46682</v>
      </c>
      <c r="D134" s="51" t="s">
        <v>148</v>
      </c>
      <c r="E134" s="53">
        <v>57286</v>
      </c>
      <c r="F134" s="51" t="s">
        <v>217</v>
      </c>
      <c r="G134" s="51"/>
      <c r="H134" s="51" t="s">
        <v>248</v>
      </c>
      <c r="I134" s="51" t="s">
        <v>219</v>
      </c>
      <c r="J134" s="59"/>
      <c r="K134" s="60"/>
      <c r="L134" s="61">
        <v>6.4</v>
      </c>
      <c r="M134" s="62"/>
      <c r="N134" s="63">
        <f t="shared" si="13"/>
        <v>5.3333333333333339</v>
      </c>
      <c r="O134" s="64">
        <f t="shared" si="14"/>
        <v>1.0666666666666664</v>
      </c>
      <c r="P134" s="65" t="str">
        <f t="shared" si="15"/>
        <v/>
      </c>
      <c r="Q134" s="66" t="str">
        <f t="shared" si="21"/>
        <v/>
      </c>
      <c r="R134" s="51" t="s">
        <v>215</v>
      </c>
      <c r="S134" s="60" t="s">
        <v>209</v>
      </c>
      <c r="T134" s="52" t="str">
        <f t="shared" si="16"/>
        <v>Service commercial</v>
      </c>
      <c r="U134" s="51" t="s">
        <v>372</v>
      </c>
      <c r="V134" s="56" t="str">
        <f t="shared" si="17"/>
        <v>Conforme</v>
      </c>
      <c r="X134" s="57" t="str">
        <f t="shared" si="18"/>
        <v>Frais fixes et divers</v>
      </c>
      <c r="Y134" s="57">
        <f t="shared" si="19"/>
        <v>0</v>
      </c>
      <c r="Z134" s="57">
        <f t="shared" si="22"/>
        <v>57049</v>
      </c>
      <c r="AA134" s="57">
        <f t="shared" si="23"/>
        <v>0</v>
      </c>
      <c r="AB134" s="57">
        <f t="shared" si="20"/>
        <v>0.2</v>
      </c>
      <c r="AC134" s="57" t="str">
        <f t="shared" si="24"/>
        <v/>
      </c>
      <c r="AD134" s="57" t="str">
        <f t="shared" si="25"/>
        <v/>
      </c>
      <c r="AE134" s="57" t="str">
        <f>IF(AND($D134=RelConducteur,$S134="Oui",ISNUMBER($C134),$C134&gt;=RelDebut,$C134&lt;=RelFin),COUNTIFS($D$9:$D134,RelConducteur,$S$9:$S134,"Oui",$C$9:$C134,"&gt;="&amp;RelDebut,$C$9:$C134,"&lt;="&amp;RelFin),"")</f>
        <v/>
      </c>
    </row>
    <row r="135" spans="2:31" ht="18" customHeight="1" x14ac:dyDescent="0.25">
      <c r="B135" s="48">
        <f>IF(C135="","",COUNT($C$9:C135))</f>
        <v>127</v>
      </c>
      <c r="C135" s="49">
        <v>46685</v>
      </c>
      <c r="D135" s="51" t="s">
        <v>133</v>
      </c>
      <c r="E135" s="53">
        <v>57376</v>
      </c>
      <c r="F135" s="51" t="s">
        <v>212</v>
      </c>
      <c r="G135" s="51"/>
      <c r="H135" s="51" t="s">
        <v>213</v>
      </c>
      <c r="I135" s="51" t="s">
        <v>278</v>
      </c>
      <c r="J135" s="59"/>
      <c r="K135" s="60"/>
      <c r="L135" s="61">
        <v>7.8</v>
      </c>
      <c r="M135" s="62"/>
      <c r="N135" s="63">
        <f t="shared" si="13"/>
        <v>6.5</v>
      </c>
      <c r="O135" s="64">
        <f t="shared" si="14"/>
        <v>1.2999999999999998</v>
      </c>
      <c r="P135" s="65" t="str">
        <f t="shared" si="15"/>
        <v/>
      </c>
      <c r="Q135" s="66" t="str">
        <f t="shared" si="21"/>
        <v/>
      </c>
      <c r="R135" s="51" t="s">
        <v>210</v>
      </c>
      <c r="S135" s="60" t="s">
        <v>204</v>
      </c>
      <c r="T135" s="52" t="str">
        <f t="shared" si="16"/>
        <v>Service technique</v>
      </c>
      <c r="U135" s="51" t="s">
        <v>373</v>
      </c>
      <c r="V135" s="56" t="str">
        <f t="shared" si="17"/>
        <v>Conforme</v>
      </c>
      <c r="X135" s="57" t="str">
        <f t="shared" si="18"/>
        <v>Frais fixes et divers</v>
      </c>
      <c r="Y135" s="57">
        <f t="shared" si="19"/>
        <v>0</v>
      </c>
      <c r="Z135" s="57">
        <f t="shared" si="22"/>
        <v>57049</v>
      </c>
      <c r="AA135" s="57">
        <f t="shared" si="23"/>
        <v>0</v>
      </c>
      <c r="AB135" s="57">
        <f t="shared" si="20"/>
        <v>0.2</v>
      </c>
      <c r="AC135" s="57" t="str">
        <f t="shared" si="24"/>
        <v/>
      </c>
      <c r="AD135" s="57" t="str">
        <f t="shared" si="25"/>
        <v/>
      </c>
      <c r="AE135" s="57" t="str">
        <f>IF(AND($D135=RelConducteur,$S135="Oui",ISNUMBER($C135),$C135&gt;=RelDebut,$C135&lt;=RelFin),COUNTIFS($D$9:$D135,RelConducteur,$S$9:$S135,"Oui",$C$9:$C135,"&gt;="&amp;RelDebut,$C$9:$C135,"&lt;="&amp;RelFin),"")</f>
        <v/>
      </c>
    </row>
    <row r="136" spans="2:31" ht="18" customHeight="1" x14ac:dyDescent="0.25">
      <c r="B136" s="48">
        <f>IF(C136="","",COUNT($C$9:C136))</f>
        <v>128</v>
      </c>
      <c r="C136" s="49">
        <v>46685</v>
      </c>
      <c r="D136" s="51" t="s">
        <v>148</v>
      </c>
      <c r="E136" s="53">
        <v>57376</v>
      </c>
      <c r="F136" s="51" t="s">
        <v>206</v>
      </c>
      <c r="G136" s="51"/>
      <c r="H136" s="51" t="s">
        <v>226</v>
      </c>
      <c r="I136" s="51" t="s">
        <v>208</v>
      </c>
      <c r="J136" s="59">
        <v>23.84</v>
      </c>
      <c r="K136" s="60" t="s">
        <v>209</v>
      </c>
      <c r="L136" s="61">
        <v>41.39</v>
      </c>
      <c r="M136" s="62"/>
      <c r="N136" s="63">
        <f t="shared" si="13"/>
        <v>34.491666666666667</v>
      </c>
      <c r="O136" s="64">
        <f t="shared" si="14"/>
        <v>6.8983333333333334</v>
      </c>
      <c r="P136" s="65">
        <f t="shared" si="15"/>
        <v>1.7361577181208054</v>
      </c>
      <c r="Q136" s="66">
        <f t="shared" si="21"/>
        <v>7.2905198776758411</v>
      </c>
      <c r="R136" s="51" t="s">
        <v>210</v>
      </c>
      <c r="S136" s="60" t="s">
        <v>204</v>
      </c>
      <c r="T136" s="52" t="str">
        <f t="shared" si="16"/>
        <v>Service commercial</v>
      </c>
      <c r="U136" s="51" t="s">
        <v>374</v>
      </c>
      <c r="V136" s="56" t="str">
        <f t="shared" si="17"/>
        <v>Conforme</v>
      </c>
      <c r="X136" s="57" t="str">
        <f t="shared" si="18"/>
        <v>Énergie</v>
      </c>
      <c r="Y136" s="57">
        <f t="shared" si="19"/>
        <v>1</v>
      </c>
      <c r="Z136" s="57">
        <f t="shared" si="22"/>
        <v>57376</v>
      </c>
      <c r="AA136" s="57">
        <f t="shared" si="23"/>
        <v>0</v>
      </c>
      <c r="AB136" s="57">
        <f t="shared" si="20"/>
        <v>0.2</v>
      </c>
      <c r="AC136" s="57">
        <f t="shared" si="24"/>
        <v>327</v>
      </c>
      <c r="AD136" s="57">
        <f t="shared" si="25"/>
        <v>23.84</v>
      </c>
      <c r="AE136" s="57" t="str">
        <f>IF(AND($D136=RelConducteur,$S136="Oui",ISNUMBER($C136),$C136&gt;=RelDebut,$C136&lt;=RelFin),COUNTIFS($D$9:$D136,RelConducteur,$S$9:$S136,"Oui",$C$9:$C136,"&gt;="&amp;RelDebut,$C$9:$C136,"&lt;="&amp;RelFin),"")</f>
        <v/>
      </c>
    </row>
    <row r="137" spans="2:31" ht="18" customHeight="1" x14ac:dyDescent="0.25">
      <c r="B137" s="48">
        <f>IF(C137="","",COUNT($C$9:C137))</f>
        <v>129</v>
      </c>
      <c r="C137" s="49">
        <v>46685</v>
      </c>
      <c r="D137" s="51" t="s">
        <v>148</v>
      </c>
      <c r="E137" s="53">
        <v>57652</v>
      </c>
      <c r="F137" s="51" t="s">
        <v>212</v>
      </c>
      <c r="G137" s="51"/>
      <c r="H137" s="51" t="s">
        <v>213</v>
      </c>
      <c r="I137" s="51" t="s">
        <v>214</v>
      </c>
      <c r="J137" s="59"/>
      <c r="K137" s="60"/>
      <c r="L137" s="61">
        <v>27.4</v>
      </c>
      <c r="M137" s="62"/>
      <c r="N137" s="63">
        <f t="shared" ref="N137:N200" si="26">IF(L137="","",L137/(1+AB137))</f>
        <v>22.833333333333332</v>
      </c>
      <c r="O137" s="64">
        <f t="shared" ref="O137:O200" si="27">IF(L137="","",L137-N137)</f>
        <v>4.5666666666666664</v>
      </c>
      <c r="P137" s="65" t="str">
        <f t="shared" ref="P137:P200" si="28">IF(AND(Y137=1,N(J137)&gt;0,ISNUMBER(L137)),L137/J137,"")</f>
        <v/>
      </c>
      <c r="Q137" s="66" t="str">
        <f t="shared" si="21"/>
        <v/>
      </c>
      <c r="R137" s="51" t="s">
        <v>215</v>
      </c>
      <c r="S137" s="60" t="s">
        <v>209</v>
      </c>
      <c r="T137" s="52" t="str">
        <f t="shared" ref="T137:T200" si="29">IF(C137="","",IF(D137="","Non affecté",IFERROR(INDEX(CondService,MATCH(D137,CondNoms,0))&amp;"","Non affecté")))</f>
        <v>Service commercial</v>
      </c>
      <c r="U137" s="51" t="s">
        <v>375</v>
      </c>
      <c r="V137" s="56" t="str">
        <f t="shared" ref="V137:V200" si="30">IF(C137="","",IF(OR(F137="",L137=""),"Incomplet",IF(X137="Catégorie inconnue","Catégorie inconnue",IF(AND(Y137=1,OR(E137="",J137="",K137="")),"Plein incomplet",IF(AND(ISNUMBER(E137),E137&lt;N(KmOuverture)),"Compteur &lt; ouverture",IF(AND(Y137=1,N(Capacite)&gt;0,N(J137)&gt;Capacite*1.02),"Quantité &gt; réservoir",IF(ISNUMBER(Q137),IF(AND(ConsoRef&gt;0,ABS(Q137/MAX(ConsoRef,0.0001)-1)&gt;SeuilConso),"Conso. atypique","Conforme"),IF(AND(G137&lt;&gt;"",E137="",X137="Entretien et réparations"),"Compteur manquant","Conforme"))))))))</f>
        <v>Conforme</v>
      </c>
      <c r="X137" s="57" t="str">
        <f t="shared" ref="X137:X200" si="31">IF(F137="","",IFERROR(INDEX(CatGroupe,MATCH(F137,CatNoms,0))&amp;"","Catégorie inconnue"))</f>
        <v>Frais fixes et divers</v>
      </c>
      <c r="Y137" s="57">
        <f t="shared" ref="Y137:Y200" si="32">IF(X137="Énergie",1,0)</f>
        <v>0</v>
      </c>
      <c r="Z137" s="57">
        <f t="shared" si="22"/>
        <v>57376</v>
      </c>
      <c r="AA137" s="57">
        <f t="shared" si="23"/>
        <v>0</v>
      </c>
      <c r="AB137" s="57">
        <f t="shared" ref="AB137:AB200" si="33">IF(ISNUMBER(M137),M137,IFERROR(INDEX(CatTVA,MATCH(F137,CatNoms,0))*1,0.2))</f>
        <v>0.2</v>
      </c>
      <c r="AC137" s="57" t="str">
        <f t="shared" si="24"/>
        <v/>
      </c>
      <c r="AD137" s="57" t="str">
        <f t="shared" si="25"/>
        <v/>
      </c>
      <c r="AE137" s="57" t="str">
        <f>IF(AND($D137=RelConducteur,$S137="Oui",ISNUMBER($C137),$C137&gt;=RelDebut,$C137&lt;=RelFin),COUNTIFS($D$9:$D137,RelConducteur,$S$9:$S137,"Oui",$C$9:$C137,"&gt;="&amp;RelDebut,$C$9:$C137,"&lt;="&amp;RelFin),"")</f>
        <v/>
      </c>
    </row>
    <row r="138" spans="2:31" ht="18" customHeight="1" x14ac:dyDescent="0.25">
      <c r="B138" s="48">
        <f>IF(C138="","",COUNT($C$9:C138))</f>
        <v>130</v>
      </c>
      <c r="C138" s="49">
        <v>46685</v>
      </c>
      <c r="D138" s="51" t="s">
        <v>148</v>
      </c>
      <c r="E138" s="53">
        <v>57652</v>
      </c>
      <c r="F138" s="51" t="s">
        <v>217</v>
      </c>
      <c r="G138" s="51"/>
      <c r="H138" s="51" t="s">
        <v>218</v>
      </c>
      <c r="I138" s="51" t="s">
        <v>219</v>
      </c>
      <c r="J138" s="59"/>
      <c r="K138" s="60"/>
      <c r="L138" s="61">
        <v>8.1999999999999993</v>
      </c>
      <c r="M138" s="62"/>
      <c r="N138" s="63">
        <f t="shared" si="26"/>
        <v>6.833333333333333</v>
      </c>
      <c r="O138" s="64">
        <f t="shared" si="27"/>
        <v>1.3666666666666663</v>
      </c>
      <c r="P138" s="65" t="str">
        <f t="shared" si="28"/>
        <v/>
      </c>
      <c r="Q138" s="66" t="str">
        <f t="shared" ref="Q138:Q201" si="34">IF(AND(Y138=1,K138="Oui",ISNUMBER(E138),ISNUMBER(Z137),N(J138)&gt;0),IF(E138&gt;Z137,(N(AA137)+N(J138))/(E138-Z137)*100,""),"")</f>
        <v/>
      </c>
      <c r="R138" s="51" t="s">
        <v>215</v>
      </c>
      <c r="S138" s="60" t="s">
        <v>209</v>
      </c>
      <c r="T138" s="52" t="str">
        <f t="shared" si="29"/>
        <v>Service commercial</v>
      </c>
      <c r="U138" s="51" t="s">
        <v>376</v>
      </c>
      <c r="V138" s="56" t="str">
        <f t="shared" si="30"/>
        <v>Conforme</v>
      </c>
      <c r="X138" s="57" t="str">
        <f t="shared" si="31"/>
        <v>Frais fixes et divers</v>
      </c>
      <c r="Y138" s="57">
        <f t="shared" si="32"/>
        <v>0</v>
      </c>
      <c r="Z138" s="57">
        <f t="shared" ref="Z138:Z201" si="35">IF(AND(Y138=1,K138="Oui",ISNUMBER(E138)),E138,Z137)</f>
        <v>57376</v>
      </c>
      <c r="AA138" s="57">
        <f t="shared" ref="AA138:AA201" si="36">IF(Y138=1,IF(K138="Oui",0,N(AA137)+N(J138)),N(AA137))</f>
        <v>0</v>
      </c>
      <c r="AB138" s="57">
        <f t="shared" si="33"/>
        <v>0.2</v>
      </c>
      <c r="AC138" s="57" t="str">
        <f t="shared" ref="AC138:AC201" si="37">IF(Q138="","",E138-Z137)</f>
        <v/>
      </c>
      <c r="AD138" s="57" t="str">
        <f t="shared" ref="AD138:AD201" si="38">IF(Q138="","",N(AA137)+N(J138))</f>
        <v/>
      </c>
      <c r="AE138" s="57" t="str">
        <f>IF(AND($D138=RelConducteur,$S138="Oui",ISNUMBER($C138),$C138&gt;=RelDebut,$C138&lt;=RelFin),COUNTIFS($D$9:$D138,RelConducteur,$S$9:$S138,"Oui",$C$9:$C138,"&gt;="&amp;RelDebut,$C$9:$C138,"&lt;="&amp;RelFin),"")</f>
        <v/>
      </c>
    </row>
    <row r="139" spans="2:31" ht="18" customHeight="1" x14ac:dyDescent="0.25">
      <c r="B139" s="48">
        <f>IF(C139="","",COUNT($C$9:C139))</f>
        <v>131</v>
      </c>
      <c r="C139" s="49">
        <v>46687</v>
      </c>
      <c r="D139" s="51" t="s">
        <v>133</v>
      </c>
      <c r="E139" s="53">
        <v>57823</v>
      </c>
      <c r="F139" s="51" t="s">
        <v>212</v>
      </c>
      <c r="G139" s="51"/>
      <c r="H139" s="51" t="s">
        <v>213</v>
      </c>
      <c r="I139" s="51" t="s">
        <v>271</v>
      </c>
      <c r="J139" s="59"/>
      <c r="K139" s="60"/>
      <c r="L139" s="61">
        <v>5.2</v>
      </c>
      <c r="M139" s="62"/>
      <c r="N139" s="63">
        <f t="shared" si="26"/>
        <v>4.3333333333333339</v>
      </c>
      <c r="O139" s="64">
        <f t="shared" si="27"/>
        <v>0.86666666666666625</v>
      </c>
      <c r="P139" s="65" t="str">
        <f t="shared" si="28"/>
        <v/>
      </c>
      <c r="Q139" s="66" t="str">
        <f t="shared" si="34"/>
        <v/>
      </c>
      <c r="R139" s="51" t="s">
        <v>210</v>
      </c>
      <c r="S139" s="60" t="s">
        <v>204</v>
      </c>
      <c r="T139" s="52" t="str">
        <f t="shared" si="29"/>
        <v>Service technique</v>
      </c>
      <c r="U139" s="51" t="s">
        <v>377</v>
      </c>
      <c r="V139" s="56" t="str">
        <f t="shared" si="30"/>
        <v>Conforme</v>
      </c>
      <c r="X139" s="57" t="str">
        <f t="shared" si="31"/>
        <v>Frais fixes et divers</v>
      </c>
      <c r="Y139" s="57">
        <f t="shared" si="32"/>
        <v>0</v>
      </c>
      <c r="Z139" s="57">
        <f t="shared" si="35"/>
        <v>57376</v>
      </c>
      <c r="AA139" s="57">
        <f t="shared" si="36"/>
        <v>0</v>
      </c>
      <c r="AB139" s="57">
        <f t="shared" si="33"/>
        <v>0.2</v>
      </c>
      <c r="AC139" s="57" t="str">
        <f t="shared" si="37"/>
        <v/>
      </c>
      <c r="AD139" s="57" t="str">
        <f t="shared" si="38"/>
        <v/>
      </c>
      <c r="AE139" s="57" t="str">
        <f>IF(AND($D139=RelConducteur,$S139="Oui",ISNUMBER($C139),$C139&gt;=RelDebut,$C139&lt;=RelFin),COUNTIFS($D$9:$D139,RelConducteur,$S$9:$S139,"Oui",$C$9:$C139,"&gt;="&amp;RelDebut,$C$9:$C139,"&lt;="&amp;RelFin),"")</f>
        <v/>
      </c>
    </row>
    <row r="140" spans="2:31" ht="18" customHeight="1" x14ac:dyDescent="0.25">
      <c r="B140" s="48">
        <f>IF(C140="","",COUNT($C$9:C140))</f>
        <v>132</v>
      </c>
      <c r="C140" s="49">
        <v>46687</v>
      </c>
      <c r="D140" s="51" t="s">
        <v>139</v>
      </c>
      <c r="E140" s="53">
        <v>57920</v>
      </c>
      <c r="F140" s="51" t="s">
        <v>206</v>
      </c>
      <c r="G140" s="51"/>
      <c r="H140" s="51" t="s">
        <v>207</v>
      </c>
      <c r="I140" s="51" t="s">
        <v>208</v>
      </c>
      <c r="J140" s="59">
        <v>36.36</v>
      </c>
      <c r="K140" s="60" t="s">
        <v>209</v>
      </c>
      <c r="L140" s="61">
        <v>63.08</v>
      </c>
      <c r="M140" s="62"/>
      <c r="N140" s="63">
        <f t="shared" si="26"/>
        <v>52.56666666666667</v>
      </c>
      <c r="O140" s="64">
        <f t="shared" si="27"/>
        <v>10.513333333333328</v>
      </c>
      <c r="P140" s="65">
        <f t="shared" si="28"/>
        <v>1.7348734873487348</v>
      </c>
      <c r="Q140" s="66">
        <f t="shared" si="34"/>
        <v>6.6838235294117645</v>
      </c>
      <c r="R140" s="51" t="s">
        <v>210</v>
      </c>
      <c r="S140" s="60" t="s">
        <v>204</v>
      </c>
      <c r="T140" s="52" t="str">
        <f t="shared" si="29"/>
        <v>Service technique</v>
      </c>
      <c r="U140" s="51" t="s">
        <v>378</v>
      </c>
      <c r="V140" s="56" t="str">
        <f t="shared" si="30"/>
        <v>Conforme</v>
      </c>
      <c r="X140" s="57" t="str">
        <f t="shared" si="31"/>
        <v>Énergie</v>
      </c>
      <c r="Y140" s="57">
        <f t="shared" si="32"/>
        <v>1</v>
      </c>
      <c r="Z140" s="57">
        <f t="shared" si="35"/>
        <v>57920</v>
      </c>
      <c r="AA140" s="57">
        <f t="shared" si="36"/>
        <v>0</v>
      </c>
      <c r="AB140" s="57">
        <f t="shared" si="33"/>
        <v>0.2</v>
      </c>
      <c r="AC140" s="57">
        <f t="shared" si="37"/>
        <v>544</v>
      </c>
      <c r="AD140" s="57">
        <f t="shared" si="38"/>
        <v>36.36</v>
      </c>
      <c r="AE140" s="57" t="str">
        <f>IF(AND($D140=RelConducteur,$S140="Oui",ISNUMBER($C140),$C140&gt;=RelDebut,$C140&lt;=RelFin),COUNTIFS($D$9:$D140,RelConducteur,$S$9:$S140,"Oui",$C$9:$C140,"&gt;="&amp;RelDebut,$C$9:$C140,"&lt;="&amp;RelFin),"")</f>
        <v/>
      </c>
    </row>
    <row r="141" spans="2:31" ht="18" customHeight="1" x14ac:dyDescent="0.25">
      <c r="B141" s="48">
        <f>IF(C141="","",COUNT($C$9:C141))</f>
        <v>133</v>
      </c>
      <c r="C141" s="49">
        <v>46695</v>
      </c>
      <c r="D141" s="51" t="s">
        <v>139</v>
      </c>
      <c r="E141" s="53">
        <v>58058</v>
      </c>
      <c r="F141" s="51" t="s">
        <v>379</v>
      </c>
      <c r="G141" s="51" t="s">
        <v>379</v>
      </c>
      <c r="H141" s="51" t="s">
        <v>380</v>
      </c>
      <c r="I141" s="51" t="s">
        <v>381</v>
      </c>
      <c r="J141" s="59"/>
      <c r="K141" s="60"/>
      <c r="L141" s="61">
        <v>512</v>
      </c>
      <c r="M141" s="62"/>
      <c r="N141" s="63">
        <f t="shared" si="26"/>
        <v>426.66666666666669</v>
      </c>
      <c r="O141" s="64">
        <f t="shared" si="27"/>
        <v>85.333333333333314</v>
      </c>
      <c r="P141" s="65" t="str">
        <f t="shared" si="28"/>
        <v/>
      </c>
      <c r="Q141" s="66" t="str">
        <f t="shared" si="34"/>
        <v/>
      </c>
      <c r="R141" s="51" t="s">
        <v>232</v>
      </c>
      <c r="S141" s="60" t="s">
        <v>204</v>
      </c>
      <c r="T141" s="52" t="str">
        <f t="shared" si="29"/>
        <v>Service technique</v>
      </c>
      <c r="U141" s="51" t="s">
        <v>382</v>
      </c>
      <c r="V141" s="56" t="str">
        <f t="shared" si="30"/>
        <v>Conforme</v>
      </c>
      <c r="X141" s="57" t="str">
        <f t="shared" si="31"/>
        <v>Entretien et réparations</v>
      </c>
      <c r="Y141" s="57">
        <f t="shared" si="32"/>
        <v>0</v>
      </c>
      <c r="Z141" s="57">
        <f t="shared" si="35"/>
        <v>57920</v>
      </c>
      <c r="AA141" s="57">
        <f t="shared" si="36"/>
        <v>0</v>
      </c>
      <c r="AB141" s="57">
        <f t="shared" si="33"/>
        <v>0.2</v>
      </c>
      <c r="AC141" s="57" t="str">
        <f t="shared" si="37"/>
        <v/>
      </c>
      <c r="AD141" s="57" t="str">
        <f t="shared" si="38"/>
        <v/>
      </c>
      <c r="AE141" s="57" t="str">
        <f>IF(AND($D141=RelConducteur,$S141="Oui",ISNUMBER($C141),$C141&gt;=RelDebut,$C141&lt;=RelFin),COUNTIFS($D$9:$D141,RelConducteur,$S$9:$S141,"Oui",$C$9:$C141,"&gt;="&amp;RelDebut,$C$9:$C141,"&lt;="&amp;RelFin),"")</f>
        <v/>
      </c>
    </row>
    <row r="142" spans="2:31" ht="18" customHeight="1" x14ac:dyDescent="0.25">
      <c r="B142" s="48">
        <f>IF(C142="","",COUNT($C$9:C142))</f>
        <v>134</v>
      </c>
      <c r="C142" s="49">
        <v>46696</v>
      </c>
      <c r="D142" s="51" t="s">
        <v>133</v>
      </c>
      <c r="E142" s="53">
        <v>58132</v>
      </c>
      <c r="F142" s="51" t="s">
        <v>240</v>
      </c>
      <c r="G142" s="51"/>
      <c r="H142" s="51" t="s">
        <v>241</v>
      </c>
      <c r="I142" s="51" t="s">
        <v>242</v>
      </c>
      <c r="J142" s="59"/>
      <c r="K142" s="60"/>
      <c r="L142" s="61">
        <v>14</v>
      </c>
      <c r="M142" s="62"/>
      <c r="N142" s="63">
        <f t="shared" si="26"/>
        <v>11.666666666666668</v>
      </c>
      <c r="O142" s="64">
        <f t="shared" si="27"/>
        <v>2.3333333333333321</v>
      </c>
      <c r="P142" s="65" t="str">
        <f t="shared" si="28"/>
        <v/>
      </c>
      <c r="Q142" s="66" t="str">
        <f t="shared" si="34"/>
        <v/>
      </c>
      <c r="R142" s="51" t="s">
        <v>210</v>
      </c>
      <c r="S142" s="60" t="s">
        <v>204</v>
      </c>
      <c r="T142" s="52" t="str">
        <f t="shared" si="29"/>
        <v>Service technique</v>
      </c>
      <c r="U142" s="51" t="s">
        <v>383</v>
      </c>
      <c r="V142" s="56" t="str">
        <f t="shared" si="30"/>
        <v>Conforme</v>
      </c>
      <c r="X142" s="57" t="str">
        <f t="shared" si="31"/>
        <v>Frais fixes et divers</v>
      </c>
      <c r="Y142" s="57">
        <f t="shared" si="32"/>
        <v>0</v>
      </c>
      <c r="Z142" s="57">
        <f t="shared" si="35"/>
        <v>57920</v>
      </c>
      <c r="AA142" s="57">
        <f t="shared" si="36"/>
        <v>0</v>
      </c>
      <c r="AB142" s="57">
        <f t="shared" si="33"/>
        <v>0.2</v>
      </c>
      <c r="AC142" s="57" t="str">
        <f t="shared" si="37"/>
        <v/>
      </c>
      <c r="AD142" s="57" t="str">
        <f t="shared" si="38"/>
        <v/>
      </c>
      <c r="AE142" s="57" t="str">
        <f>IF(AND($D142=RelConducteur,$S142="Oui",ISNUMBER($C142),$C142&gt;=RelDebut,$C142&lt;=RelFin),COUNTIFS($D$9:$D142,RelConducteur,$S$9:$S142,"Oui",$C$9:$C142,"&gt;="&amp;RelDebut,$C$9:$C142,"&lt;="&amp;RelFin),"")</f>
        <v/>
      </c>
    </row>
    <row r="143" spans="2:31" ht="18" customHeight="1" x14ac:dyDescent="0.25">
      <c r="B143" s="48">
        <f>IF(C143="","",COUNT($C$9:C143))</f>
        <v>135</v>
      </c>
      <c r="C143" s="49">
        <v>46708</v>
      </c>
      <c r="D143" s="51" t="s">
        <v>139</v>
      </c>
      <c r="E143" s="53">
        <v>58379</v>
      </c>
      <c r="F143" s="51" t="s">
        <v>212</v>
      </c>
      <c r="G143" s="51"/>
      <c r="H143" s="51" t="s">
        <v>213</v>
      </c>
      <c r="I143" s="51" t="s">
        <v>278</v>
      </c>
      <c r="J143" s="59"/>
      <c r="K143" s="60"/>
      <c r="L143" s="61">
        <v>7.8</v>
      </c>
      <c r="M143" s="62"/>
      <c r="N143" s="63">
        <f t="shared" si="26"/>
        <v>6.5</v>
      </c>
      <c r="O143" s="64">
        <f t="shared" si="27"/>
        <v>1.2999999999999998</v>
      </c>
      <c r="P143" s="65" t="str">
        <f t="shared" si="28"/>
        <v/>
      </c>
      <c r="Q143" s="66" t="str">
        <f t="shared" si="34"/>
        <v/>
      </c>
      <c r="R143" s="51" t="s">
        <v>210</v>
      </c>
      <c r="S143" s="60" t="s">
        <v>204</v>
      </c>
      <c r="T143" s="52" t="str">
        <f t="shared" si="29"/>
        <v>Service technique</v>
      </c>
      <c r="U143" s="51" t="s">
        <v>384</v>
      </c>
      <c r="V143" s="56" t="str">
        <f t="shared" si="30"/>
        <v>Conforme</v>
      </c>
      <c r="X143" s="57" t="str">
        <f t="shared" si="31"/>
        <v>Frais fixes et divers</v>
      </c>
      <c r="Y143" s="57">
        <f t="shared" si="32"/>
        <v>0</v>
      </c>
      <c r="Z143" s="57">
        <f t="shared" si="35"/>
        <v>57920</v>
      </c>
      <c r="AA143" s="57">
        <f t="shared" si="36"/>
        <v>0</v>
      </c>
      <c r="AB143" s="57">
        <f t="shared" si="33"/>
        <v>0.2</v>
      </c>
      <c r="AC143" s="57" t="str">
        <f t="shared" si="37"/>
        <v/>
      </c>
      <c r="AD143" s="57" t="str">
        <f t="shared" si="38"/>
        <v/>
      </c>
      <c r="AE143" s="57" t="str">
        <f>IF(AND($D143=RelConducteur,$S143="Oui",ISNUMBER($C143),$C143&gt;=RelDebut,$C143&lt;=RelFin),COUNTIFS($D$9:$D143,RelConducteur,$S$9:$S143,"Oui",$C$9:$C143,"&gt;="&amp;RelDebut,$C$9:$C143,"&lt;="&amp;RelFin),"")</f>
        <v/>
      </c>
    </row>
    <row r="144" spans="2:31" ht="18" customHeight="1" x14ac:dyDescent="0.25">
      <c r="B144" s="48">
        <f>IF(C144="","",COUNT($C$9:C144))</f>
        <v>136</v>
      </c>
      <c r="C144" s="49">
        <v>46709</v>
      </c>
      <c r="D144" s="51" t="s">
        <v>169</v>
      </c>
      <c r="E144" s="53"/>
      <c r="F144" s="51" t="s">
        <v>228</v>
      </c>
      <c r="G144" s="51"/>
      <c r="H144" s="51" t="s">
        <v>385</v>
      </c>
      <c r="I144" s="51" t="s">
        <v>386</v>
      </c>
      <c r="J144" s="59"/>
      <c r="K144" s="60"/>
      <c r="L144" s="61">
        <v>89.9</v>
      </c>
      <c r="M144" s="62"/>
      <c r="N144" s="63">
        <f t="shared" si="26"/>
        <v>74.916666666666671</v>
      </c>
      <c r="O144" s="64">
        <f t="shared" si="27"/>
        <v>14.983333333333334</v>
      </c>
      <c r="P144" s="65" t="str">
        <f t="shared" si="28"/>
        <v/>
      </c>
      <c r="Q144" s="66" t="str">
        <f t="shared" si="34"/>
        <v/>
      </c>
      <c r="R144" s="51" t="s">
        <v>257</v>
      </c>
      <c r="S144" s="60" t="s">
        <v>204</v>
      </c>
      <c r="T144" s="52" t="str">
        <f t="shared" si="29"/>
        <v>Direction</v>
      </c>
      <c r="U144" s="51" t="s">
        <v>387</v>
      </c>
      <c r="V144" s="56" t="str">
        <f t="shared" si="30"/>
        <v>Conforme</v>
      </c>
      <c r="X144" s="57" t="str">
        <f t="shared" si="31"/>
        <v>Frais fixes et divers</v>
      </c>
      <c r="Y144" s="57">
        <f t="shared" si="32"/>
        <v>0</v>
      </c>
      <c r="Z144" s="57">
        <f t="shared" si="35"/>
        <v>57920</v>
      </c>
      <c r="AA144" s="57">
        <f t="shared" si="36"/>
        <v>0</v>
      </c>
      <c r="AB144" s="57">
        <f t="shared" si="33"/>
        <v>0.2</v>
      </c>
      <c r="AC144" s="57" t="str">
        <f t="shared" si="37"/>
        <v/>
      </c>
      <c r="AD144" s="57" t="str">
        <f t="shared" si="38"/>
        <v/>
      </c>
      <c r="AE144" s="57" t="str">
        <f>IF(AND($D144=RelConducteur,$S144="Oui",ISNUMBER($C144),$C144&gt;=RelDebut,$C144&lt;=RelFin),COUNTIFS($D$9:$D144,RelConducteur,$S$9:$S144,"Oui",$C$9:$C144,"&gt;="&amp;RelDebut,$C$9:$C144,"&lt;="&amp;RelFin),"")</f>
        <v/>
      </c>
    </row>
    <row r="145" spans="2:31" ht="18" customHeight="1" x14ac:dyDescent="0.25">
      <c r="B145" s="48">
        <f>IF(C145="","",COUNT($C$9:C145))</f>
        <v>137</v>
      </c>
      <c r="C145" s="49">
        <v>46710</v>
      </c>
      <c r="D145" s="51" t="s">
        <v>148</v>
      </c>
      <c r="E145" s="53">
        <v>58460</v>
      </c>
      <c r="F145" s="51" t="s">
        <v>206</v>
      </c>
      <c r="G145" s="51"/>
      <c r="H145" s="51" t="s">
        <v>261</v>
      </c>
      <c r="I145" s="51" t="s">
        <v>208</v>
      </c>
      <c r="J145" s="59">
        <v>37.81</v>
      </c>
      <c r="K145" s="60" t="s">
        <v>209</v>
      </c>
      <c r="L145" s="61">
        <v>63.41</v>
      </c>
      <c r="M145" s="62"/>
      <c r="N145" s="63">
        <f t="shared" si="26"/>
        <v>52.841666666666669</v>
      </c>
      <c r="O145" s="64">
        <f t="shared" si="27"/>
        <v>10.568333333333328</v>
      </c>
      <c r="P145" s="65">
        <f t="shared" si="28"/>
        <v>1.6770695583179052</v>
      </c>
      <c r="Q145" s="66">
        <f t="shared" si="34"/>
        <v>7.0018518518518524</v>
      </c>
      <c r="R145" s="51" t="s">
        <v>210</v>
      </c>
      <c r="S145" s="60" t="s">
        <v>204</v>
      </c>
      <c r="T145" s="52" t="str">
        <f t="shared" si="29"/>
        <v>Service commercial</v>
      </c>
      <c r="U145" s="51" t="s">
        <v>388</v>
      </c>
      <c r="V145" s="56" t="str">
        <f t="shared" si="30"/>
        <v>Conforme</v>
      </c>
      <c r="X145" s="57" t="str">
        <f t="shared" si="31"/>
        <v>Énergie</v>
      </c>
      <c r="Y145" s="57">
        <f t="shared" si="32"/>
        <v>1</v>
      </c>
      <c r="Z145" s="57">
        <f t="shared" si="35"/>
        <v>58460</v>
      </c>
      <c r="AA145" s="57">
        <f t="shared" si="36"/>
        <v>0</v>
      </c>
      <c r="AB145" s="57">
        <f t="shared" si="33"/>
        <v>0.2</v>
      </c>
      <c r="AC145" s="57">
        <f t="shared" si="37"/>
        <v>540</v>
      </c>
      <c r="AD145" s="57">
        <f t="shared" si="38"/>
        <v>37.81</v>
      </c>
      <c r="AE145" s="57" t="str">
        <f>IF(AND($D145=RelConducteur,$S145="Oui",ISNUMBER($C145),$C145&gt;=RelDebut,$C145&lt;=RelFin),COUNTIFS($D$9:$D145,RelConducteur,$S$9:$S145,"Oui",$C$9:$C145,"&gt;="&amp;RelDebut,$C$9:$C145,"&lt;="&amp;RelFin),"")</f>
        <v/>
      </c>
    </row>
    <row r="146" spans="2:31" ht="18" customHeight="1" x14ac:dyDescent="0.25">
      <c r="B146" s="48">
        <f>IF(C146="","",COUNT($C$9:C146))</f>
        <v>138</v>
      </c>
      <c r="C146" s="49">
        <v>46710</v>
      </c>
      <c r="D146" s="51" t="s">
        <v>148</v>
      </c>
      <c r="E146" s="53">
        <v>58679</v>
      </c>
      <c r="F146" s="51" t="s">
        <v>212</v>
      </c>
      <c r="G146" s="51"/>
      <c r="H146" s="51" t="s">
        <v>213</v>
      </c>
      <c r="I146" s="51" t="s">
        <v>224</v>
      </c>
      <c r="J146" s="59"/>
      <c r="K146" s="60"/>
      <c r="L146" s="61">
        <v>19.8</v>
      </c>
      <c r="M146" s="62"/>
      <c r="N146" s="63">
        <f t="shared" si="26"/>
        <v>16.5</v>
      </c>
      <c r="O146" s="64">
        <f t="shared" si="27"/>
        <v>3.3000000000000007</v>
      </c>
      <c r="P146" s="65" t="str">
        <f t="shared" si="28"/>
        <v/>
      </c>
      <c r="Q146" s="66" t="str">
        <f t="shared" si="34"/>
        <v/>
      </c>
      <c r="R146" s="51" t="s">
        <v>215</v>
      </c>
      <c r="S146" s="60" t="s">
        <v>209</v>
      </c>
      <c r="T146" s="52" t="str">
        <f t="shared" si="29"/>
        <v>Service commercial</v>
      </c>
      <c r="U146" s="51" t="s">
        <v>389</v>
      </c>
      <c r="V146" s="56" t="str">
        <f t="shared" si="30"/>
        <v>Conforme</v>
      </c>
      <c r="X146" s="57" t="str">
        <f t="shared" si="31"/>
        <v>Frais fixes et divers</v>
      </c>
      <c r="Y146" s="57">
        <f t="shared" si="32"/>
        <v>0</v>
      </c>
      <c r="Z146" s="57">
        <f t="shared" si="35"/>
        <v>58460</v>
      </c>
      <c r="AA146" s="57">
        <f t="shared" si="36"/>
        <v>0</v>
      </c>
      <c r="AB146" s="57">
        <f t="shared" si="33"/>
        <v>0.2</v>
      </c>
      <c r="AC146" s="57" t="str">
        <f t="shared" si="37"/>
        <v/>
      </c>
      <c r="AD146" s="57" t="str">
        <f t="shared" si="38"/>
        <v/>
      </c>
      <c r="AE146" s="57" t="str">
        <f>IF(AND($D146=RelConducteur,$S146="Oui",ISNUMBER($C146),$C146&gt;=RelDebut,$C146&lt;=RelFin),COUNTIFS($D$9:$D146,RelConducteur,$S$9:$S146,"Oui",$C$9:$C146,"&gt;="&amp;RelDebut,$C$9:$C146,"&lt;="&amp;RelFin),"")</f>
        <v/>
      </c>
    </row>
    <row r="147" spans="2:31" ht="18" customHeight="1" x14ac:dyDescent="0.25">
      <c r="B147" s="48">
        <f>IF(C147="","",COUNT($C$9:C147))</f>
        <v>139</v>
      </c>
      <c r="C147" s="49">
        <v>46710</v>
      </c>
      <c r="D147" s="51" t="s">
        <v>148</v>
      </c>
      <c r="E147" s="53">
        <v>58679</v>
      </c>
      <c r="F147" s="51" t="s">
        <v>217</v>
      </c>
      <c r="G147" s="51"/>
      <c r="H147" s="51" t="s">
        <v>248</v>
      </c>
      <c r="I147" s="51" t="s">
        <v>219</v>
      </c>
      <c r="J147" s="59"/>
      <c r="K147" s="60"/>
      <c r="L147" s="61">
        <v>6.4</v>
      </c>
      <c r="M147" s="62"/>
      <c r="N147" s="63">
        <f t="shared" si="26"/>
        <v>5.3333333333333339</v>
      </c>
      <c r="O147" s="64">
        <f t="shared" si="27"/>
        <v>1.0666666666666664</v>
      </c>
      <c r="P147" s="65" t="str">
        <f t="shared" si="28"/>
        <v/>
      </c>
      <c r="Q147" s="66" t="str">
        <f t="shared" si="34"/>
        <v/>
      </c>
      <c r="R147" s="51" t="s">
        <v>215</v>
      </c>
      <c r="S147" s="60" t="s">
        <v>209</v>
      </c>
      <c r="T147" s="52" t="str">
        <f t="shared" si="29"/>
        <v>Service commercial</v>
      </c>
      <c r="U147" s="51" t="s">
        <v>390</v>
      </c>
      <c r="V147" s="56" t="str">
        <f t="shared" si="30"/>
        <v>Conforme</v>
      </c>
      <c r="X147" s="57" t="str">
        <f t="shared" si="31"/>
        <v>Frais fixes et divers</v>
      </c>
      <c r="Y147" s="57">
        <f t="shared" si="32"/>
        <v>0</v>
      </c>
      <c r="Z147" s="57">
        <f t="shared" si="35"/>
        <v>58460</v>
      </c>
      <c r="AA147" s="57">
        <f t="shared" si="36"/>
        <v>0</v>
      </c>
      <c r="AB147" s="57">
        <f t="shared" si="33"/>
        <v>0.2</v>
      </c>
      <c r="AC147" s="57" t="str">
        <f t="shared" si="37"/>
        <v/>
      </c>
      <c r="AD147" s="57" t="str">
        <f t="shared" si="38"/>
        <v/>
      </c>
      <c r="AE147" s="57" t="str">
        <f>IF(AND($D147=RelConducteur,$S147="Oui",ISNUMBER($C147),$C147&gt;=RelDebut,$C147&lt;=RelFin),COUNTIFS($D$9:$D147,RelConducteur,$S$9:$S147,"Oui",$C$9:$C147,"&gt;="&amp;RelDebut,$C$9:$C147,"&lt;="&amp;RelFin),"")</f>
        <v/>
      </c>
    </row>
    <row r="148" spans="2:31" ht="18" customHeight="1" x14ac:dyDescent="0.25">
      <c r="B148" s="48">
        <f>IF(C148="","",COUNT($C$9:C148))</f>
        <v>140</v>
      </c>
      <c r="C148" s="49">
        <v>46713</v>
      </c>
      <c r="D148" s="51" t="s">
        <v>148</v>
      </c>
      <c r="E148" s="53">
        <v>58724</v>
      </c>
      <c r="F148" s="51" t="s">
        <v>217</v>
      </c>
      <c r="G148" s="51"/>
      <c r="H148" s="51" t="s">
        <v>250</v>
      </c>
      <c r="I148" s="51" t="s">
        <v>219</v>
      </c>
      <c r="J148" s="59"/>
      <c r="K148" s="60"/>
      <c r="L148" s="61">
        <v>9</v>
      </c>
      <c r="M148" s="62"/>
      <c r="N148" s="63">
        <f t="shared" si="26"/>
        <v>7.5</v>
      </c>
      <c r="O148" s="64">
        <f t="shared" si="27"/>
        <v>1.5</v>
      </c>
      <c r="P148" s="65" t="str">
        <f t="shared" si="28"/>
        <v/>
      </c>
      <c r="Q148" s="66" t="str">
        <f t="shared" si="34"/>
        <v/>
      </c>
      <c r="R148" s="51" t="s">
        <v>215</v>
      </c>
      <c r="S148" s="60" t="s">
        <v>209</v>
      </c>
      <c r="T148" s="52" t="str">
        <f t="shared" si="29"/>
        <v>Service commercial</v>
      </c>
      <c r="U148" s="51" t="s">
        <v>391</v>
      </c>
      <c r="V148" s="56" t="str">
        <f t="shared" si="30"/>
        <v>Conforme</v>
      </c>
      <c r="X148" s="57" t="str">
        <f t="shared" si="31"/>
        <v>Frais fixes et divers</v>
      </c>
      <c r="Y148" s="57">
        <f t="shared" si="32"/>
        <v>0</v>
      </c>
      <c r="Z148" s="57">
        <f t="shared" si="35"/>
        <v>58460</v>
      </c>
      <c r="AA148" s="57">
        <f t="shared" si="36"/>
        <v>0</v>
      </c>
      <c r="AB148" s="57">
        <f t="shared" si="33"/>
        <v>0.2</v>
      </c>
      <c r="AC148" s="57" t="str">
        <f t="shared" si="37"/>
        <v/>
      </c>
      <c r="AD148" s="57" t="str">
        <f t="shared" si="38"/>
        <v/>
      </c>
      <c r="AE148" s="57" t="str">
        <f>IF(AND($D148=RelConducteur,$S148="Oui",ISNUMBER($C148),$C148&gt;=RelDebut,$C148&lt;=RelFin),COUNTIFS($D$9:$D148,RelConducteur,$S$9:$S148,"Oui",$C$9:$C148,"&gt;="&amp;RelDebut,$C$9:$C148,"&lt;="&amp;RelFin),"")</f>
        <v/>
      </c>
    </row>
    <row r="149" spans="2:31" ht="18" customHeight="1" x14ac:dyDescent="0.25">
      <c r="B149" s="48">
        <f>IF(C149="","",COUNT($C$9:C149))</f>
        <v>141</v>
      </c>
      <c r="C149" s="49">
        <v>46715</v>
      </c>
      <c r="D149" s="51" t="s">
        <v>139</v>
      </c>
      <c r="E149" s="53">
        <v>58969</v>
      </c>
      <c r="F149" s="51" t="s">
        <v>206</v>
      </c>
      <c r="G149" s="51"/>
      <c r="H149" s="51" t="s">
        <v>309</v>
      </c>
      <c r="I149" s="51" t="s">
        <v>208</v>
      </c>
      <c r="J149" s="59">
        <v>35.31</v>
      </c>
      <c r="K149" s="60" t="s">
        <v>209</v>
      </c>
      <c r="L149" s="61">
        <v>60.91</v>
      </c>
      <c r="M149" s="62"/>
      <c r="N149" s="63">
        <f t="shared" si="26"/>
        <v>50.758333333333333</v>
      </c>
      <c r="O149" s="64">
        <f t="shared" si="27"/>
        <v>10.151666666666664</v>
      </c>
      <c r="P149" s="65">
        <f t="shared" si="28"/>
        <v>1.7250070801472668</v>
      </c>
      <c r="Q149" s="66">
        <f t="shared" si="34"/>
        <v>6.9371316306483299</v>
      </c>
      <c r="R149" s="51" t="s">
        <v>210</v>
      </c>
      <c r="S149" s="60" t="s">
        <v>204</v>
      </c>
      <c r="T149" s="52" t="str">
        <f t="shared" si="29"/>
        <v>Service technique</v>
      </c>
      <c r="U149" s="51" t="s">
        <v>392</v>
      </c>
      <c r="V149" s="56" t="str">
        <f t="shared" si="30"/>
        <v>Conforme</v>
      </c>
      <c r="X149" s="57" t="str">
        <f t="shared" si="31"/>
        <v>Énergie</v>
      </c>
      <c r="Y149" s="57">
        <f t="shared" si="32"/>
        <v>1</v>
      </c>
      <c r="Z149" s="57">
        <f t="shared" si="35"/>
        <v>58969</v>
      </c>
      <c r="AA149" s="57">
        <f t="shared" si="36"/>
        <v>0</v>
      </c>
      <c r="AB149" s="57">
        <f t="shared" si="33"/>
        <v>0.2</v>
      </c>
      <c r="AC149" s="57">
        <f t="shared" si="37"/>
        <v>509</v>
      </c>
      <c r="AD149" s="57">
        <f t="shared" si="38"/>
        <v>35.31</v>
      </c>
      <c r="AE149" s="57" t="str">
        <f>IF(AND($D149=RelConducteur,$S149="Oui",ISNUMBER($C149),$C149&gt;=RelDebut,$C149&lt;=RelFin),COUNTIFS($D$9:$D149,RelConducteur,$S$9:$S149,"Oui",$C$9:$C149,"&gt;="&amp;RelDebut,$C$9:$C149,"&lt;="&amp;RelFin),"")</f>
        <v/>
      </c>
    </row>
    <row r="150" spans="2:31" ht="18" customHeight="1" x14ac:dyDescent="0.25">
      <c r="B150" s="48">
        <f>IF(C150="","",COUNT($C$9:C150))</f>
        <v>142</v>
      </c>
      <c r="C150" s="49">
        <v>46721</v>
      </c>
      <c r="D150" s="51" t="s">
        <v>133</v>
      </c>
      <c r="E150" s="53">
        <v>59121</v>
      </c>
      <c r="F150" s="51" t="s">
        <v>212</v>
      </c>
      <c r="G150" s="51"/>
      <c r="H150" s="51" t="s">
        <v>213</v>
      </c>
      <c r="I150" s="51" t="s">
        <v>271</v>
      </c>
      <c r="J150" s="59"/>
      <c r="K150" s="60"/>
      <c r="L150" s="61">
        <v>5.2</v>
      </c>
      <c r="M150" s="62"/>
      <c r="N150" s="63">
        <f t="shared" si="26"/>
        <v>4.3333333333333339</v>
      </c>
      <c r="O150" s="64">
        <f t="shared" si="27"/>
        <v>0.86666666666666625</v>
      </c>
      <c r="P150" s="65" t="str">
        <f t="shared" si="28"/>
        <v/>
      </c>
      <c r="Q150" s="66" t="str">
        <f t="shared" si="34"/>
        <v/>
      </c>
      <c r="R150" s="51" t="s">
        <v>210</v>
      </c>
      <c r="S150" s="60" t="s">
        <v>204</v>
      </c>
      <c r="T150" s="52" t="str">
        <f t="shared" si="29"/>
        <v>Service technique</v>
      </c>
      <c r="U150" s="51" t="s">
        <v>393</v>
      </c>
      <c r="V150" s="56" t="str">
        <f t="shared" si="30"/>
        <v>Conforme</v>
      </c>
      <c r="X150" s="57" t="str">
        <f t="shared" si="31"/>
        <v>Frais fixes et divers</v>
      </c>
      <c r="Y150" s="57">
        <f t="shared" si="32"/>
        <v>0</v>
      </c>
      <c r="Z150" s="57">
        <f t="shared" si="35"/>
        <v>58969</v>
      </c>
      <c r="AA150" s="57">
        <f t="shared" si="36"/>
        <v>0</v>
      </c>
      <c r="AB150" s="57">
        <f t="shared" si="33"/>
        <v>0.2</v>
      </c>
      <c r="AC150" s="57" t="str">
        <f t="shared" si="37"/>
        <v/>
      </c>
      <c r="AD150" s="57" t="str">
        <f t="shared" si="38"/>
        <v/>
      </c>
      <c r="AE150" s="57" t="str">
        <f>IF(AND($D150=RelConducteur,$S150="Oui",ISNUMBER($C150),$C150&gt;=RelDebut,$C150&lt;=RelFin),COUNTIFS($D$9:$D150,RelConducteur,$S$9:$S150,"Oui",$C$9:$C150,"&gt;="&amp;RelDebut,$C$9:$C150,"&lt;="&amp;RelFin),"")</f>
        <v/>
      </c>
    </row>
    <row r="151" spans="2:31" ht="18" customHeight="1" x14ac:dyDescent="0.25">
      <c r="B151" s="48">
        <f>IF(C151="","",COUNT($C$9:C151))</f>
        <v>143</v>
      </c>
      <c r="C151" s="49">
        <v>46724</v>
      </c>
      <c r="D151" s="51" t="s">
        <v>133</v>
      </c>
      <c r="E151" s="53">
        <v>59344</v>
      </c>
      <c r="F151" s="51" t="s">
        <v>240</v>
      </c>
      <c r="G151" s="51"/>
      <c r="H151" s="51" t="s">
        <v>241</v>
      </c>
      <c r="I151" s="51" t="s">
        <v>242</v>
      </c>
      <c r="J151" s="59"/>
      <c r="K151" s="60"/>
      <c r="L151" s="61">
        <v>14</v>
      </c>
      <c r="M151" s="62"/>
      <c r="N151" s="63">
        <f t="shared" si="26"/>
        <v>11.666666666666668</v>
      </c>
      <c r="O151" s="64">
        <f t="shared" si="27"/>
        <v>2.3333333333333321</v>
      </c>
      <c r="P151" s="65" t="str">
        <f t="shared" si="28"/>
        <v/>
      </c>
      <c r="Q151" s="66" t="str">
        <f t="shared" si="34"/>
        <v/>
      </c>
      <c r="R151" s="51" t="s">
        <v>210</v>
      </c>
      <c r="S151" s="60" t="s">
        <v>204</v>
      </c>
      <c r="T151" s="52" t="str">
        <f t="shared" si="29"/>
        <v>Service technique</v>
      </c>
      <c r="U151" s="51" t="s">
        <v>394</v>
      </c>
      <c r="V151" s="56" t="str">
        <f t="shared" si="30"/>
        <v>Conforme</v>
      </c>
      <c r="X151" s="57" t="str">
        <f t="shared" si="31"/>
        <v>Frais fixes et divers</v>
      </c>
      <c r="Y151" s="57">
        <f t="shared" si="32"/>
        <v>0</v>
      </c>
      <c r="Z151" s="57">
        <f t="shared" si="35"/>
        <v>58969</v>
      </c>
      <c r="AA151" s="57">
        <f t="shared" si="36"/>
        <v>0</v>
      </c>
      <c r="AB151" s="57">
        <f t="shared" si="33"/>
        <v>0.2</v>
      </c>
      <c r="AC151" s="57" t="str">
        <f t="shared" si="37"/>
        <v/>
      </c>
      <c r="AD151" s="57" t="str">
        <f t="shared" si="38"/>
        <v/>
      </c>
      <c r="AE151" s="57" t="str">
        <f>IF(AND($D151=RelConducteur,$S151="Oui",ISNUMBER($C151),$C151&gt;=RelDebut,$C151&lt;=RelFin),COUNTIFS($D$9:$D151,RelConducteur,$S$9:$S151,"Oui",$C$9:$C151,"&gt;="&amp;RelDebut,$C$9:$C151,"&lt;="&amp;RelFin),"")</f>
        <v/>
      </c>
    </row>
    <row r="152" spans="2:31" ht="18" customHeight="1" x14ac:dyDescent="0.25">
      <c r="B152" s="48">
        <f>IF(C152="","",COUNT($C$9:C152))</f>
        <v>144</v>
      </c>
      <c r="C152" s="49">
        <v>46729</v>
      </c>
      <c r="D152" s="51" t="s">
        <v>148</v>
      </c>
      <c r="E152" s="53">
        <v>59478</v>
      </c>
      <c r="F152" s="51" t="s">
        <v>206</v>
      </c>
      <c r="G152" s="51"/>
      <c r="H152" s="51" t="s">
        <v>207</v>
      </c>
      <c r="I152" s="51" t="s">
        <v>208</v>
      </c>
      <c r="J152" s="59">
        <v>36.57</v>
      </c>
      <c r="K152" s="60" t="s">
        <v>209</v>
      </c>
      <c r="L152" s="61">
        <v>61.77</v>
      </c>
      <c r="M152" s="62"/>
      <c r="N152" s="63">
        <f t="shared" si="26"/>
        <v>51.475000000000001</v>
      </c>
      <c r="O152" s="64">
        <f t="shared" si="27"/>
        <v>10.295000000000002</v>
      </c>
      <c r="P152" s="65">
        <f t="shared" si="28"/>
        <v>1.6890894175553732</v>
      </c>
      <c r="Q152" s="66">
        <f t="shared" si="34"/>
        <v>7.1846758349705304</v>
      </c>
      <c r="R152" s="51" t="s">
        <v>210</v>
      </c>
      <c r="S152" s="60" t="s">
        <v>204</v>
      </c>
      <c r="T152" s="52" t="str">
        <f t="shared" si="29"/>
        <v>Service commercial</v>
      </c>
      <c r="U152" s="51" t="s">
        <v>395</v>
      </c>
      <c r="V152" s="56" t="str">
        <f t="shared" si="30"/>
        <v>Conforme</v>
      </c>
      <c r="X152" s="57" t="str">
        <f t="shared" si="31"/>
        <v>Énergie</v>
      </c>
      <c r="Y152" s="57">
        <f t="shared" si="32"/>
        <v>1</v>
      </c>
      <c r="Z152" s="57">
        <f t="shared" si="35"/>
        <v>59478</v>
      </c>
      <c r="AA152" s="57">
        <f t="shared" si="36"/>
        <v>0</v>
      </c>
      <c r="AB152" s="57">
        <f t="shared" si="33"/>
        <v>0.2</v>
      </c>
      <c r="AC152" s="57">
        <f t="shared" si="37"/>
        <v>509</v>
      </c>
      <c r="AD152" s="57">
        <f t="shared" si="38"/>
        <v>36.57</v>
      </c>
      <c r="AE152" s="57" t="str">
        <f>IF(AND($D152=RelConducteur,$S152="Oui",ISNUMBER($C152),$C152&gt;=RelDebut,$C152&lt;=RelFin),COUNTIFS($D$9:$D152,RelConducteur,$S$9:$S152,"Oui",$C$9:$C152,"&gt;="&amp;RelDebut,$C$9:$C152,"&lt;="&amp;RelFin),"")</f>
        <v/>
      </c>
    </row>
    <row r="153" spans="2:31" ht="18" customHeight="1" x14ac:dyDescent="0.25">
      <c r="B153" s="48">
        <f>IF(C153="","",COUNT($C$9:C153))</f>
        <v>145</v>
      </c>
      <c r="C153" s="49">
        <v>46736</v>
      </c>
      <c r="D153" s="51" t="s">
        <v>148</v>
      </c>
      <c r="E153" s="53">
        <v>59959</v>
      </c>
      <c r="F153" s="51" t="s">
        <v>217</v>
      </c>
      <c r="G153" s="51"/>
      <c r="H153" s="51" t="s">
        <v>250</v>
      </c>
      <c r="I153" s="51" t="s">
        <v>219</v>
      </c>
      <c r="J153" s="59"/>
      <c r="K153" s="60"/>
      <c r="L153" s="61">
        <v>9</v>
      </c>
      <c r="M153" s="62"/>
      <c r="N153" s="63">
        <f t="shared" si="26"/>
        <v>7.5</v>
      </c>
      <c r="O153" s="64">
        <f t="shared" si="27"/>
        <v>1.5</v>
      </c>
      <c r="P153" s="65" t="str">
        <f t="shared" si="28"/>
        <v/>
      </c>
      <c r="Q153" s="66" t="str">
        <f t="shared" si="34"/>
        <v/>
      </c>
      <c r="R153" s="51" t="s">
        <v>215</v>
      </c>
      <c r="S153" s="60" t="s">
        <v>209</v>
      </c>
      <c r="T153" s="52" t="str">
        <f t="shared" si="29"/>
        <v>Service commercial</v>
      </c>
      <c r="U153" s="51" t="s">
        <v>396</v>
      </c>
      <c r="V153" s="56" t="str">
        <f t="shared" si="30"/>
        <v>Conforme</v>
      </c>
      <c r="X153" s="57" t="str">
        <f t="shared" si="31"/>
        <v>Frais fixes et divers</v>
      </c>
      <c r="Y153" s="57">
        <f t="shared" si="32"/>
        <v>0</v>
      </c>
      <c r="Z153" s="57">
        <f t="shared" si="35"/>
        <v>59478</v>
      </c>
      <c r="AA153" s="57">
        <f t="shared" si="36"/>
        <v>0</v>
      </c>
      <c r="AB153" s="57">
        <f t="shared" si="33"/>
        <v>0.2</v>
      </c>
      <c r="AC153" s="57" t="str">
        <f t="shared" si="37"/>
        <v/>
      </c>
      <c r="AD153" s="57" t="str">
        <f t="shared" si="38"/>
        <v/>
      </c>
      <c r="AE153" s="57" t="str">
        <f>IF(AND($D153=RelConducteur,$S153="Oui",ISNUMBER($C153),$C153&gt;=RelDebut,$C153&lt;=RelFin),COUNTIFS($D$9:$D153,RelConducteur,$S$9:$S153,"Oui",$C$9:$C153,"&gt;="&amp;RelDebut,$C$9:$C153,"&lt;="&amp;RelFin),"")</f>
        <v/>
      </c>
    </row>
    <row r="154" spans="2:31" ht="18" customHeight="1" x14ac:dyDescent="0.25">
      <c r="B154" s="48">
        <f>IF(C154="","",COUNT($C$9:C154))</f>
        <v>146</v>
      </c>
      <c r="C154" s="49">
        <v>46737</v>
      </c>
      <c r="D154" s="51" t="s">
        <v>148</v>
      </c>
      <c r="E154" s="53">
        <v>59990</v>
      </c>
      <c r="F154" s="51" t="s">
        <v>206</v>
      </c>
      <c r="G154" s="51"/>
      <c r="H154" s="51" t="s">
        <v>261</v>
      </c>
      <c r="I154" s="51" t="s">
        <v>208</v>
      </c>
      <c r="J154" s="59">
        <v>34.29</v>
      </c>
      <c r="K154" s="60" t="s">
        <v>209</v>
      </c>
      <c r="L154" s="61">
        <v>58.26</v>
      </c>
      <c r="M154" s="62"/>
      <c r="N154" s="63">
        <f t="shared" si="26"/>
        <v>48.55</v>
      </c>
      <c r="O154" s="64">
        <f t="shared" si="27"/>
        <v>9.7100000000000009</v>
      </c>
      <c r="P154" s="65">
        <f t="shared" si="28"/>
        <v>1.6990376202974629</v>
      </c>
      <c r="Q154" s="66">
        <f t="shared" si="34"/>
        <v>6.697265625</v>
      </c>
      <c r="R154" s="51" t="s">
        <v>210</v>
      </c>
      <c r="S154" s="60" t="s">
        <v>204</v>
      </c>
      <c r="T154" s="52" t="str">
        <f t="shared" si="29"/>
        <v>Service commercial</v>
      </c>
      <c r="U154" s="51" t="s">
        <v>397</v>
      </c>
      <c r="V154" s="56" t="str">
        <f t="shared" si="30"/>
        <v>Conforme</v>
      </c>
      <c r="X154" s="57" t="str">
        <f t="shared" si="31"/>
        <v>Énergie</v>
      </c>
      <c r="Y154" s="57">
        <f t="shared" si="32"/>
        <v>1</v>
      </c>
      <c r="Z154" s="57">
        <f t="shared" si="35"/>
        <v>59990</v>
      </c>
      <c r="AA154" s="57">
        <f t="shared" si="36"/>
        <v>0</v>
      </c>
      <c r="AB154" s="57">
        <f t="shared" si="33"/>
        <v>0.2</v>
      </c>
      <c r="AC154" s="57">
        <f t="shared" si="37"/>
        <v>512</v>
      </c>
      <c r="AD154" s="57">
        <f t="shared" si="38"/>
        <v>34.29</v>
      </c>
      <c r="AE154" s="57" t="str">
        <f>IF(AND($D154=RelConducteur,$S154="Oui",ISNUMBER($C154),$C154&gt;=RelDebut,$C154&lt;=RelFin),COUNTIFS($D$9:$D154,RelConducteur,$S$9:$S154,"Oui",$C$9:$C154,"&gt;="&amp;RelDebut,$C$9:$C154,"&lt;="&amp;RelFin),"")</f>
        <v/>
      </c>
    </row>
    <row r="155" spans="2:31" ht="18" customHeight="1" x14ac:dyDescent="0.25">
      <c r="B155" s="48">
        <f>IF(C155="","",COUNT($C$9:C155))</f>
        <v>147</v>
      </c>
      <c r="C155" s="49">
        <v>46737</v>
      </c>
      <c r="D155" s="51" t="s">
        <v>148</v>
      </c>
      <c r="E155" s="53">
        <v>60133</v>
      </c>
      <c r="F155" s="51" t="s">
        <v>212</v>
      </c>
      <c r="G155" s="51"/>
      <c r="H155" s="51" t="s">
        <v>213</v>
      </c>
      <c r="I155" s="51" t="s">
        <v>222</v>
      </c>
      <c r="J155" s="59"/>
      <c r="K155" s="60"/>
      <c r="L155" s="61">
        <v>14.6</v>
      </c>
      <c r="M155" s="62"/>
      <c r="N155" s="63">
        <f t="shared" si="26"/>
        <v>12.166666666666666</v>
      </c>
      <c r="O155" s="64">
        <f t="shared" si="27"/>
        <v>2.4333333333333336</v>
      </c>
      <c r="P155" s="65" t="str">
        <f t="shared" si="28"/>
        <v/>
      </c>
      <c r="Q155" s="66" t="str">
        <f t="shared" si="34"/>
        <v/>
      </c>
      <c r="R155" s="51" t="s">
        <v>215</v>
      </c>
      <c r="S155" s="60" t="s">
        <v>209</v>
      </c>
      <c r="T155" s="52" t="str">
        <f t="shared" si="29"/>
        <v>Service commercial</v>
      </c>
      <c r="U155" s="51" t="s">
        <v>398</v>
      </c>
      <c r="V155" s="56" t="str">
        <f t="shared" si="30"/>
        <v>Conforme</v>
      </c>
      <c r="X155" s="57" t="str">
        <f t="shared" si="31"/>
        <v>Frais fixes et divers</v>
      </c>
      <c r="Y155" s="57">
        <f t="shared" si="32"/>
        <v>0</v>
      </c>
      <c r="Z155" s="57">
        <f t="shared" si="35"/>
        <v>59990</v>
      </c>
      <c r="AA155" s="57">
        <f t="shared" si="36"/>
        <v>0</v>
      </c>
      <c r="AB155" s="57">
        <f t="shared" si="33"/>
        <v>0.2</v>
      </c>
      <c r="AC155" s="57" t="str">
        <f t="shared" si="37"/>
        <v/>
      </c>
      <c r="AD155" s="57" t="str">
        <f t="shared" si="38"/>
        <v/>
      </c>
      <c r="AE155" s="57" t="str">
        <f>IF(AND($D155=RelConducteur,$S155="Oui",ISNUMBER($C155),$C155&gt;=RelDebut,$C155&lt;=RelFin),COUNTIFS($D$9:$D155,RelConducteur,$S$9:$S155,"Oui",$C$9:$C155,"&gt;="&amp;RelDebut,$C$9:$C155,"&lt;="&amp;RelFin),"")</f>
        <v/>
      </c>
    </row>
    <row r="156" spans="2:31" ht="18" customHeight="1" x14ac:dyDescent="0.25">
      <c r="B156" s="48" t="str">
        <f>IF(C156="","",COUNT($C$9:C156))</f>
        <v/>
      </c>
      <c r="C156" s="49"/>
      <c r="D156" s="51"/>
      <c r="E156" s="53"/>
      <c r="F156" s="51"/>
      <c r="G156" s="51"/>
      <c r="H156" s="51"/>
      <c r="I156" s="51"/>
      <c r="J156" s="59"/>
      <c r="K156" s="60"/>
      <c r="L156" s="61"/>
      <c r="M156" s="62"/>
      <c r="N156" s="63" t="str">
        <f t="shared" si="26"/>
        <v/>
      </c>
      <c r="O156" s="64" t="str">
        <f t="shared" si="27"/>
        <v/>
      </c>
      <c r="P156" s="65" t="str">
        <f t="shared" si="28"/>
        <v/>
      </c>
      <c r="Q156" s="66" t="str">
        <f t="shared" si="34"/>
        <v/>
      </c>
      <c r="R156" s="51"/>
      <c r="S156" s="60"/>
      <c r="T156" s="52" t="str">
        <f t="shared" si="29"/>
        <v/>
      </c>
      <c r="U156" s="51"/>
      <c r="V156" s="56" t="str">
        <f t="shared" si="30"/>
        <v/>
      </c>
      <c r="X156" s="57" t="str">
        <f t="shared" si="31"/>
        <v/>
      </c>
      <c r="Y156" s="57">
        <f t="shared" si="32"/>
        <v>0</v>
      </c>
      <c r="Z156" s="57">
        <f t="shared" si="35"/>
        <v>59990</v>
      </c>
      <c r="AA156" s="57">
        <f t="shared" si="36"/>
        <v>0</v>
      </c>
      <c r="AB156" s="57">
        <f t="shared" si="33"/>
        <v>0.2</v>
      </c>
      <c r="AC156" s="57" t="str">
        <f t="shared" si="37"/>
        <v/>
      </c>
      <c r="AD156" s="57" t="str">
        <f t="shared" si="38"/>
        <v/>
      </c>
      <c r="AE156" s="57" t="str">
        <f>IF(AND($D156=RelConducteur,$S156="Oui",ISNUMBER($C156),$C156&gt;=RelDebut,$C156&lt;=RelFin),COUNTIFS($D$9:$D156,RelConducteur,$S$9:$S156,"Oui",$C$9:$C156,"&gt;="&amp;RelDebut,$C$9:$C156,"&lt;="&amp;RelFin),"")</f>
        <v/>
      </c>
    </row>
    <row r="157" spans="2:31" ht="18" customHeight="1" x14ac:dyDescent="0.25">
      <c r="B157" s="48" t="str">
        <f>IF(C157="","",COUNT($C$9:C157))</f>
        <v/>
      </c>
      <c r="C157" s="49"/>
      <c r="D157" s="51"/>
      <c r="E157" s="53"/>
      <c r="F157" s="51"/>
      <c r="G157" s="51"/>
      <c r="H157" s="51"/>
      <c r="I157" s="51"/>
      <c r="J157" s="59"/>
      <c r="K157" s="60"/>
      <c r="L157" s="61"/>
      <c r="M157" s="62"/>
      <c r="N157" s="63" t="str">
        <f t="shared" si="26"/>
        <v/>
      </c>
      <c r="O157" s="64" t="str">
        <f t="shared" si="27"/>
        <v/>
      </c>
      <c r="P157" s="65" t="str">
        <f t="shared" si="28"/>
        <v/>
      </c>
      <c r="Q157" s="66" t="str">
        <f t="shared" si="34"/>
        <v/>
      </c>
      <c r="R157" s="51"/>
      <c r="S157" s="60"/>
      <c r="T157" s="52" t="str">
        <f t="shared" si="29"/>
        <v/>
      </c>
      <c r="U157" s="51"/>
      <c r="V157" s="56" t="str">
        <f t="shared" si="30"/>
        <v/>
      </c>
      <c r="X157" s="57" t="str">
        <f t="shared" si="31"/>
        <v/>
      </c>
      <c r="Y157" s="57">
        <f t="shared" si="32"/>
        <v>0</v>
      </c>
      <c r="Z157" s="57">
        <f t="shared" si="35"/>
        <v>59990</v>
      </c>
      <c r="AA157" s="57">
        <f t="shared" si="36"/>
        <v>0</v>
      </c>
      <c r="AB157" s="57">
        <f t="shared" si="33"/>
        <v>0.2</v>
      </c>
      <c r="AC157" s="57" t="str">
        <f t="shared" si="37"/>
        <v/>
      </c>
      <c r="AD157" s="57" t="str">
        <f t="shared" si="38"/>
        <v/>
      </c>
      <c r="AE157" s="57" t="str">
        <f>IF(AND($D157=RelConducteur,$S157="Oui",ISNUMBER($C157),$C157&gt;=RelDebut,$C157&lt;=RelFin),COUNTIFS($D$9:$D157,RelConducteur,$S$9:$S157,"Oui",$C$9:$C157,"&gt;="&amp;RelDebut,$C$9:$C157,"&lt;="&amp;RelFin),"")</f>
        <v/>
      </c>
    </row>
    <row r="158" spans="2:31" ht="18" customHeight="1" x14ac:dyDescent="0.25">
      <c r="B158" s="48" t="str">
        <f>IF(C158="","",COUNT($C$9:C158))</f>
        <v/>
      </c>
      <c r="C158" s="49"/>
      <c r="D158" s="51"/>
      <c r="E158" s="53"/>
      <c r="F158" s="51"/>
      <c r="G158" s="51"/>
      <c r="H158" s="51"/>
      <c r="I158" s="51"/>
      <c r="J158" s="59"/>
      <c r="K158" s="60"/>
      <c r="L158" s="61"/>
      <c r="M158" s="62"/>
      <c r="N158" s="63" t="str">
        <f t="shared" si="26"/>
        <v/>
      </c>
      <c r="O158" s="64" t="str">
        <f t="shared" si="27"/>
        <v/>
      </c>
      <c r="P158" s="65" t="str">
        <f t="shared" si="28"/>
        <v/>
      </c>
      <c r="Q158" s="66" t="str">
        <f t="shared" si="34"/>
        <v/>
      </c>
      <c r="R158" s="51"/>
      <c r="S158" s="60"/>
      <c r="T158" s="52" t="str">
        <f t="shared" si="29"/>
        <v/>
      </c>
      <c r="U158" s="51"/>
      <c r="V158" s="56" t="str">
        <f t="shared" si="30"/>
        <v/>
      </c>
      <c r="X158" s="57" t="str">
        <f t="shared" si="31"/>
        <v/>
      </c>
      <c r="Y158" s="57">
        <f t="shared" si="32"/>
        <v>0</v>
      </c>
      <c r="Z158" s="57">
        <f t="shared" si="35"/>
        <v>59990</v>
      </c>
      <c r="AA158" s="57">
        <f t="shared" si="36"/>
        <v>0</v>
      </c>
      <c r="AB158" s="57">
        <f t="shared" si="33"/>
        <v>0.2</v>
      </c>
      <c r="AC158" s="57" t="str">
        <f t="shared" si="37"/>
        <v/>
      </c>
      <c r="AD158" s="57" t="str">
        <f t="shared" si="38"/>
        <v/>
      </c>
      <c r="AE158" s="57" t="str">
        <f>IF(AND($D158=RelConducteur,$S158="Oui",ISNUMBER($C158),$C158&gt;=RelDebut,$C158&lt;=RelFin),COUNTIFS($D$9:$D158,RelConducteur,$S$9:$S158,"Oui",$C$9:$C158,"&gt;="&amp;RelDebut,$C$9:$C158,"&lt;="&amp;RelFin),"")</f>
        <v/>
      </c>
    </row>
    <row r="159" spans="2:31" ht="18" customHeight="1" x14ac:dyDescent="0.25">
      <c r="B159" s="48" t="str">
        <f>IF(C159="","",COUNT($C$9:C159))</f>
        <v/>
      </c>
      <c r="C159" s="49"/>
      <c r="D159" s="51"/>
      <c r="E159" s="53"/>
      <c r="F159" s="51"/>
      <c r="G159" s="51"/>
      <c r="H159" s="51"/>
      <c r="I159" s="51"/>
      <c r="J159" s="59"/>
      <c r="K159" s="60"/>
      <c r="L159" s="61"/>
      <c r="M159" s="62"/>
      <c r="N159" s="63" t="str">
        <f t="shared" si="26"/>
        <v/>
      </c>
      <c r="O159" s="64" t="str">
        <f t="shared" si="27"/>
        <v/>
      </c>
      <c r="P159" s="65" t="str">
        <f t="shared" si="28"/>
        <v/>
      </c>
      <c r="Q159" s="66" t="str">
        <f t="shared" si="34"/>
        <v/>
      </c>
      <c r="R159" s="51"/>
      <c r="S159" s="60"/>
      <c r="T159" s="52" t="str">
        <f t="shared" si="29"/>
        <v/>
      </c>
      <c r="U159" s="51"/>
      <c r="V159" s="56" t="str">
        <f t="shared" si="30"/>
        <v/>
      </c>
      <c r="X159" s="57" t="str">
        <f t="shared" si="31"/>
        <v/>
      </c>
      <c r="Y159" s="57">
        <f t="shared" si="32"/>
        <v>0</v>
      </c>
      <c r="Z159" s="57">
        <f t="shared" si="35"/>
        <v>59990</v>
      </c>
      <c r="AA159" s="57">
        <f t="shared" si="36"/>
        <v>0</v>
      </c>
      <c r="AB159" s="57">
        <f t="shared" si="33"/>
        <v>0.2</v>
      </c>
      <c r="AC159" s="57" t="str">
        <f t="shared" si="37"/>
        <v/>
      </c>
      <c r="AD159" s="57" t="str">
        <f t="shared" si="38"/>
        <v/>
      </c>
      <c r="AE159" s="57" t="str">
        <f>IF(AND($D159=RelConducteur,$S159="Oui",ISNUMBER($C159),$C159&gt;=RelDebut,$C159&lt;=RelFin),COUNTIFS($D$9:$D159,RelConducteur,$S$9:$S159,"Oui",$C$9:$C159,"&gt;="&amp;RelDebut,$C$9:$C159,"&lt;="&amp;RelFin),"")</f>
        <v/>
      </c>
    </row>
    <row r="160" spans="2:31" ht="18" customHeight="1" x14ac:dyDescent="0.25">
      <c r="B160" s="48" t="str">
        <f>IF(C160="","",COUNT($C$9:C160))</f>
        <v/>
      </c>
      <c r="C160" s="49"/>
      <c r="D160" s="51"/>
      <c r="E160" s="53"/>
      <c r="F160" s="51"/>
      <c r="G160" s="51"/>
      <c r="H160" s="51"/>
      <c r="I160" s="51"/>
      <c r="J160" s="59"/>
      <c r="K160" s="60"/>
      <c r="L160" s="61"/>
      <c r="M160" s="62"/>
      <c r="N160" s="63" t="str">
        <f t="shared" si="26"/>
        <v/>
      </c>
      <c r="O160" s="64" t="str">
        <f t="shared" si="27"/>
        <v/>
      </c>
      <c r="P160" s="65" t="str">
        <f t="shared" si="28"/>
        <v/>
      </c>
      <c r="Q160" s="66" t="str">
        <f t="shared" si="34"/>
        <v/>
      </c>
      <c r="R160" s="51"/>
      <c r="S160" s="60"/>
      <c r="T160" s="52" t="str">
        <f t="shared" si="29"/>
        <v/>
      </c>
      <c r="U160" s="51"/>
      <c r="V160" s="56" t="str">
        <f t="shared" si="30"/>
        <v/>
      </c>
      <c r="X160" s="57" t="str">
        <f t="shared" si="31"/>
        <v/>
      </c>
      <c r="Y160" s="57">
        <f t="shared" si="32"/>
        <v>0</v>
      </c>
      <c r="Z160" s="57">
        <f t="shared" si="35"/>
        <v>59990</v>
      </c>
      <c r="AA160" s="57">
        <f t="shared" si="36"/>
        <v>0</v>
      </c>
      <c r="AB160" s="57">
        <f t="shared" si="33"/>
        <v>0.2</v>
      </c>
      <c r="AC160" s="57" t="str">
        <f t="shared" si="37"/>
        <v/>
      </c>
      <c r="AD160" s="57" t="str">
        <f t="shared" si="38"/>
        <v/>
      </c>
      <c r="AE160" s="57" t="str">
        <f>IF(AND($D160=RelConducteur,$S160="Oui",ISNUMBER($C160),$C160&gt;=RelDebut,$C160&lt;=RelFin),COUNTIFS($D$9:$D160,RelConducteur,$S$9:$S160,"Oui",$C$9:$C160,"&gt;="&amp;RelDebut,$C$9:$C160,"&lt;="&amp;RelFin),"")</f>
        <v/>
      </c>
    </row>
    <row r="161" spans="2:31" ht="18" customHeight="1" x14ac:dyDescent="0.25">
      <c r="B161" s="48" t="str">
        <f>IF(C161="","",COUNT($C$9:C161))</f>
        <v/>
      </c>
      <c r="C161" s="49"/>
      <c r="D161" s="51"/>
      <c r="E161" s="53"/>
      <c r="F161" s="51"/>
      <c r="G161" s="51"/>
      <c r="H161" s="51"/>
      <c r="I161" s="51"/>
      <c r="J161" s="59"/>
      <c r="K161" s="60"/>
      <c r="L161" s="61"/>
      <c r="M161" s="62"/>
      <c r="N161" s="63" t="str">
        <f t="shared" si="26"/>
        <v/>
      </c>
      <c r="O161" s="64" t="str">
        <f t="shared" si="27"/>
        <v/>
      </c>
      <c r="P161" s="65" t="str">
        <f t="shared" si="28"/>
        <v/>
      </c>
      <c r="Q161" s="66" t="str">
        <f t="shared" si="34"/>
        <v/>
      </c>
      <c r="R161" s="51"/>
      <c r="S161" s="60"/>
      <c r="T161" s="52" t="str">
        <f t="shared" si="29"/>
        <v/>
      </c>
      <c r="U161" s="51"/>
      <c r="V161" s="56" t="str">
        <f t="shared" si="30"/>
        <v/>
      </c>
      <c r="X161" s="57" t="str">
        <f t="shared" si="31"/>
        <v/>
      </c>
      <c r="Y161" s="57">
        <f t="shared" si="32"/>
        <v>0</v>
      </c>
      <c r="Z161" s="57">
        <f t="shared" si="35"/>
        <v>59990</v>
      </c>
      <c r="AA161" s="57">
        <f t="shared" si="36"/>
        <v>0</v>
      </c>
      <c r="AB161" s="57">
        <f t="shared" si="33"/>
        <v>0.2</v>
      </c>
      <c r="AC161" s="57" t="str">
        <f t="shared" si="37"/>
        <v/>
      </c>
      <c r="AD161" s="57" t="str">
        <f t="shared" si="38"/>
        <v/>
      </c>
      <c r="AE161" s="57" t="str">
        <f>IF(AND($D161=RelConducteur,$S161="Oui",ISNUMBER($C161),$C161&gt;=RelDebut,$C161&lt;=RelFin),COUNTIFS($D$9:$D161,RelConducteur,$S$9:$S161,"Oui",$C$9:$C161,"&gt;="&amp;RelDebut,$C$9:$C161,"&lt;="&amp;RelFin),"")</f>
        <v/>
      </c>
    </row>
    <row r="162" spans="2:31" ht="18" customHeight="1" x14ac:dyDescent="0.25">
      <c r="B162" s="48" t="str">
        <f>IF(C162="","",COUNT($C$9:C162))</f>
        <v/>
      </c>
      <c r="C162" s="49"/>
      <c r="D162" s="51"/>
      <c r="E162" s="53"/>
      <c r="F162" s="51"/>
      <c r="G162" s="51"/>
      <c r="H162" s="51"/>
      <c r="I162" s="51"/>
      <c r="J162" s="59"/>
      <c r="K162" s="60"/>
      <c r="L162" s="61"/>
      <c r="M162" s="62"/>
      <c r="N162" s="63" t="str">
        <f t="shared" si="26"/>
        <v/>
      </c>
      <c r="O162" s="64" t="str">
        <f t="shared" si="27"/>
        <v/>
      </c>
      <c r="P162" s="65" t="str">
        <f t="shared" si="28"/>
        <v/>
      </c>
      <c r="Q162" s="66" t="str">
        <f t="shared" si="34"/>
        <v/>
      </c>
      <c r="R162" s="51"/>
      <c r="S162" s="60"/>
      <c r="T162" s="52" t="str">
        <f t="shared" si="29"/>
        <v/>
      </c>
      <c r="U162" s="51"/>
      <c r="V162" s="56" t="str">
        <f t="shared" si="30"/>
        <v/>
      </c>
      <c r="X162" s="57" t="str">
        <f t="shared" si="31"/>
        <v/>
      </c>
      <c r="Y162" s="57">
        <f t="shared" si="32"/>
        <v>0</v>
      </c>
      <c r="Z162" s="57">
        <f t="shared" si="35"/>
        <v>59990</v>
      </c>
      <c r="AA162" s="57">
        <f t="shared" si="36"/>
        <v>0</v>
      </c>
      <c r="AB162" s="57">
        <f t="shared" si="33"/>
        <v>0.2</v>
      </c>
      <c r="AC162" s="57" t="str">
        <f t="shared" si="37"/>
        <v/>
      </c>
      <c r="AD162" s="57" t="str">
        <f t="shared" si="38"/>
        <v/>
      </c>
      <c r="AE162" s="57" t="str">
        <f>IF(AND($D162=RelConducteur,$S162="Oui",ISNUMBER($C162),$C162&gt;=RelDebut,$C162&lt;=RelFin),COUNTIFS($D$9:$D162,RelConducteur,$S$9:$S162,"Oui",$C$9:$C162,"&gt;="&amp;RelDebut,$C$9:$C162,"&lt;="&amp;RelFin),"")</f>
        <v/>
      </c>
    </row>
    <row r="163" spans="2:31" ht="18" customHeight="1" x14ac:dyDescent="0.25">
      <c r="B163" s="48" t="str">
        <f>IF(C163="","",COUNT($C$9:C163))</f>
        <v/>
      </c>
      <c r="C163" s="49"/>
      <c r="D163" s="51"/>
      <c r="E163" s="53"/>
      <c r="F163" s="51"/>
      <c r="G163" s="51"/>
      <c r="H163" s="51"/>
      <c r="I163" s="51"/>
      <c r="J163" s="59"/>
      <c r="K163" s="60"/>
      <c r="L163" s="61"/>
      <c r="M163" s="62"/>
      <c r="N163" s="63" t="str">
        <f t="shared" si="26"/>
        <v/>
      </c>
      <c r="O163" s="64" t="str">
        <f t="shared" si="27"/>
        <v/>
      </c>
      <c r="P163" s="65" t="str">
        <f t="shared" si="28"/>
        <v/>
      </c>
      <c r="Q163" s="66" t="str">
        <f t="shared" si="34"/>
        <v/>
      </c>
      <c r="R163" s="51"/>
      <c r="S163" s="60"/>
      <c r="T163" s="52" t="str">
        <f t="shared" si="29"/>
        <v/>
      </c>
      <c r="U163" s="51"/>
      <c r="V163" s="56" t="str">
        <f t="shared" si="30"/>
        <v/>
      </c>
      <c r="X163" s="57" t="str">
        <f t="shared" si="31"/>
        <v/>
      </c>
      <c r="Y163" s="57">
        <f t="shared" si="32"/>
        <v>0</v>
      </c>
      <c r="Z163" s="57">
        <f t="shared" si="35"/>
        <v>59990</v>
      </c>
      <c r="AA163" s="57">
        <f t="shared" si="36"/>
        <v>0</v>
      </c>
      <c r="AB163" s="57">
        <f t="shared" si="33"/>
        <v>0.2</v>
      </c>
      <c r="AC163" s="57" t="str">
        <f t="shared" si="37"/>
        <v/>
      </c>
      <c r="AD163" s="57" t="str">
        <f t="shared" si="38"/>
        <v/>
      </c>
      <c r="AE163" s="57" t="str">
        <f>IF(AND($D163=RelConducteur,$S163="Oui",ISNUMBER($C163),$C163&gt;=RelDebut,$C163&lt;=RelFin),COUNTIFS($D$9:$D163,RelConducteur,$S$9:$S163,"Oui",$C$9:$C163,"&gt;="&amp;RelDebut,$C$9:$C163,"&lt;="&amp;RelFin),"")</f>
        <v/>
      </c>
    </row>
    <row r="164" spans="2:31" ht="18" customHeight="1" x14ac:dyDescent="0.25">
      <c r="B164" s="48" t="str">
        <f>IF(C164="","",COUNT($C$9:C164))</f>
        <v/>
      </c>
      <c r="C164" s="49"/>
      <c r="D164" s="51"/>
      <c r="E164" s="53"/>
      <c r="F164" s="51"/>
      <c r="G164" s="51"/>
      <c r="H164" s="51"/>
      <c r="I164" s="51"/>
      <c r="J164" s="59"/>
      <c r="K164" s="60"/>
      <c r="L164" s="61"/>
      <c r="M164" s="62"/>
      <c r="N164" s="63" t="str">
        <f t="shared" si="26"/>
        <v/>
      </c>
      <c r="O164" s="64" t="str">
        <f t="shared" si="27"/>
        <v/>
      </c>
      <c r="P164" s="65" t="str">
        <f t="shared" si="28"/>
        <v/>
      </c>
      <c r="Q164" s="66" t="str">
        <f t="shared" si="34"/>
        <v/>
      </c>
      <c r="R164" s="51"/>
      <c r="S164" s="60"/>
      <c r="T164" s="52" t="str">
        <f t="shared" si="29"/>
        <v/>
      </c>
      <c r="U164" s="51"/>
      <c r="V164" s="56" t="str">
        <f t="shared" si="30"/>
        <v/>
      </c>
      <c r="X164" s="57" t="str">
        <f t="shared" si="31"/>
        <v/>
      </c>
      <c r="Y164" s="57">
        <f t="shared" si="32"/>
        <v>0</v>
      </c>
      <c r="Z164" s="57">
        <f t="shared" si="35"/>
        <v>59990</v>
      </c>
      <c r="AA164" s="57">
        <f t="shared" si="36"/>
        <v>0</v>
      </c>
      <c r="AB164" s="57">
        <f t="shared" si="33"/>
        <v>0.2</v>
      </c>
      <c r="AC164" s="57" t="str">
        <f t="shared" si="37"/>
        <v/>
      </c>
      <c r="AD164" s="57" t="str">
        <f t="shared" si="38"/>
        <v/>
      </c>
      <c r="AE164" s="57" t="str">
        <f>IF(AND($D164=RelConducteur,$S164="Oui",ISNUMBER($C164),$C164&gt;=RelDebut,$C164&lt;=RelFin),COUNTIFS($D$9:$D164,RelConducteur,$S$9:$S164,"Oui",$C$9:$C164,"&gt;="&amp;RelDebut,$C$9:$C164,"&lt;="&amp;RelFin),"")</f>
        <v/>
      </c>
    </row>
    <row r="165" spans="2:31" ht="18" customHeight="1" x14ac:dyDescent="0.25">
      <c r="B165" s="48" t="str">
        <f>IF(C165="","",COUNT($C$9:C165))</f>
        <v/>
      </c>
      <c r="C165" s="49"/>
      <c r="D165" s="51"/>
      <c r="E165" s="53"/>
      <c r="F165" s="51"/>
      <c r="G165" s="51"/>
      <c r="H165" s="51"/>
      <c r="I165" s="51"/>
      <c r="J165" s="59"/>
      <c r="K165" s="60"/>
      <c r="L165" s="61"/>
      <c r="M165" s="62"/>
      <c r="N165" s="63" t="str">
        <f t="shared" si="26"/>
        <v/>
      </c>
      <c r="O165" s="64" t="str">
        <f t="shared" si="27"/>
        <v/>
      </c>
      <c r="P165" s="65" t="str">
        <f t="shared" si="28"/>
        <v/>
      </c>
      <c r="Q165" s="66" t="str">
        <f t="shared" si="34"/>
        <v/>
      </c>
      <c r="R165" s="51"/>
      <c r="S165" s="60"/>
      <c r="T165" s="52" t="str">
        <f t="shared" si="29"/>
        <v/>
      </c>
      <c r="U165" s="51"/>
      <c r="V165" s="56" t="str">
        <f t="shared" si="30"/>
        <v/>
      </c>
      <c r="X165" s="57" t="str">
        <f t="shared" si="31"/>
        <v/>
      </c>
      <c r="Y165" s="57">
        <f t="shared" si="32"/>
        <v>0</v>
      </c>
      <c r="Z165" s="57">
        <f t="shared" si="35"/>
        <v>59990</v>
      </c>
      <c r="AA165" s="57">
        <f t="shared" si="36"/>
        <v>0</v>
      </c>
      <c r="AB165" s="57">
        <f t="shared" si="33"/>
        <v>0.2</v>
      </c>
      <c r="AC165" s="57" t="str">
        <f t="shared" si="37"/>
        <v/>
      </c>
      <c r="AD165" s="57" t="str">
        <f t="shared" si="38"/>
        <v/>
      </c>
      <c r="AE165" s="57" t="str">
        <f>IF(AND($D165=RelConducteur,$S165="Oui",ISNUMBER($C165),$C165&gt;=RelDebut,$C165&lt;=RelFin),COUNTIFS($D$9:$D165,RelConducteur,$S$9:$S165,"Oui",$C$9:$C165,"&gt;="&amp;RelDebut,$C$9:$C165,"&lt;="&amp;RelFin),"")</f>
        <v/>
      </c>
    </row>
    <row r="166" spans="2:31" ht="18" customHeight="1" x14ac:dyDescent="0.25">
      <c r="B166" s="48" t="str">
        <f>IF(C166="","",COUNT($C$9:C166))</f>
        <v/>
      </c>
      <c r="C166" s="49"/>
      <c r="D166" s="51"/>
      <c r="E166" s="53"/>
      <c r="F166" s="51"/>
      <c r="G166" s="51"/>
      <c r="H166" s="51"/>
      <c r="I166" s="51"/>
      <c r="J166" s="59"/>
      <c r="K166" s="60"/>
      <c r="L166" s="61"/>
      <c r="M166" s="62"/>
      <c r="N166" s="63" t="str">
        <f t="shared" si="26"/>
        <v/>
      </c>
      <c r="O166" s="64" t="str">
        <f t="shared" si="27"/>
        <v/>
      </c>
      <c r="P166" s="65" t="str">
        <f t="shared" si="28"/>
        <v/>
      </c>
      <c r="Q166" s="66" t="str">
        <f t="shared" si="34"/>
        <v/>
      </c>
      <c r="R166" s="51"/>
      <c r="S166" s="60"/>
      <c r="T166" s="52" t="str">
        <f t="shared" si="29"/>
        <v/>
      </c>
      <c r="U166" s="51"/>
      <c r="V166" s="56" t="str">
        <f t="shared" si="30"/>
        <v/>
      </c>
      <c r="X166" s="57" t="str">
        <f t="shared" si="31"/>
        <v/>
      </c>
      <c r="Y166" s="57">
        <f t="shared" si="32"/>
        <v>0</v>
      </c>
      <c r="Z166" s="57">
        <f t="shared" si="35"/>
        <v>59990</v>
      </c>
      <c r="AA166" s="57">
        <f t="shared" si="36"/>
        <v>0</v>
      </c>
      <c r="AB166" s="57">
        <f t="shared" si="33"/>
        <v>0.2</v>
      </c>
      <c r="AC166" s="57" t="str">
        <f t="shared" si="37"/>
        <v/>
      </c>
      <c r="AD166" s="57" t="str">
        <f t="shared" si="38"/>
        <v/>
      </c>
      <c r="AE166" s="57" t="str">
        <f>IF(AND($D166=RelConducteur,$S166="Oui",ISNUMBER($C166),$C166&gt;=RelDebut,$C166&lt;=RelFin),COUNTIFS($D$9:$D166,RelConducteur,$S$9:$S166,"Oui",$C$9:$C166,"&gt;="&amp;RelDebut,$C$9:$C166,"&lt;="&amp;RelFin),"")</f>
        <v/>
      </c>
    </row>
    <row r="167" spans="2:31" ht="18" customHeight="1" x14ac:dyDescent="0.25">
      <c r="B167" s="48" t="str">
        <f>IF(C167="","",COUNT($C$9:C167))</f>
        <v/>
      </c>
      <c r="C167" s="49"/>
      <c r="D167" s="51"/>
      <c r="E167" s="53"/>
      <c r="F167" s="51"/>
      <c r="G167" s="51"/>
      <c r="H167" s="51"/>
      <c r="I167" s="51"/>
      <c r="J167" s="59"/>
      <c r="K167" s="60"/>
      <c r="L167" s="61"/>
      <c r="M167" s="62"/>
      <c r="N167" s="63" t="str">
        <f t="shared" si="26"/>
        <v/>
      </c>
      <c r="O167" s="64" t="str">
        <f t="shared" si="27"/>
        <v/>
      </c>
      <c r="P167" s="65" t="str">
        <f t="shared" si="28"/>
        <v/>
      </c>
      <c r="Q167" s="66" t="str">
        <f t="shared" si="34"/>
        <v/>
      </c>
      <c r="R167" s="51"/>
      <c r="S167" s="60"/>
      <c r="T167" s="52" t="str">
        <f t="shared" si="29"/>
        <v/>
      </c>
      <c r="U167" s="51"/>
      <c r="V167" s="56" t="str">
        <f t="shared" si="30"/>
        <v/>
      </c>
      <c r="X167" s="57" t="str">
        <f t="shared" si="31"/>
        <v/>
      </c>
      <c r="Y167" s="57">
        <f t="shared" si="32"/>
        <v>0</v>
      </c>
      <c r="Z167" s="57">
        <f t="shared" si="35"/>
        <v>59990</v>
      </c>
      <c r="AA167" s="57">
        <f t="shared" si="36"/>
        <v>0</v>
      </c>
      <c r="AB167" s="57">
        <f t="shared" si="33"/>
        <v>0.2</v>
      </c>
      <c r="AC167" s="57" t="str">
        <f t="shared" si="37"/>
        <v/>
      </c>
      <c r="AD167" s="57" t="str">
        <f t="shared" si="38"/>
        <v/>
      </c>
      <c r="AE167" s="57" t="str">
        <f>IF(AND($D167=RelConducteur,$S167="Oui",ISNUMBER($C167),$C167&gt;=RelDebut,$C167&lt;=RelFin),COUNTIFS($D$9:$D167,RelConducteur,$S$9:$S167,"Oui",$C$9:$C167,"&gt;="&amp;RelDebut,$C$9:$C167,"&lt;="&amp;RelFin),"")</f>
        <v/>
      </c>
    </row>
    <row r="168" spans="2:31" ht="18" customHeight="1" x14ac:dyDescent="0.25">
      <c r="B168" s="48" t="str">
        <f>IF(C168="","",COUNT($C$9:C168))</f>
        <v/>
      </c>
      <c r="C168" s="49"/>
      <c r="D168" s="51"/>
      <c r="E168" s="53"/>
      <c r="F168" s="51"/>
      <c r="G168" s="51"/>
      <c r="H168" s="51"/>
      <c r="I168" s="51"/>
      <c r="J168" s="59"/>
      <c r="K168" s="60"/>
      <c r="L168" s="61"/>
      <c r="M168" s="62"/>
      <c r="N168" s="63" t="str">
        <f t="shared" si="26"/>
        <v/>
      </c>
      <c r="O168" s="64" t="str">
        <f t="shared" si="27"/>
        <v/>
      </c>
      <c r="P168" s="65" t="str">
        <f t="shared" si="28"/>
        <v/>
      </c>
      <c r="Q168" s="66" t="str">
        <f t="shared" si="34"/>
        <v/>
      </c>
      <c r="R168" s="51"/>
      <c r="S168" s="60"/>
      <c r="T168" s="52" t="str">
        <f t="shared" si="29"/>
        <v/>
      </c>
      <c r="U168" s="51"/>
      <c r="V168" s="56" t="str">
        <f t="shared" si="30"/>
        <v/>
      </c>
      <c r="X168" s="57" t="str">
        <f t="shared" si="31"/>
        <v/>
      </c>
      <c r="Y168" s="57">
        <f t="shared" si="32"/>
        <v>0</v>
      </c>
      <c r="Z168" s="57">
        <f t="shared" si="35"/>
        <v>59990</v>
      </c>
      <c r="AA168" s="57">
        <f t="shared" si="36"/>
        <v>0</v>
      </c>
      <c r="AB168" s="57">
        <f t="shared" si="33"/>
        <v>0.2</v>
      </c>
      <c r="AC168" s="57" t="str">
        <f t="shared" si="37"/>
        <v/>
      </c>
      <c r="AD168" s="57" t="str">
        <f t="shared" si="38"/>
        <v/>
      </c>
      <c r="AE168" s="57" t="str">
        <f>IF(AND($D168=RelConducteur,$S168="Oui",ISNUMBER($C168),$C168&gt;=RelDebut,$C168&lt;=RelFin),COUNTIFS($D$9:$D168,RelConducteur,$S$9:$S168,"Oui",$C$9:$C168,"&gt;="&amp;RelDebut,$C$9:$C168,"&lt;="&amp;RelFin),"")</f>
        <v/>
      </c>
    </row>
    <row r="169" spans="2:31" ht="18" customHeight="1" x14ac:dyDescent="0.25">
      <c r="B169" s="48" t="str">
        <f>IF(C169="","",COUNT($C$9:C169))</f>
        <v/>
      </c>
      <c r="C169" s="49"/>
      <c r="D169" s="51"/>
      <c r="E169" s="53"/>
      <c r="F169" s="51"/>
      <c r="G169" s="51"/>
      <c r="H169" s="51"/>
      <c r="I169" s="51"/>
      <c r="J169" s="59"/>
      <c r="K169" s="60"/>
      <c r="L169" s="61"/>
      <c r="M169" s="62"/>
      <c r="N169" s="63" t="str">
        <f t="shared" si="26"/>
        <v/>
      </c>
      <c r="O169" s="64" t="str">
        <f t="shared" si="27"/>
        <v/>
      </c>
      <c r="P169" s="65" t="str">
        <f t="shared" si="28"/>
        <v/>
      </c>
      <c r="Q169" s="66" t="str">
        <f t="shared" si="34"/>
        <v/>
      </c>
      <c r="R169" s="51"/>
      <c r="S169" s="60"/>
      <c r="T169" s="52" t="str">
        <f t="shared" si="29"/>
        <v/>
      </c>
      <c r="U169" s="51"/>
      <c r="V169" s="56" t="str">
        <f t="shared" si="30"/>
        <v/>
      </c>
      <c r="X169" s="57" t="str">
        <f t="shared" si="31"/>
        <v/>
      </c>
      <c r="Y169" s="57">
        <f t="shared" si="32"/>
        <v>0</v>
      </c>
      <c r="Z169" s="57">
        <f t="shared" si="35"/>
        <v>59990</v>
      </c>
      <c r="AA169" s="57">
        <f t="shared" si="36"/>
        <v>0</v>
      </c>
      <c r="AB169" s="57">
        <f t="shared" si="33"/>
        <v>0.2</v>
      </c>
      <c r="AC169" s="57" t="str">
        <f t="shared" si="37"/>
        <v/>
      </c>
      <c r="AD169" s="57" t="str">
        <f t="shared" si="38"/>
        <v/>
      </c>
      <c r="AE169" s="57" t="str">
        <f>IF(AND($D169=RelConducteur,$S169="Oui",ISNUMBER($C169),$C169&gt;=RelDebut,$C169&lt;=RelFin),COUNTIFS($D$9:$D169,RelConducteur,$S$9:$S169,"Oui",$C$9:$C169,"&gt;="&amp;RelDebut,$C$9:$C169,"&lt;="&amp;RelFin),"")</f>
        <v/>
      </c>
    </row>
    <row r="170" spans="2:31" ht="18" customHeight="1" x14ac:dyDescent="0.25">
      <c r="B170" s="48" t="str">
        <f>IF(C170="","",COUNT($C$9:C170))</f>
        <v/>
      </c>
      <c r="C170" s="49"/>
      <c r="D170" s="51"/>
      <c r="E170" s="53"/>
      <c r="F170" s="51"/>
      <c r="G170" s="51"/>
      <c r="H170" s="51"/>
      <c r="I170" s="51"/>
      <c r="J170" s="59"/>
      <c r="K170" s="60"/>
      <c r="L170" s="61"/>
      <c r="M170" s="62"/>
      <c r="N170" s="63" t="str">
        <f t="shared" si="26"/>
        <v/>
      </c>
      <c r="O170" s="64" t="str">
        <f t="shared" si="27"/>
        <v/>
      </c>
      <c r="P170" s="65" t="str">
        <f t="shared" si="28"/>
        <v/>
      </c>
      <c r="Q170" s="66" t="str">
        <f t="shared" si="34"/>
        <v/>
      </c>
      <c r="R170" s="51"/>
      <c r="S170" s="60"/>
      <c r="T170" s="52" t="str">
        <f t="shared" si="29"/>
        <v/>
      </c>
      <c r="U170" s="51"/>
      <c r="V170" s="56" t="str">
        <f t="shared" si="30"/>
        <v/>
      </c>
      <c r="X170" s="57" t="str">
        <f t="shared" si="31"/>
        <v/>
      </c>
      <c r="Y170" s="57">
        <f t="shared" si="32"/>
        <v>0</v>
      </c>
      <c r="Z170" s="57">
        <f t="shared" si="35"/>
        <v>59990</v>
      </c>
      <c r="AA170" s="57">
        <f t="shared" si="36"/>
        <v>0</v>
      </c>
      <c r="AB170" s="57">
        <f t="shared" si="33"/>
        <v>0.2</v>
      </c>
      <c r="AC170" s="57" t="str">
        <f t="shared" si="37"/>
        <v/>
      </c>
      <c r="AD170" s="57" t="str">
        <f t="shared" si="38"/>
        <v/>
      </c>
      <c r="AE170" s="57" t="str">
        <f>IF(AND($D170=RelConducteur,$S170="Oui",ISNUMBER($C170),$C170&gt;=RelDebut,$C170&lt;=RelFin),COUNTIFS($D$9:$D170,RelConducteur,$S$9:$S170,"Oui",$C$9:$C170,"&gt;="&amp;RelDebut,$C$9:$C170,"&lt;="&amp;RelFin),"")</f>
        <v/>
      </c>
    </row>
    <row r="171" spans="2:31" ht="18" customHeight="1" x14ac:dyDescent="0.25">
      <c r="B171" s="48" t="str">
        <f>IF(C171="","",COUNT($C$9:C171))</f>
        <v/>
      </c>
      <c r="C171" s="49"/>
      <c r="D171" s="51"/>
      <c r="E171" s="53"/>
      <c r="F171" s="51"/>
      <c r="G171" s="51"/>
      <c r="H171" s="51"/>
      <c r="I171" s="51"/>
      <c r="J171" s="59"/>
      <c r="K171" s="60"/>
      <c r="L171" s="61"/>
      <c r="M171" s="62"/>
      <c r="N171" s="63" t="str">
        <f t="shared" si="26"/>
        <v/>
      </c>
      <c r="O171" s="64" t="str">
        <f t="shared" si="27"/>
        <v/>
      </c>
      <c r="P171" s="65" t="str">
        <f t="shared" si="28"/>
        <v/>
      </c>
      <c r="Q171" s="66" t="str">
        <f t="shared" si="34"/>
        <v/>
      </c>
      <c r="R171" s="51"/>
      <c r="S171" s="60"/>
      <c r="T171" s="52" t="str">
        <f t="shared" si="29"/>
        <v/>
      </c>
      <c r="U171" s="51"/>
      <c r="V171" s="56" t="str">
        <f t="shared" si="30"/>
        <v/>
      </c>
      <c r="X171" s="57" t="str">
        <f t="shared" si="31"/>
        <v/>
      </c>
      <c r="Y171" s="57">
        <f t="shared" si="32"/>
        <v>0</v>
      </c>
      <c r="Z171" s="57">
        <f t="shared" si="35"/>
        <v>59990</v>
      </c>
      <c r="AA171" s="57">
        <f t="shared" si="36"/>
        <v>0</v>
      </c>
      <c r="AB171" s="57">
        <f t="shared" si="33"/>
        <v>0.2</v>
      </c>
      <c r="AC171" s="57" t="str">
        <f t="shared" si="37"/>
        <v/>
      </c>
      <c r="AD171" s="57" t="str">
        <f t="shared" si="38"/>
        <v/>
      </c>
      <c r="AE171" s="57" t="str">
        <f>IF(AND($D171=RelConducteur,$S171="Oui",ISNUMBER($C171),$C171&gt;=RelDebut,$C171&lt;=RelFin),COUNTIFS($D$9:$D171,RelConducteur,$S$9:$S171,"Oui",$C$9:$C171,"&gt;="&amp;RelDebut,$C$9:$C171,"&lt;="&amp;RelFin),"")</f>
        <v/>
      </c>
    </row>
    <row r="172" spans="2:31" ht="18" customHeight="1" x14ac:dyDescent="0.25">
      <c r="B172" s="48" t="str">
        <f>IF(C172="","",COUNT($C$9:C172))</f>
        <v/>
      </c>
      <c r="C172" s="49"/>
      <c r="D172" s="51"/>
      <c r="E172" s="53"/>
      <c r="F172" s="51"/>
      <c r="G172" s="51"/>
      <c r="H172" s="51"/>
      <c r="I172" s="51"/>
      <c r="J172" s="59"/>
      <c r="K172" s="60"/>
      <c r="L172" s="61"/>
      <c r="M172" s="62"/>
      <c r="N172" s="63" t="str">
        <f t="shared" si="26"/>
        <v/>
      </c>
      <c r="O172" s="64" t="str">
        <f t="shared" si="27"/>
        <v/>
      </c>
      <c r="P172" s="65" t="str">
        <f t="shared" si="28"/>
        <v/>
      </c>
      <c r="Q172" s="66" t="str">
        <f t="shared" si="34"/>
        <v/>
      </c>
      <c r="R172" s="51"/>
      <c r="S172" s="60"/>
      <c r="T172" s="52" t="str">
        <f t="shared" si="29"/>
        <v/>
      </c>
      <c r="U172" s="51"/>
      <c r="V172" s="56" t="str">
        <f t="shared" si="30"/>
        <v/>
      </c>
      <c r="X172" s="57" t="str">
        <f t="shared" si="31"/>
        <v/>
      </c>
      <c r="Y172" s="57">
        <f t="shared" si="32"/>
        <v>0</v>
      </c>
      <c r="Z172" s="57">
        <f t="shared" si="35"/>
        <v>59990</v>
      </c>
      <c r="AA172" s="57">
        <f t="shared" si="36"/>
        <v>0</v>
      </c>
      <c r="AB172" s="57">
        <f t="shared" si="33"/>
        <v>0.2</v>
      </c>
      <c r="AC172" s="57" t="str">
        <f t="shared" si="37"/>
        <v/>
      </c>
      <c r="AD172" s="57" t="str">
        <f t="shared" si="38"/>
        <v/>
      </c>
      <c r="AE172" s="57" t="str">
        <f>IF(AND($D172=RelConducteur,$S172="Oui",ISNUMBER($C172),$C172&gt;=RelDebut,$C172&lt;=RelFin),COUNTIFS($D$9:$D172,RelConducteur,$S$9:$S172,"Oui",$C$9:$C172,"&gt;="&amp;RelDebut,$C$9:$C172,"&lt;="&amp;RelFin),"")</f>
        <v/>
      </c>
    </row>
    <row r="173" spans="2:31" ht="18" customHeight="1" x14ac:dyDescent="0.25">
      <c r="B173" s="48" t="str">
        <f>IF(C173="","",COUNT($C$9:C173))</f>
        <v/>
      </c>
      <c r="C173" s="49"/>
      <c r="D173" s="51"/>
      <c r="E173" s="53"/>
      <c r="F173" s="51"/>
      <c r="G173" s="51"/>
      <c r="H173" s="51"/>
      <c r="I173" s="51"/>
      <c r="J173" s="59"/>
      <c r="K173" s="60"/>
      <c r="L173" s="61"/>
      <c r="M173" s="62"/>
      <c r="N173" s="63" t="str">
        <f t="shared" si="26"/>
        <v/>
      </c>
      <c r="O173" s="64" t="str">
        <f t="shared" si="27"/>
        <v/>
      </c>
      <c r="P173" s="65" t="str">
        <f t="shared" si="28"/>
        <v/>
      </c>
      <c r="Q173" s="66" t="str">
        <f t="shared" si="34"/>
        <v/>
      </c>
      <c r="R173" s="51"/>
      <c r="S173" s="60"/>
      <c r="T173" s="52" t="str">
        <f t="shared" si="29"/>
        <v/>
      </c>
      <c r="U173" s="51"/>
      <c r="V173" s="56" t="str">
        <f t="shared" si="30"/>
        <v/>
      </c>
      <c r="X173" s="57" t="str">
        <f t="shared" si="31"/>
        <v/>
      </c>
      <c r="Y173" s="57">
        <f t="shared" si="32"/>
        <v>0</v>
      </c>
      <c r="Z173" s="57">
        <f t="shared" si="35"/>
        <v>59990</v>
      </c>
      <c r="AA173" s="57">
        <f t="shared" si="36"/>
        <v>0</v>
      </c>
      <c r="AB173" s="57">
        <f t="shared" si="33"/>
        <v>0.2</v>
      </c>
      <c r="AC173" s="57" t="str">
        <f t="shared" si="37"/>
        <v/>
      </c>
      <c r="AD173" s="57" t="str">
        <f t="shared" si="38"/>
        <v/>
      </c>
      <c r="AE173" s="57" t="str">
        <f>IF(AND($D173=RelConducteur,$S173="Oui",ISNUMBER($C173),$C173&gt;=RelDebut,$C173&lt;=RelFin),COUNTIFS($D$9:$D173,RelConducteur,$S$9:$S173,"Oui",$C$9:$C173,"&gt;="&amp;RelDebut,$C$9:$C173,"&lt;="&amp;RelFin),"")</f>
        <v/>
      </c>
    </row>
    <row r="174" spans="2:31" ht="18" customHeight="1" x14ac:dyDescent="0.25">
      <c r="B174" s="48" t="str">
        <f>IF(C174="","",COUNT($C$9:C174))</f>
        <v/>
      </c>
      <c r="C174" s="49"/>
      <c r="D174" s="51"/>
      <c r="E174" s="53"/>
      <c r="F174" s="51"/>
      <c r="G174" s="51"/>
      <c r="H174" s="51"/>
      <c r="I174" s="51"/>
      <c r="J174" s="59"/>
      <c r="K174" s="60"/>
      <c r="L174" s="61"/>
      <c r="M174" s="62"/>
      <c r="N174" s="63" t="str">
        <f t="shared" si="26"/>
        <v/>
      </c>
      <c r="O174" s="64" t="str">
        <f t="shared" si="27"/>
        <v/>
      </c>
      <c r="P174" s="65" t="str">
        <f t="shared" si="28"/>
        <v/>
      </c>
      <c r="Q174" s="66" t="str">
        <f t="shared" si="34"/>
        <v/>
      </c>
      <c r="R174" s="51"/>
      <c r="S174" s="60"/>
      <c r="T174" s="52" t="str">
        <f t="shared" si="29"/>
        <v/>
      </c>
      <c r="U174" s="51"/>
      <c r="V174" s="56" t="str">
        <f t="shared" si="30"/>
        <v/>
      </c>
      <c r="X174" s="57" t="str">
        <f t="shared" si="31"/>
        <v/>
      </c>
      <c r="Y174" s="57">
        <f t="shared" si="32"/>
        <v>0</v>
      </c>
      <c r="Z174" s="57">
        <f t="shared" si="35"/>
        <v>59990</v>
      </c>
      <c r="AA174" s="57">
        <f t="shared" si="36"/>
        <v>0</v>
      </c>
      <c r="AB174" s="57">
        <f t="shared" si="33"/>
        <v>0.2</v>
      </c>
      <c r="AC174" s="57" t="str">
        <f t="shared" si="37"/>
        <v/>
      </c>
      <c r="AD174" s="57" t="str">
        <f t="shared" si="38"/>
        <v/>
      </c>
      <c r="AE174" s="57" t="str">
        <f>IF(AND($D174=RelConducteur,$S174="Oui",ISNUMBER($C174),$C174&gt;=RelDebut,$C174&lt;=RelFin),COUNTIFS($D$9:$D174,RelConducteur,$S$9:$S174,"Oui",$C$9:$C174,"&gt;="&amp;RelDebut,$C$9:$C174,"&lt;="&amp;RelFin),"")</f>
        <v/>
      </c>
    </row>
    <row r="175" spans="2:31" ht="18" customHeight="1" x14ac:dyDescent="0.25">
      <c r="B175" s="48" t="str">
        <f>IF(C175="","",COUNT($C$9:C175))</f>
        <v/>
      </c>
      <c r="C175" s="49"/>
      <c r="D175" s="51"/>
      <c r="E175" s="53"/>
      <c r="F175" s="51"/>
      <c r="G175" s="51"/>
      <c r="H175" s="51"/>
      <c r="I175" s="51"/>
      <c r="J175" s="59"/>
      <c r="K175" s="60"/>
      <c r="L175" s="61"/>
      <c r="M175" s="62"/>
      <c r="N175" s="63" t="str">
        <f t="shared" si="26"/>
        <v/>
      </c>
      <c r="O175" s="64" t="str">
        <f t="shared" si="27"/>
        <v/>
      </c>
      <c r="P175" s="65" t="str">
        <f t="shared" si="28"/>
        <v/>
      </c>
      <c r="Q175" s="66" t="str">
        <f t="shared" si="34"/>
        <v/>
      </c>
      <c r="R175" s="51"/>
      <c r="S175" s="60"/>
      <c r="T175" s="52" t="str">
        <f t="shared" si="29"/>
        <v/>
      </c>
      <c r="U175" s="51"/>
      <c r="V175" s="56" t="str">
        <f t="shared" si="30"/>
        <v/>
      </c>
      <c r="X175" s="57" t="str">
        <f t="shared" si="31"/>
        <v/>
      </c>
      <c r="Y175" s="57">
        <f t="shared" si="32"/>
        <v>0</v>
      </c>
      <c r="Z175" s="57">
        <f t="shared" si="35"/>
        <v>59990</v>
      </c>
      <c r="AA175" s="57">
        <f t="shared" si="36"/>
        <v>0</v>
      </c>
      <c r="AB175" s="57">
        <f t="shared" si="33"/>
        <v>0.2</v>
      </c>
      <c r="AC175" s="57" t="str">
        <f t="shared" si="37"/>
        <v/>
      </c>
      <c r="AD175" s="57" t="str">
        <f t="shared" si="38"/>
        <v/>
      </c>
      <c r="AE175" s="57" t="str">
        <f>IF(AND($D175=RelConducteur,$S175="Oui",ISNUMBER($C175),$C175&gt;=RelDebut,$C175&lt;=RelFin),COUNTIFS($D$9:$D175,RelConducteur,$S$9:$S175,"Oui",$C$9:$C175,"&gt;="&amp;RelDebut,$C$9:$C175,"&lt;="&amp;RelFin),"")</f>
        <v/>
      </c>
    </row>
    <row r="176" spans="2:31" ht="18" customHeight="1" x14ac:dyDescent="0.25">
      <c r="B176" s="48" t="str">
        <f>IF(C176="","",COUNT($C$9:C176))</f>
        <v/>
      </c>
      <c r="C176" s="49"/>
      <c r="D176" s="51"/>
      <c r="E176" s="53"/>
      <c r="F176" s="51"/>
      <c r="G176" s="51"/>
      <c r="H176" s="51"/>
      <c r="I176" s="51"/>
      <c r="J176" s="59"/>
      <c r="K176" s="60"/>
      <c r="L176" s="61"/>
      <c r="M176" s="62"/>
      <c r="N176" s="63" t="str">
        <f t="shared" si="26"/>
        <v/>
      </c>
      <c r="O176" s="64" t="str">
        <f t="shared" si="27"/>
        <v/>
      </c>
      <c r="P176" s="65" t="str">
        <f t="shared" si="28"/>
        <v/>
      </c>
      <c r="Q176" s="66" t="str">
        <f t="shared" si="34"/>
        <v/>
      </c>
      <c r="R176" s="51"/>
      <c r="S176" s="60"/>
      <c r="T176" s="52" t="str">
        <f t="shared" si="29"/>
        <v/>
      </c>
      <c r="U176" s="51"/>
      <c r="V176" s="56" t="str">
        <f t="shared" si="30"/>
        <v/>
      </c>
      <c r="X176" s="57" t="str">
        <f t="shared" si="31"/>
        <v/>
      </c>
      <c r="Y176" s="57">
        <f t="shared" si="32"/>
        <v>0</v>
      </c>
      <c r="Z176" s="57">
        <f t="shared" si="35"/>
        <v>59990</v>
      </c>
      <c r="AA176" s="57">
        <f t="shared" si="36"/>
        <v>0</v>
      </c>
      <c r="AB176" s="57">
        <f t="shared" si="33"/>
        <v>0.2</v>
      </c>
      <c r="AC176" s="57" t="str">
        <f t="shared" si="37"/>
        <v/>
      </c>
      <c r="AD176" s="57" t="str">
        <f t="shared" si="38"/>
        <v/>
      </c>
      <c r="AE176" s="57" t="str">
        <f>IF(AND($D176=RelConducteur,$S176="Oui",ISNUMBER($C176),$C176&gt;=RelDebut,$C176&lt;=RelFin),COUNTIFS($D$9:$D176,RelConducteur,$S$9:$S176,"Oui",$C$9:$C176,"&gt;="&amp;RelDebut,$C$9:$C176,"&lt;="&amp;RelFin),"")</f>
        <v/>
      </c>
    </row>
    <row r="177" spans="2:31" ht="18" customHeight="1" x14ac:dyDescent="0.25">
      <c r="B177" s="48" t="str">
        <f>IF(C177="","",COUNT($C$9:C177))</f>
        <v/>
      </c>
      <c r="C177" s="49"/>
      <c r="D177" s="51"/>
      <c r="E177" s="53"/>
      <c r="F177" s="51"/>
      <c r="G177" s="51"/>
      <c r="H177" s="51"/>
      <c r="I177" s="51"/>
      <c r="J177" s="59"/>
      <c r="K177" s="60"/>
      <c r="L177" s="61"/>
      <c r="M177" s="62"/>
      <c r="N177" s="63" t="str">
        <f t="shared" si="26"/>
        <v/>
      </c>
      <c r="O177" s="64" t="str">
        <f t="shared" si="27"/>
        <v/>
      </c>
      <c r="P177" s="65" t="str">
        <f t="shared" si="28"/>
        <v/>
      </c>
      <c r="Q177" s="66" t="str">
        <f t="shared" si="34"/>
        <v/>
      </c>
      <c r="R177" s="51"/>
      <c r="S177" s="60"/>
      <c r="T177" s="52" t="str">
        <f t="shared" si="29"/>
        <v/>
      </c>
      <c r="U177" s="51"/>
      <c r="V177" s="56" t="str">
        <f t="shared" si="30"/>
        <v/>
      </c>
      <c r="X177" s="57" t="str">
        <f t="shared" si="31"/>
        <v/>
      </c>
      <c r="Y177" s="57">
        <f t="shared" si="32"/>
        <v>0</v>
      </c>
      <c r="Z177" s="57">
        <f t="shared" si="35"/>
        <v>59990</v>
      </c>
      <c r="AA177" s="57">
        <f t="shared" si="36"/>
        <v>0</v>
      </c>
      <c r="AB177" s="57">
        <f t="shared" si="33"/>
        <v>0.2</v>
      </c>
      <c r="AC177" s="57" t="str">
        <f t="shared" si="37"/>
        <v/>
      </c>
      <c r="AD177" s="57" t="str">
        <f t="shared" si="38"/>
        <v/>
      </c>
      <c r="AE177" s="57" t="str">
        <f>IF(AND($D177=RelConducteur,$S177="Oui",ISNUMBER($C177),$C177&gt;=RelDebut,$C177&lt;=RelFin),COUNTIFS($D$9:$D177,RelConducteur,$S$9:$S177,"Oui",$C$9:$C177,"&gt;="&amp;RelDebut,$C$9:$C177,"&lt;="&amp;RelFin),"")</f>
        <v/>
      </c>
    </row>
    <row r="178" spans="2:31" ht="18" customHeight="1" x14ac:dyDescent="0.25">
      <c r="B178" s="48" t="str">
        <f>IF(C178="","",COUNT($C$9:C178))</f>
        <v/>
      </c>
      <c r="C178" s="49"/>
      <c r="D178" s="51"/>
      <c r="E178" s="53"/>
      <c r="F178" s="51"/>
      <c r="G178" s="51"/>
      <c r="H178" s="51"/>
      <c r="I178" s="51"/>
      <c r="J178" s="59"/>
      <c r="K178" s="60"/>
      <c r="L178" s="61"/>
      <c r="M178" s="62"/>
      <c r="N178" s="63" t="str">
        <f t="shared" si="26"/>
        <v/>
      </c>
      <c r="O178" s="64" t="str">
        <f t="shared" si="27"/>
        <v/>
      </c>
      <c r="P178" s="65" t="str">
        <f t="shared" si="28"/>
        <v/>
      </c>
      <c r="Q178" s="66" t="str">
        <f t="shared" si="34"/>
        <v/>
      </c>
      <c r="R178" s="51"/>
      <c r="S178" s="60"/>
      <c r="T178" s="52" t="str">
        <f t="shared" si="29"/>
        <v/>
      </c>
      <c r="U178" s="51"/>
      <c r="V178" s="56" t="str">
        <f t="shared" si="30"/>
        <v/>
      </c>
      <c r="X178" s="57" t="str">
        <f t="shared" si="31"/>
        <v/>
      </c>
      <c r="Y178" s="57">
        <f t="shared" si="32"/>
        <v>0</v>
      </c>
      <c r="Z178" s="57">
        <f t="shared" si="35"/>
        <v>59990</v>
      </c>
      <c r="AA178" s="57">
        <f t="shared" si="36"/>
        <v>0</v>
      </c>
      <c r="AB178" s="57">
        <f t="shared" si="33"/>
        <v>0.2</v>
      </c>
      <c r="AC178" s="57" t="str">
        <f t="shared" si="37"/>
        <v/>
      </c>
      <c r="AD178" s="57" t="str">
        <f t="shared" si="38"/>
        <v/>
      </c>
      <c r="AE178" s="57" t="str">
        <f>IF(AND($D178=RelConducteur,$S178="Oui",ISNUMBER($C178),$C178&gt;=RelDebut,$C178&lt;=RelFin),COUNTIFS($D$9:$D178,RelConducteur,$S$9:$S178,"Oui",$C$9:$C178,"&gt;="&amp;RelDebut,$C$9:$C178,"&lt;="&amp;RelFin),"")</f>
        <v/>
      </c>
    </row>
    <row r="179" spans="2:31" ht="18" customHeight="1" x14ac:dyDescent="0.25">
      <c r="B179" s="48" t="str">
        <f>IF(C179="","",COUNT($C$9:C179))</f>
        <v/>
      </c>
      <c r="C179" s="49"/>
      <c r="D179" s="51"/>
      <c r="E179" s="53"/>
      <c r="F179" s="51"/>
      <c r="G179" s="51"/>
      <c r="H179" s="51"/>
      <c r="I179" s="51"/>
      <c r="J179" s="59"/>
      <c r="K179" s="60"/>
      <c r="L179" s="61"/>
      <c r="M179" s="62"/>
      <c r="N179" s="63" t="str">
        <f t="shared" si="26"/>
        <v/>
      </c>
      <c r="O179" s="64" t="str">
        <f t="shared" si="27"/>
        <v/>
      </c>
      <c r="P179" s="65" t="str">
        <f t="shared" si="28"/>
        <v/>
      </c>
      <c r="Q179" s="66" t="str">
        <f t="shared" si="34"/>
        <v/>
      </c>
      <c r="R179" s="51"/>
      <c r="S179" s="60"/>
      <c r="T179" s="52" t="str">
        <f t="shared" si="29"/>
        <v/>
      </c>
      <c r="U179" s="51"/>
      <c r="V179" s="56" t="str">
        <f t="shared" si="30"/>
        <v/>
      </c>
      <c r="X179" s="57" t="str">
        <f t="shared" si="31"/>
        <v/>
      </c>
      <c r="Y179" s="57">
        <f t="shared" si="32"/>
        <v>0</v>
      </c>
      <c r="Z179" s="57">
        <f t="shared" si="35"/>
        <v>59990</v>
      </c>
      <c r="AA179" s="57">
        <f t="shared" si="36"/>
        <v>0</v>
      </c>
      <c r="AB179" s="57">
        <f t="shared" si="33"/>
        <v>0.2</v>
      </c>
      <c r="AC179" s="57" t="str">
        <f t="shared" si="37"/>
        <v/>
      </c>
      <c r="AD179" s="57" t="str">
        <f t="shared" si="38"/>
        <v/>
      </c>
      <c r="AE179" s="57" t="str">
        <f>IF(AND($D179=RelConducteur,$S179="Oui",ISNUMBER($C179),$C179&gt;=RelDebut,$C179&lt;=RelFin),COUNTIFS($D$9:$D179,RelConducteur,$S$9:$S179,"Oui",$C$9:$C179,"&gt;="&amp;RelDebut,$C$9:$C179,"&lt;="&amp;RelFin),"")</f>
        <v/>
      </c>
    </row>
    <row r="180" spans="2:31" ht="18" customHeight="1" x14ac:dyDescent="0.25">
      <c r="B180" s="48" t="str">
        <f>IF(C180="","",COUNT($C$9:C180))</f>
        <v/>
      </c>
      <c r="C180" s="49"/>
      <c r="D180" s="51"/>
      <c r="E180" s="53"/>
      <c r="F180" s="51"/>
      <c r="G180" s="51"/>
      <c r="H180" s="51"/>
      <c r="I180" s="51"/>
      <c r="J180" s="59"/>
      <c r="K180" s="60"/>
      <c r="L180" s="61"/>
      <c r="M180" s="62"/>
      <c r="N180" s="63" t="str">
        <f t="shared" si="26"/>
        <v/>
      </c>
      <c r="O180" s="64" t="str">
        <f t="shared" si="27"/>
        <v/>
      </c>
      <c r="P180" s="65" t="str">
        <f t="shared" si="28"/>
        <v/>
      </c>
      <c r="Q180" s="66" t="str">
        <f t="shared" si="34"/>
        <v/>
      </c>
      <c r="R180" s="51"/>
      <c r="S180" s="60"/>
      <c r="T180" s="52" t="str">
        <f t="shared" si="29"/>
        <v/>
      </c>
      <c r="U180" s="51"/>
      <c r="V180" s="56" t="str">
        <f t="shared" si="30"/>
        <v/>
      </c>
      <c r="X180" s="57" t="str">
        <f t="shared" si="31"/>
        <v/>
      </c>
      <c r="Y180" s="57">
        <f t="shared" si="32"/>
        <v>0</v>
      </c>
      <c r="Z180" s="57">
        <f t="shared" si="35"/>
        <v>59990</v>
      </c>
      <c r="AA180" s="57">
        <f t="shared" si="36"/>
        <v>0</v>
      </c>
      <c r="AB180" s="57">
        <f t="shared" si="33"/>
        <v>0.2</v>
      </c>
      <c r="AC180" s="57" t="str">
        <f t="shared" si="37"/>
        <v/>
      </c>
      <c r="AD180" s="57" t="str">
        <f t="shared" si="38"/>
        <v/>
      </c>
      <c r="AE180" s="57" t="str">
        <f>IF(AND($D180=RelConducteur,$S180="Oui",ISNUMBER($C180),$C180&gt;=RelDebut,$C180&lt;=RelFin),COUNTIFS($D$9:$D180,RelConducteur,$S$9:$S180,"Oui",$C$9:$C180,"&gt;="&amp;RelDebut,$C$9:$C180,"&lt;="&amp;RelFin),"")</f>
        <v/>
      </c>
    </row>
    <row r="181" spans="2:31" ht="18" customHeight="1" x14ac:dyDescent="0.25">
      <c r="B181" s="48" t="str">
        <f>IF(C181="","",COUNT($C$9:C181))</f>
        <v/>
      </c>
      <c r="C181" s="49"/>
      <c r="D181" s="51"/>
      <c r="E181" s="53"/>
      <c r="F181" s="51"/>
      <c r="G181" s="51"/>
      <c r="H181" s="51"/>
      <c r="I181" s="51"/>
      <c r="J181" s="59"/>
      <c r="K181" s="60"/>
      <c r="L181" s="61"/>
      <c r="M181" s="62"/>
      <c r="N181" s="63" t="str">
        <f t="shared" si="26"/>
        <v/>
      </c>
      <c r="O181" s="64" t="str">
        <f t="shared" si="27"/>
        <v/>
      </c>
      <c r="P181" s="65" t="str">
        <f t="shared" si="28"/>
        <v/>
      </c>
      <c r="Q181" s="66" t="str">
        <f t="shared" si="34"/>
        <v/>
      </c>
      <c r="R181" s="51"/>
      <c r="S181" s="60"/>
      <c r="T181" s="52" t="str">
        <f t="shared" si="29"/>
        <v/>
      </c>
      <c r="U181" s="51"/>
      <c r="V181" s="56" t="str">
        <f t="shared" si="30"/>
        <v/>
      </c>
      <c r="X181" s="57" t="str">
        <f t="shared" si="31"/>
        <v/>
      </c>
      <c r="Y181" s="57">
        <f t="shared" si="32"/>
        <v>0</v>
      </c>
      <c r="Z181" s="57">
        <f t="shared" si="35"/>
        <v>59990</v>
      </c>
      <c r="AA181" s="57">
        <f t="shared" si="36"/>
        <v>0</v>
      </c>
      <c r="AB181" s="57">
        <f t="shared" si="33"/>
        <v>0.2</v>
      </c>
      <c r="AC181" s="57" t="str">
        <f t="shared" si="37"/>
        <v/>
      </c>
      <c r="AD181" s="57" t="str">
        <f t="shared" si="38"/>
        <v/>
      </c>
      <c r="AE181" s="57" t="str">
        <f>IF(AND($D181=RelConducteur,$S181="Oui",ISNUMBER($C181),$C181&gt;=RelDebut,$C181&lt;=RelFin),COUNTIFS($D$9:$D181,RelConducteur,$S$9:$S181,"Oui",$C$9:$C181,"&gt;="&amp;RelDebut,$C$9:$C181,"&lt;="&amp;RelFin),"")</f>
        <v/>
      </c>
    </row>
    <row r="182" spans="2:31" ht="18" customHeight="1" x14ac:dyDescent="0.25">
      <c r="B182" s="48" t="str">
        <f>IF(C182="","",COUNT($C$9:C182))</f>
        <v/>
      </c>
      <c r="C182" s="49"/>
      <c r="D182" s="51"/>
      <c r="E182" s="53"/>
      <c r="F182" s="51"/>
      <c r="G182" s="51"/>
      <c r="H182" s="51"/>
      <c r="I182" s="51"/>
      <c r="J182" s="59"/>
      <c r="K182" s="60"/>
      <c r="L182" s="61"/>
      <c r="M182" s="62"/>
      <c r="N182" s="63" t="str">
        <f t="shared" si="26"/>
        <v/>
      </c>
      <c r="O182" s="64" t="str">
        <f t="shared" si="27"/>
        <v/>
      </c>
      <c r="P182" s="65" t="str">
        <f t="shared" si="28"/>
        <v/>
      </c>
      <c r="Q182" s="66" t="str">
        <f t="shared" si="34"/>
        <v/>
      </c>
      <c r="R182" s="51"/>
      <c r="S182" s="60"/>
      <c r="T182" s="52" t="str">
        <f t="shared" si="29"/>
        <v/>
      </c>
      <c r="U182" s="51"/>
      <c r="V182" s="56" t="str">
        <f t="shared" si="30"/>
        <v/>
      </c>
      <c r="X182" s="57" t="str">
        <f t="shared" si="31"/>
        <v/>
      </c>
      <c r="Y182" s="57">
        <f t="shared" si="32"/>
        <v>0</v>
      </c>
      <c r="Z182" s="57">
        <f t="shared" si="35"/>
        <v>59990</v>
      </c>
      <c r="AA182" s="57">
        <f t="shared" si="36"/>
        <v>0</v>
      </c>
      <c r="AB182" s="57">
        <f t="shared" si="33"/>
        <v>0.2</v>
      </c>
      <c r="AC182" s="57" t="str">
        <f t="shared" si="37"/>
        <v/>
      </c>
      <c r="AD182" s="57" t="str">
        <f t="shared" si="38"/>
        <v/>
      </c>
      <c r="AE182" s="57" t="str">
        <f>IF(AND($D182=RelConducteur,$S182="Oui",ISNUMBER($C182),$C182&gt;=RelDebut,$C182&lt;=RelFin),COUNTIFS($D$9:$D182,RelConducteur,$S$9:$S182,"Oui",$C$9:$C182,"&gt;="&amp;RelDebut,$C$9:$C182,"&lt;="&amp;RelFin),"")</f>
        <v/>
      </c>
    </row>
    <row r="183" spans="2:31" ht="18" customHeight="1" x14ac:dyDescent="0.25">
      <c r="B183" s="48" t="str">
        <f>IF(C183="","",COUNT($C$9:C183))</f>
        <v/>
      </c>
      <c r="C183" s="49"/>
      <c r="D183" s="51"/>
      <c r="E183" s="53"/>
      <c r="F183" s="51"/>
      <c r="G183" s="51"/>
      <c r="H183" s="51"/>
      <c r="I183" s="51"/>
      <c r="J183" s="59"/>
      <c r="K183" s="60"/>
      <c r="L183" s="61"/>
      <c r="M183" s="62"/>
      <c r="N183" s="63" t="str">
        <f t="shared" si="26"/>
        <v/>
      </c>
      <c r="O183" s="64" t="str">
        <f t="shared" si="27"/>
        <v/>
      </c>
      <c r="P183" s="65" t="str">
        <f t="shared" si="28"/>
        <v/>
      </c>
      <c r="Q183" s="66" t="str">
        <f t="shared" si="34"/>
        <v/>
      </c>
      <c r="R183" s="51"/>
      <c r="S183" s="60"/>
      <c r="T183" s="52" t="str">
        <f t="shared" si="29"/>
        <v/>
      </c>
      <c r="U183" s="51"/>
      <c r="V183" s="56" t="str">
        <f t="shared" si="30"/>
        <v/>
      </c>
      <c r="X183" s="57" t="str">
        <f t="shared" si="31"/>
        <v/>
      </c>
      <c r="Y183" s="57">
        <f t="shared" si="32"/>
        <v>0</v>
      </c>
      <c r="Z183" s="57">
        <f t="shared" si="35"/>
        <v>59990</v>
      </c>
      <c r="AA183" s="57">
        <f t="shared" si="36"/>
        <v>0</v>
      </c>
      <c r="AB183" s="57">
        <f t="shared" si="33"/>
        <v>0.2</v>
      </c>
      <c r="AC183" s="57" t="str">
        <f t="shared" si="37"/>
        <v/>
      </c>
      <c r="AD183" s="57" t="str">
        <f t="shared" si="38"/>
        <v/>
      </c>
      <c r="AE183" s="57" t="str">
        <f>IF(AND($D183=RelConducteur,$S183="Oui",ISNUMBER($C183),$C183&gt;=RelDebut,$C183&lt;=RelFin),COUNTIFS($D$9:$D183,RelConducteur,$S$9:$S183,"Oui",$C$9:$C183,"&gt;="&amp;RelDebut,$C$9:$C183,"&lt;="&amp;RelFin),"")</f>
        <v/>
      </c>
    </row>
    <row r="184" spans="2:31" ht="18" customHeight="1" x14ac:dyDescent="0.25">
      <c r="B184" s="48" t="str">
        <f>IF(C184="","",COUNT($C$9:C184))</f>
        <v/>
      </c>
      <c r="C184" s="49"/>
      <c r="D184" s="51"/>
      <c r="E184" s="53"/>
      <c r="F184" s="51"/>
      <c r="G184" s="51"/>
      <c r="H184" s="51"/>
      <c r="I184" s="51"/>
      <c r="J184" s="59"/>
      <c r="K184" s="60"/>
      <c r="L184" s="61"/>
      <c r="M184" s="62"/>
      <c r="N184" s="63" t="str">
        <f t="shared" si="26"/>
        <v/>
      </c>
      <c r="O184" s="64" t="str">
        <f t="shared" si="27"/>
        <v/>
      </c>
      <c r="P184" s="65" t="str">
        <f t="shared" si="28"/>
        <v/>
      </c>
      <c r="Q184" s="66" t="str">
        <f t="shared" si="34"/>
        <v/>
      </c>
      <c r="R184" s="51"/>
      <c r="S184" s="60"/>
      <c r="T184" s="52" t="str">
        <f t="shared" si="29"/>
        <v/>
      </c>
      <c r="U184" s="51"/>
      <c r="V184" s="56" t="str">
        <f t="shared" si="30"/>
        <v/>
      </c>
      <c r="X184" s="57" t="str">
        <f t="shared" si="31"/>
        <v/>
      </c>
      <c r="Y184" s="57">
        <f t="shared" si="32"/>
        <v>0</v>
      </c>
      <c r="Z184" s="57">
        <f t="shared" si="35"/>
        <v>59990</v>
      </c>
      <c r="AA184" s="57">
        <f t="shared" si="36"/>
        <v>0</v>
      </c>
      <c r="AB184" s="57">
        <f t="shared" si="33"/>
        <v>0.2</v>
      </c>
      <c r="AC184" s="57" t="str">
        <f t="shared" si="37"/>
        <v/>
      </c>
      <c r="AD184" s="57" t="str">
        <f t="shared" si="38"/>
        <v/>
      </c>
      <c r="AE184" s="57" t="str">
        <f>IF(AND($D184=RelConducteur,$S184="Oui",ISNUMBER($C184),$C184&gt;=RelDebut,$C184&lt;=RelFin),COUNTIFS($D$9:$D184,RelConducteur,$S$9:$S184,"Oui",$C$9:$C184,"&gt;="&amp;RelDebut,$C$9:$C184,"&lt;="&amp;RelFin),"")</f>
        <v/>
      </c>
    </row>
    <row r="185" spans="2:31" ht="18" customHeight="1" x14ac:dyDescent="0.25">
      <c r="B185" s="48" t="str">
        <f>IF(C185="","",COUNT($C$9:C185))</f>
        <v/>
      </c>
      <c r="C185" s="49"/>
      <c r="D185" s="51"/>
      <c r="E185" s="53"/>
      <c r="F185" s="51"/>
      <c r="G185" s="51"/>
      <c r="H185" s="51"/>
      <c r="I185" s="51"/>
      <c r="J185" s="59"/>
      <c r="K185" s="60"/>
      <c r="L185" s="61"/>
      <c r="M185" s="62"/>
      <c r="N185" s="63" t="str">
        <f t="shared" si="26"/>
        <v/>
      </c>
      <c r="O185" s="64" t="str">
        <f t="shared" si="27"/>
        <v/>
      </c>
      <c r="P185" s="65" t="str">
        <f t="shared" si="28"/>
        <v/>
      </c>
      <c r="Q185" s="66" t="str">
        <f t="shared" si="34"/>
        <v/>
      </c>
      <c r="R185" s="51"/>
      <c r="S185" s="60"/>
      <c r="T185" s="52" t="str">
        <f t="shared" si="29"/>
        <v/>
      </c>
      <c r="U185" s="51"/>
      <c r="V185" s="56" t="str">
        <f t="shared" si="30"/>
        <v/>
      </c>
      <c r="X185" s="57" t="str">
        <f t="shared" si="31"/>
        <v/>
      </c>
      <c r="Y185" s="57">
        <f t="shared" si="32"/>
        <v>0</v>
      </c>
      <c r="Z185" s="57">
        <f t="shared" si="35"/>
        <v>59990</v>
      </c>
      <c r="AA185" s="57">
        <f t="shared" si="36"/>
        <v>0</v>
      </c>
      <c r="AB185" s="57">
        <f t="shared" si="33"/>
        <v>0.2</v>
      </c>
      <c r="AC185" s="57" t="str">
        <f t="shared" si="37"/>
        <v/>
      </c>
      <c r="AD185" s="57" t="str">
        <f t="shared" si="38"/>
        <v/>
      </c>
      <c r="AE185" s="57" t="str">
        <f>IF(AND($D185=RelConducteur,$S185="Oui",ISNUMBER($C185),$C185&gt;=RelDebut,$C185&lt;=RelFin),COUNTIFS($D$9:$D185,RelConducteur,$S$9:$S185,"Oui",$C$9:$C185,"&gt;="&amp;RelDebut,$C$9:$C185,"&lt;="&amp;RelFin),"")</f>
        <v/>
      </c>
    </row>
    <row r="186" spans="2:31" ht="18" customHeight="1" x14ac:dyDescent="0.25">
      <c r="B186" s="48" t="str">
        <f>IF(C186="","",COUNT($C$9:C186))</f>
        <v/>
      </c>
      <c r="C186" s="49"/>
      <c r="D186" s="51"/>
      <c r="E186" s="53"/>
      <c r="F186" s="51"/>
      <c r="G186" s="51"/>
      <c r="H186" s="51"/>
      <c r="I186" s="51"/>
      <c r="J186" s="59"/>
      <c r="K186" s="60"/>
      <c r="L186" s="61"/>
      <c r="M186" s="62"/>
      <c r="N186" s="63" t="str">
        <f t="shared" si="26"/>
        <v/>
      </c>
      <c r="O186" s="64" t="str">
        <f t="shared" si="27"/>
        <v/>
      </c>
      <c r="P186" s="65" t="str">
        <f t="shared" si="28"/>
        <v/>
      </c>
      <c r="Q186" s="66" t="str">
        <f t="shared" si="34"/>
        <v/>
      </c>
      <c r="R186" s="51"/>
      <c r="S186" s="60"/>
      <c r="T186" s="52" t="str">
        <f t="shared" si="29"/>
        <v/>
      </c>
      <c r="U186" s="51"/>
      <c r="V186" s="56" t="str">
        <f t="shared" si="30"/>
        <v/>
      </c>
      <c r="X186" s="57" t="str">
        <f t="shared" si="31"/>
        <v/>
      </c>
      <c r="Y186" s="57">
        <f t="shared" si="32"/>
        <v>0</v>
      </c>
      <c r="Z186" s="57">
        <f t="shared" si="35"/>
        <v>59990</v>
      </c>
      <c r="AA186" s="57">
        <f t="shared" si="36"/>
        <v>0</v>
      </c>
      <c r="AB186" s="57">
        <f t="shared" si="33"/>
        <v>0.2</v>
      </c>
      <c r="AC186" s="57" t="str">
        <f t="shared" si="37"/>
        <v/>
      </c>
      <c r="AD186" s="57" t="str">
        <f t="shared" si="38"/>
        <v/>
      </c>
      <c r="AE186" s="57" t="str">
        <f>IF(AND($D186=RelConducteur,$S186="Oui",ISNUMBER($C186),$C186&gt;=RelDebut,$C186&lt;=RelFin),COUNTIFS($D$9:$D186,RelConducteur,$S$9:$S186,"Oui",$C$9:$C186,"&gt;="&amp;RelDebut,$C$9:$C186,"&lt;="&amp;RelFin),"")</f>
        <v/>
      </c>
    </row>
    <row r="187" spans="2:31" ht="18" customHeight="1" x14ac:dyDescent="0.25">
      <c r="B187" s="48" t="str">
        <f>IF(C187="","",COUNT($C$9:C187))</f>
        <v/>
      </c>
      <c r="C187" s="49"/>
      <c r="D187" s="51"/>
      <c r="E187" s="53"/>
      <c r="F187" s="51"/>
      <c r="G187" s="51"/>
      <c r="H187" s="51"/>
      <c r="I187" s="51"/>
      <c r="J187" s="59"/>
      <c r="K187" s="60"/>
      <c r="L187" s="61"/>
      <c r="M187" s="62"/>
      <c r="N187" s="63" t="str">
        <f t="shared" si="26"/>
        <v/>
      </c>
      <c r="O187" s="64" t="str">
        <f t="shared" si="27"/>
        <v/>
      </c>
      <c r="P187" s="65" t="str">
        <f t="shared" si="28"/>
        <v/>
      </c>
      <c r="Q187" s="66" t="str">
        <f t="shared" si="34"/>
        <v/>
      </c>
      <c r="R187" s="51"/>
      <c r="S187" s="60"/>
      <c r="T187" s="52" t="str">
        <f t="shared" si="29"/>
        <v/>
      </c>
      <c r="U187" s="51"/>
      <c r="V187" s="56" t="str">
        <f t="shared" si="30"/>
        <v/>
      </c>
      <c r="X187" s="57" t="str">
        <f t="shared" si="31"/>
        <v/>
      </c>
      <c r="Y187" s="57">
        <f t="shared" si="32"/>
        <v>0</v>
      </c>
      <c r="Z187" s="57">
        <f t="shared" si="35"/>
        <v>59990</v>
      </c>
      <c r="AA187" s="57">
        <f t="shared" si="36"/>
        <v>0</v>
      </c>
      <c r="AB187" s="57">
        <f t="shared" si="33"/>
        <v>0.2</v>
      </c>
      <c r="AC187" s="57" t="str">
        <f t="shared" si="37"/>
        <v/>
      </c>
      <c r="AD187" s="57" t="str">
        <f t="shared" si="38"/>
        <v/>
      </c>
      <c r="AE187" s="57" t="str">
        <f>IF(AND($D187=RelConducteur,$S187="Oui",ISNUMBER($C187),$C187&gt;=RelDebut,$C187&lt;=RelFin),COUNTIFS($D$9:$D187,RelConducteur,$S$9:$S187,"Oui",$C$9:$C187,"&gt;="&amp;RelDebut,$C$9:$C187,"&lt;="&amp;RelFin),"")</f>
        <v/>
      </c>
    </row>
    <row r="188" spans="2:31" ht="18" customHeight="1" x14ac:dyDescent="0.25">
      <c r="B188" s="48" t="str">
        <f>IF(C188="","",COUNT($C$9:C188))</f>
        <v/>
      </c>
      <c r="C188" s="49"/>
      <c r="D188" s="51"/>
      <c r="E188" s="53"/>
      <c r="F188" s="51"/>
      <c r="G188" s="51"/>
      <c r="H188" s="51"/>
      <c r="I188" s="51"/>
      <c r="J188" s="59"/>
      <c r="K188" s="60"/>
      <c r="L188" s="61"/>
      <c r="M188" s="62"/>
      <c r="N188" s="63" t="str">
        <f t="shared" si="26"/>
        <v/>
      </c>
      <c r="O188" s="64" t="str">
        <f t="shared" si="27"/>
        <v/>
      </c>
      <c r="P188" s="65" t="str">
        <f t="shared" si="28"/>
        <v/>
      </c>
      <c r="Q188" s="66" t="str">
        <f t="shared" si="34"/>
        <v/>
      </c>
      <c r="R188" s="51"/>
      <c r="S188" s="60"/>
      <c r="T188" s="52" t="str">
        <f t="shared" si="29"/>
        <v/>
      </c>
      <c r="U188" s="51"/>
      <c r="V188" s="56" t="str">
        <f t="shared" si="30"/>
        <v/>
      </c>
      <c r="X188" s="57" t="str">
        <f t="shared" si="31"/>
        <v/>
      </c>
      <c r="Y188" s="57">
        <f t="shared" si="32"/>
        <v>0</v>
      </c>
      <c r="Z188" s="57">
        <f t="shared" si="35"/>
        <v>59990</v>
      </c>
      <c r="AA188" s="57">
        <f t="shared" si="36"/>
        <v>0</v>
      </c>
      <c r="AB188" s="57">
        <f t="shared" si="33"/>
        <v>0.2</v>
      </c>
      <c r="AC188" s="57" t="str">
        <f t="shared" si="37"/>
        <v/>
      </c>
      <c r="AD188" s="57" t="str">
        <f t="shared" si="38"/>
        <v/>
      </c>
      <c r="AE188" s="57" t="str">
        <f>IF(AND($D188=RelConducteur,$S188="Oui",ISNUMBER($C188),$C188&gt;=RelDebut,$C188&lt;=RelFin),COUNTIFS($D$9:$D188,RelConducteur,$S$9:$S188,"Oui",$C$9:$C188,"&gt;="&amp;RelDebut,$C$9:$C188,"&lt;="&amp;RelFin),"")</f>
        <v/>
      </c>
    </row>
    <row r="189" spans="2:31" ht="18" customHeight="1" x14ac:dyDescent="0.25">
      <c r="B189" s="48" t="str">
        <f>IF(C189="","",COUNT($C$9:C189))</f>
        <v/>
      </c>
      <c r="C189" s="49"/>
      <c r="D189" s="51"/>
      <c r="E189" s="53"/>
      <c r="F189" s="51"/>
      <c r="G189" s="51"/>
      <c r="H189" s="51"/>
      <c r="I189" s="51"/>
      <c r="J189" s="59"/>
      <c r="K189" s="60"/>
      <c r="L189" s="61"/>
      <c r="M189" s="62"/>
      <c r="N189" s="63" t="str">
        <f t="shared" si="26"/>
        <v/>
      </c>
      <c r="O189" s="64" t="str">
        <f t="shared" si="27"/>
        <v/>
      </c>
      <c r="P189" s="65" t="str">
        <f t="shared" si="28"/>
        <v/>
      </c>
      <c r="Q189" s="66" t="str">
        <f t="shared" si="34"/>
        <v/>
      </c>
      <c r="R189" s="51"/>
      <c r="S189" s="60"/>
      <c r="T189" s="52" t="str">
        <f t="shared" si="29"/>
        <v/>
      </c>
      <c r="U189" s="51"/>
      <c r="V189" s="56" t="str">
        <f t="shared" si="30"/>
        <v/>
      </c>
      <c r="X189" s="57" t="str">
        <f t="shared" si="31"/>
        <v/>
      </c>
      <c r="Y189" s="57">
        <f t="shared" si="32"/>
        <v>0</v>
      </c>
      <c r="Z189" s="57">
        <f t="shared" si="35"/>
        <v>59990</v>
      </c>
      <c r="AA189" s="57">
        <f t="shared" si="36"/>
        <v>0</v>
      </c>
      <c r="AB189" s="57">
        <f t="shared" si="33"/>
        <v>0.2</v>
      </c>
      <c r="AC189" s="57" t="str">
        <f t="shared" si="37"/>
        <v/>
      </c>
      <c r="AD189" s="57" t="str">
        <f t="shared" si="38"/>
        <v/>
      </c>
      <c r="AE189" s="57" t="str">
        <f>IF(AND($D189=RelConducteur,$S189="Oui",ISNUMBER($C189),$C189&gt;=RelDebut,$C189&lt;=RelFin),COUNTIFS($D$9:$D189,RelConducteur,$S$9:$S189,"Oui",$C$9:$C189,"&gt;="&amp;RelDebut,$C$9:$C189,"&lt;="&amp;RelFin),"")</f>
        <v/>
      </c>
    </row>
    <row r="190" spans="2:31" ht="18" customHeight="1" x14ac:dyDescent="0.25">
      <c r="B190" s="48" t="str">
        <f>IF(C190="","",COUNT($C$9:C190))</f>
        <v/>
      </c>
      <c r="C190" s="49"/>
      <c r="D190" s="51"/>
      <c r="E190" s="53"/>
      <c r="F190" s="51"/>
      <c r="G190" s="51"/>
      <c r="H190" s="51"/>
      <c r="I190" s="51"/>
      <c r="J190" s="59"/>
      <c r="K190" s="60"/>
      <c r="L190" s="61"/>
      <c r="M190" s="62"/>
      <c r="N190" s="63" t="str">
        <f t="shared" si="26"/>
        <v/>
      </c>
      <c r="O190" s="64" t="str">
        <f t="shared" si="27"/>
        <v/>
      </c>
      <c r="P190" s="65" t="str">
        <f t="shared" si="28"/>
        <v/>
      </c>
      <c r="Q190" s="66" t="str">
        <f t="shared" si="34"/>
        <v/>
      </c>
      <c r="R190" s="51"/>
      <c r="S190" s="60"/>
      <c r="T190" s="52" t="str">
        <f t="shared" si="29"/>
        <v/>
      </c>
      <c r="U190" s="51"/>
      <c r="V190" s="56" t="str">
        <f t="shared" si="30"/>
        <v/>
      </c>
      <c r="X190" s="57" t="str">
        <f t="shared" si="31"/>
        <v/>
      </c>
      <c r="Y190" s="57">
        <f t="shared" si="32"/>
        <v>0</v>
      </c>
      <c r="Z190" s="57">
        <f t="shared" si="35"/>
        <v>59990</v>
      </c>
      <c r="AA190" s="57">
        <f t="shared" si="36"/>
        <v>0</v>
      </c>
      <c r="AB190" s="57">
        <f t="shared" si="33"/>
        <v>0.2</v>
      </c>
      <c r="AC190" s="57" t="str">
        <f t="shared" si="37"/>
        <v/>
      </c>
      <c r="AD190" s="57" t="str">
        <f t="shared" si="38"/>
        <v/>
      </c>
      <c r="AE190" s="57" t="str">
        <f>IF(AND($D190=RelConducteur,$S190="Oui",ISNUMBER($C190),$C190&gt;=RelDebut,$C190&lt;=RelFin),COUNTIFS($D$9:$D190,RelConducteur,$S$9:$S190,"Oui",$C$9:$C190,"&gt;="&amp;RelDebut,$C$9:$C190,"&lt;="&amp;RelFin),"")</f>
        <v/>
      </c>
    </row>
    <row r="191" spans="2:31" ht="18" customHeight="1" x14ac:dyDescent="0.25">
      <c r="B191" s="48" t="str">
        <f>IF(C191="","",COUNT($C$9:C191))</f>
        <v/>
      </c>
      <c r="C191" s="49"/>
      <c r="D191" s="51"/>
      <c r="E191" s="53"/>
      <c r="F191" s="51"/>
      <c r="G191" s="51"/>
      <c r="H191" s="51"/>
      <c r="I191" s="51"/>
      <c r="J191" s="59"/>
      <c r="K191" s="60"/>
      <c r="L191" s="61"/>
      <c r="M191" s="62"/>
      <c r="N191" s="63" t="str">
        <f t="shared" si="26"/>
        <v/>
      </c>
      <c r="O191" s="64" t="str">
        <f t="shared" si="27"/>
        <v/>
      </c>
      <c r="P191" s="65" t="str">
        <f t="shared" si="28"/>
        <v/>
      </c>
      <c r="Q191" s="66" t="str">
        <f t="shared" si="34"/>
        <v/>
      </c>
      <c r="R191" s="51"/>
      <c r="S191" s="60"/>
      <c r="T191" s="52" t="str">
        <f t="shared" si="29"/>
        <v/>
      </c>
      <c r="U191" s="51"/>
      <c r="V191" s="56" t="str">
        <f t="shared" si="30"/>
        <v/>
      </c>
      <c r="X191" s="57" t="str">
        <f t="shared" si="31"/>
        <v/>
      </c>
      <c r="Y191" s="57">
        <f t="shared" si="32"/>
        <v>0</v>
      </c>
      <c r="Z191" s="57">
        <f t="shared" si="35"/>
        <v>59990</v>
      </c>
      <c r="AA191" s="57">
        <f t="shared" si="36"/>
        <v>0</v>
      </c>
      <c r="AB191" s="57">
        <f t="shared" si="33"/>
        <v>0.2</v>
      </c>
      <c r="AC191" s="57" t="str">
        <f t="shared" si="37"/>
        <v/>
      </c>
      <c r="AD191" s="57" t="str">
        <f t="shared" si="38"/>
        <v/>
      </c>
      <c r="AE191" s="57" t="str">
        <f>IF(AND($D191=RelConducteur,$S191="Oui",ISNUMBER($C191),$C191&gt;=RelDebut,$C191&lt;=RelFin),COUNTIFS($D$9:$D191,RelConducteur,$S$9:$S191,"Oui",$C$9:$C191,"&gt;="&amp;RelDebut,$C$9:$C191,"&lt;="&amp;RelFin),"")</f>
        <v/>
      </c>
    </row>
    <row r="192" spans="2:31" ht="18" customHeight="1" x14ac:dyDescent="0.25">
      <c r="B192" s="48" t="str">
        <f>IF(C192="","",COUNT($C$9:C192))</f>
        <v/>
      </c>
      <c r="C192" s="49"/>
      <c r="D192" s="51"/>
      <c r="E192" s="53"/>
      <c r="F192" s="51"/>
      <c r="G192" s="51"/>
      <c r="H192" s="51"/>
      <c r="I192" s="51"/>
      <c r="J192" s="59"/>
      <c r="K192" s="60"/>
      <c r="L192" s="61"/>
      <c r="M192" s="62"/>
      <c r="N192" s="63" t="str">
        <f t="shared" si="26"/>
        <v/>
      </c>
      <c r="O192" s="64" t="str">
        <f t="shared" si="27"/>
        <v/>
      </c>
      <c r="P192" s="65" t="str">
        <f t="shared" si="28"/>
        <v/>
      </c>
      <c r="Q192" s="66" t="str">
        <f t="shared" si="34"/>
        <v/>
      </c>
      <c r="R192" s="51"/>
      <c r="S192" s="60"/>
      <c r="T192" s="52" t="str">
        <f t="shared" si="29"/>
        <v/>
      </c>
      <c r="U192" s="51"/>
      <c r="V192" s="56" t="str">
        <f t="shared" si="30"/>
        <v/>
      </c>
      <c r="X192" s="57" t="str">
        <f t="shared" si="31"/>
        <v/>
      </c>
      <c r="Y192" s="57">
        <f t="shared" si="32"/>
        <v>0</v>
      </c>
      <c r="Z192" s="57">
        <f t="shared" si="35"/>
        <v>59990</v>
      </c>
      <c r="AA192" s="57">
        <f t="shared" si="36"/>
        <v>0</v>
      </c>
      <c r="AB192" s="57">
        <f t="shared" si="33"/>
        <v>0.2</v>
      </c>
      <c r="AC192" s="57" t="str">
        <f t="shared" si="37"/>
        <v/>
      </c>
      <c r="AD192" s="57" t="str">
        <f t="shared" si="38"/>
        <v/>
      </c>
      <c r="AE192" s="57" t="str">
        <f>IF(AND($D192=RelConducteur,$S192="Oui",ISNUMBER($C192),$C192&gt;=RelDebut,$C192&lt;=RelFin),COUNTIFS($D$9:$D192,RelConducteur,$S$9:$S192,"Oui",$C$9:$C192,"&gt;="&amp;RelDebut,$C$9:$C192,"&lt;="&amp;RelFin),"")</f>
        <v/>
      </c>
    </row>
    <row r="193" spans="2:31" ht="18" customHeight="1" x14ac:dyDescent="0.25">
      <c r="B193" s="48" t="str">
        <f>IF(C193="","",COUNT($C$9:C193))</f>
        <v/>
      </c>
      <c r="C193" s="49"/>
      <c r="D193" s="51"/>
      <c r="E193" s="53"/>
      <c r="F193" s="51"/>
      <c r="G193" s="51"/>
      <c r="H193" s="51"/>
      <c r="I193" s="51"/>
      <c r="J193" s="59"/>
      <c r="K193" s="60"/>
      <c r="L193" s="61"/>
      <c r="M193" s="62"/>
      <c r="N193" s="63" t="str">
        <f t="shared" si="26"/>
        <v/>
      </c>
      <c r="O193" s="64" t="str">
        <f t="shared" si="27"/>
        <v/>
      </c>
      <c r="P193" s="65" t="str">
        <f t="shared" si="28"/>
        <v/>
      </c>
      <c r="Q193" s="66" t="str">
        <f t="shared" si="34"/>
        <v/>
      </c>
      <c r="R193" s="51"/>
      <c r="S193" s="60"/>
      <c r="T193" s="52" t="str">
        <f t="shared" si="29"/>
        <v/>
      </c>
      <c r="U193" s="51"/>
      <c r="V193" s="56" t="str">
        <f t="shared" si="30"/>
        <v/>
      </c>
      <c r="X193" s="57" t="str">
        <f t="shared" si="31"/>
        <v/>
      </c>
      <c r="Y193" s="57">
        <f t="shared" si="32"/>
        <v>0</v>
      </c>
      <c r="Z193" s="57">
        <f t="shared" si="35"/>
        <v>59990</v>
      </c>
      <c r="AA193" s="57">
        <f t="shared" si="36"/>
        <v>0</v>
      </c>
      <c r="AB193" s="57">
        <f t="shared" si="33"/>
        <v>0.2</v>
      </c>
      <c r="AC193" s="57" t="str">
        <f t="shared" si="37"/>
        <v/>
      </c>
      <c r="AD193" s="57" t="str">
        <f t="shared" si="38"/>
        <v/>
      </c>
      <c r="AE193" s="57" t="str">
        <f>IF(AND($D193=RelConducteur,$S193="Oui",ISNUMBER($C193),$C193&gt;=RelDebut,$C193&lt;=RelFin),COUNTIFS($D$9:$D193,RelConducteur,$S$9:$S193,"Oui",$C$9:$C193,"&gt;="&amp;RelDebut,$C$9:$C193,"&lt;="&amp;RelFin),"")</f>
        <v/>
      </c>
    </row>
    <row r="194" spans="2:31" ht="18" customHeight="1" x14ac:dyDescent="0.25">
      <c r="B194" s="48" t="str">
        <f>IF(C194="","",COUNT($C$9:C194))</f>
        <v/>
      </c>
      <c r="C194" s="49"/>
      <c r="D194" s="51"/>
      <c r="E194" s="53"/>
      <c r="F194" s="51"/>
      <c r="G194" s="51"/>
      <c r="H194" s="51"/>
      <c r="I194" s="51"/>
      <c r="J194" s="59"/>
      <c r="K194" s="60"/>
      <c r="L194" s="61"/>
      <c r="M194" s="62"/>
      <c r="N194" s="63" t="str">
        <f t="shared" si="26"/>
        <v/>
      </c>
      <c r="O194" s="64" t="str">
        <f t="shared" si="27"/>
        <v/>
      </c>
      <c r="P194" s="65" t="str">
        <f t="shared" si="28"/>
        <v/>
      </c>
      <c r="Q194" s="66" t="str">
        <f t="shared" si="34"/>
        <v/>
      </c>
      <c r="R194" s="51"/>
      <c r="S194" s="60"/>
      <c r="T194" s="52" t="str">
        <f t="shared" si="29"/>
        <v/>
      </c>
      <c r="U194" s="51"/>
      <c r="V194" s="56" t="str">
        <f t="shared" si="30"/>
        <v/>
      </c>
      <c r="X194" s="57" t="str">
        <f t="shared" si="31"/>
        <v/>
      </c>
      <c r="Y194" s="57">
        <f t="shared" si="32"/>
        <v>0</v>
      </c>
      <c r="Z194" s="57">
        <f t="shared" si="35"/>
        <v>59990</v>
      </c>
      <c r="AA194" s="57">
        <f t="shared" si="36"/>
        <v>0</v>
      </c>
      <c r="AB194" s="57">
        <f t="shared" si="33"/>
        <v>0.2</v>
      </c>
      <c r="AC194" s="57" t="str">
        <f t="shared" si="37"/>
        <v/>
      </c>
      <c r="AD194" s="57" t="str">
        <f t="shared" si="38"/>
        <v/>
      </c>
      <c r="AE194" s="57" t="str">
        <f>IF(AND($D194=RelConducteur,$S194="Oui",ISNUMBER($C194),$C194&gt;=RelDebut,$C194&lt;=RelFin),COUNTIFS($D$9:$D194,RelConducteur,$S$9:$S194,"Oui",$C$9:$C194,"&gt;="&amp;RelDebut,$C$9:$C194,"&lt;="&amp;RelFin),"")</f>
        <v/>
      </c>
    </row>
    <row r="195" spans="2:31" ht="18" customHeight="1" x14ac:dyDescent="0.25">
      <c r="B195" s="48" t="str">
        <f>IF(C195="","",COUNT($C$9:C195))</f>
        <v/>
      </c>
      <c r="C195" s="49"/>
      <c r="D195" s="51"/>
      <c r="E195" s="53"/>
      <c r="F195" s="51"/>
      <c r="G195" s="51"/>
      <c r="H195" s="51"/>
      <c r="I195" s="51"/>
      <c r="J195" s="59"/>
      <c r="K195" s="60"/>
      <c r="L195" s="61"/>
      <c r="M195" s="62"/>
      <c r="N195" s="63" t="str">
        <f t="shared" si="26"/>
        <v/>
      </c>
      <c r="O195" s="64" t="str">
        <f t="shared" si="27"/>
        <v/>
      </c>
      <c r="P195" s="65" t="str">
        <f t="shared" si="28"/>
        <v/>
      </c>
      <c r="Q195" s="66" t="str">
        <f t="shared" si="34"/>
        <v/>
      </c>
      <c r="R195" s="51"/>
      <c r="S195" s="60"/>
      <c r="T195" s="52" t="str">
        <f t="shared" si="29"/>
        <v/>
      </c>
      <c r="U195" s="51"/>
      <c r="V195" s="56" t="str">
        <f t="shared" si="30"/>
        <v/>
      </c>
      <c r="X195" s="57" t="str">
        <f t="shared" si="31"/>
        <v/>
      </c>
      <c r="Y195" s="57">
        <f t="shared" si="32"/>
        <v>0</v>
      </c>
      <c r="Z195" s="57">
        <f t="shared" si="35"/>
        <v>59990</v>
      </c>
      <c r="AA195" s="57">
        <f t="shared" si="36"/>
        <v>0</v>
      </c>
      <c r="AB195" s="57">
        <f t="shared" si="33"/>
        <v>0.2</v>
      </c>
      <c r="AC195" s="57" t="str">
        <f t="shared" si="37"/>
        <v/>
      </c>
      <c r="AD195" s="57" t="str">
        <f t="shared" si="38"/>
        <v/>
      </c>
      <c r="AE195" s="57" t="str">
        <f>IF(AND($D195=RelConducteur,$S195="Oui",ISNUMBER($C195),$C195&gt;=RelDebut,$C195&lt;=RelFin),COUNTIFS($D$9:$D195,RelConducteur,$S$9:$S195,"Oui",$C$9:$C195,"&gt;="&amp;RelDebut,$C$9:$C195,"&lt;="&amp;RelFin),"")</f>
        <v/>
      </c>
    </row>
    <row r="196" spans="2:31" ht="18" customHeight="1" x14ac:dyDescent="0.25">
      <c r="B196" s="48" t="str">
        <f>IF(C196="","",COUNT($C$9:C196))</f>
        <v/>
      </c>
      <c r="C196" s="49"/>
      <c r="D196" s="51"/>
      <c r="E196" s="53"/>
      <c r="F196" s="51"/>
      <c r="G196" s="51"/>
      <c r="H196" s="51"/>
      <c r="I196" s="51"/>
      <c r="J196" s="59"/>
      <c r="K196" s="60"/>
      <c r="L196" s="61"/>
      <c r="M196" s="62"/>
      <c r="N196" s="63" t="str">
        <f t="shared" si="26"/>
        <v/>
      </c>
      <c r="O196" s="64" t="str">
        <f t="shared" si="27"/>
        <v/>
      </c>
      <c r="P196" s="65" t="str">
        <f t="shared" si="28"/>
        <v/>
      </c>
      <c r="Q196" s="66" t="str">
        <f t="shared" si="34"/>
        <v/>
      </c>
      <c r="R196" s="51"/>
      <c r="S196" s="60"/>
      <c r="T196" s="52" t="str">
        <f t="shared" si="29"/>
        <v/>
      </c>
      <c r="U196" s="51"/>
      <c r="V196" s="56" t="str">
        <f t="shared" si="30"/>
        <v/>
      </c>
      <c r="X196" s="57" t="str">
        <f t="shared" si="31"/>
        <v/>
      </c>
      <c r="Y196" s="57">
        <f t="shared" si="32"/>
        <v>0</v>
      </c>
      <c r="Z196" s="57">
        <f t="shared" si="35"/>
        <v>59990</v>
      </c>
      <c r="AA196" s="57">
        <f t="shared" si="36"/>
        <v>0</v>
      </c>
      <c r="AB196" s="57">
        <f t="shared" si="33"/>
        <v>0.2</v>
      </c>
      <c r="AC196" s="57" t="str">
        <f t="shared" si="37"/>
        <v/>
      </c>
      <c r="AD196" s="57" t="str">
        <f t="shared" si="38"/>
        <v/>
      </c>
      <c r="AE196" s="57" t="str">
        <f>IF(AND($D196=RelConducteur,$S196="Oui",ISNUMBER($C196),$C196&gt;=RelDebut,$C196&lt;=RelFin),COUNTIFS($D$9:$D196,RelConducteur,$S$9:$S196,"Oui",$C$9:$C196,"&gt;="&amp;RelDebut,$C$9:$C196,"&lt;="&amp;RelFin),"")</f>
        <v/>
      </c>
    </row>
    <row r="197" spans="2:31" ht="18" customHeight="1" x14ac:dyDescent="0.25">
      <c r="B197" s="48" t="str">
        <f>IF(C197="","",COUNT($C$9:C197))</f>
        <v/>
      </c>
      <c r="C197" s="49"/>
      <c r="D197" s="51"/>
      <c r="E197" s="53"/>
      <c r="F197" s="51"/>
      <c r="G197" s="51"/>
      <c r="H197" s="51"/>
      <c r="I197" s="51"/>
      <c r="J197" s="59"/>
      <c r="K197" s="60"/>
      <c r="L197" s="61"/>
      <c r="M197" s="62"/>
      <c r="N197" s="63" t="str">
        <f t="shared" si="26"/>
        <v/>
      </c>
      <c r="O197" s="64" t="str">
        <f t="shared" si="27"/>
        <v/>
      </c>
      <c r="P197" s="65" t="str">
        <f t="shared" si="28"/>
        <v/>
      </c>
      <c r="Q197" s="66" t="str">
        <f t="shared" si="34"/>
        <v/>
      </c>
      <c r="R197" s="51"/>
      <c r="S197" s="60"/>
      <c r="T197" s="52" t="str">
        <f t="shared" si="29"/>
        <v/>
      </c>
      <c r="U197" s="51"/>
      <c r="V197" s="56" t="str">
        <f t="shared" si="30"/>
        <v/>
      </c>
      <c r="X197" s="57" t="str">
        <f t="shared" si="31"/>
        <v/>
      </c>
      <c r="Y197" s="57">
        <f t="shared" si="32"/>
        <v>0</v>
      </c>
      <c r="Z197" s="57">
        <f t="shared" si="35"/>
        <v>59990</v>
      </c>
      <c r="AA197" s="57">
        <f t="shared" si="36"/>
        <v>0</v>
      </c>
      <c r="AB197" s="57">
        <f t="shared" si="33"/>
        <v>0.2</v>
      </c>
      <c r="AC197" s="57" t="str">
        <f t="shared" si="37"/>
        <v/>
      </c>
      <c r="AD197" s="57" t="str">
        <f t="shared" si="38"/>
        <v/>
      </c>
      <c r="AE197" s="57" t="str">
        <f>IF(AND($D197=RelConducteur,$S197="Oui",ISNUMBER($C197),$C197&gt;=RelDebut,$C197&lt;=RelFin),COUNTIFS($D$9:$D197,RelConducteur,$S$9:$S197,"Oui",$C$9:$C197,"&gt;="&amp;RelDebut,$C$9:$C197,"&lt;="&amp;RelFin),"")</f>
        <v/>
      </c>
    </row>
    <row r="198" spans="2:31" ht="18" customHeight="1" x14ac:dyDescent="0.25">
      <c r="B198" s="48" t="str">
        <f>IF(C198="","",COUNT($C$9:C198))</f>
        <v/>
      </c>
      <c r="C198" s="49"/>
      <c r="D198" s="51"/>
      <c r="E198" s="53"/>
      <c r="F198" s="51"/>
      <c r="G198" s="51"/>
      <c r="H198" s="51"/>
      <c r="I198" s="51"/>
      <c r="J198" s="59"/>
      <c r="K198" s="60"/>
      <c r="L198" s="61"/>
      <c r="M198" s="62"/>
      <c r="N198" s="63" t="str">
        <f t="shared" si="26"/>
        <v/>
      </c>
      <c r="O198" s="64" t="str">
        <f t="shared" si="27"/>
        <v/>
      </c>
      <c r="P198" s="65" t="str">
        <f t="shared" si="28"/>
        <v/>
      </c>
      <c r="Q198" s="66" t="str">
        <f t="shared" si="34"/>
        <v/>
      </c>
      <c r="R198" s="51"/>
      <c r="S198" s="60"/>
      <c r="T198" s="52" t="str">
        <f t="shared" si="29"/>
        <v/>
      </c>
      <c r="U198" s="51"/>
      <c r="V198" s="56" t="str">
        <f t="shared" si="30"/>
        <v/>
      </c>
      <c r="X198" s="57" t="str">
        <f t="shared" si="31"/>
        <v/>
      </c>
      <c r="Y198" s="57">
        <f t="shared" si="32"/>
        <v>0</v>
      </c>
      <c r="Z198" s="57">
        <f t="shared" si="35"/>
        <v>59990</v>
      </c>
      <c r="AA198" s="57">
        <f t="shared" si="36"/>
        <v>0</v>
      </c>
      <c r="AB198" s="57">
        <f t="shared" si="33"/>
        <v>0.2</v>
      </c>
      <c r="AC198" s="57" t="str">
        <f t="shared" si="37"/>
        <v/>
      </c>
      <c r="AD198" s="57" t="str">
        <f t="shared" si="38"/>
        <v/>
      </c>
      <c r="AE198" s="57" t="str">
        <f>IF(AND($D198=RelConducteur,$S198="Oui",ISNUMBER($C198),$C198&gt;=RelDebut,$C198&lt;=RelFin),COUNTIFS($D$9:$D198,RelConducteur,$S$9:$S198,"Oui",$C$9:$C198,"&gt;="&amp;RelDebut,$C$9:$C198,"&lt;="&amp;RelFin),"")</f>
        <v/>
      </c>
    </row>
    <row r="199" spans="2:31" ht="18" customHeight="1" x14ac:dyDescent="0.25">
      <c r="B199" s="48" t="str">
        <f>IF(C199="","",COUNT($C$9:C199))</f>
        <v/>
      </c>
      <c r="C199" s="49"/>
      <c r="D199" s="51"/>
      <c r="E199" s="53"/>
      <c r="F199" s="51"/>
      <c r="G199" s="51"/>
      <c r="H199" s="51"/>
      <c r="I199" s="51"/>
      <c r="J199" s="59"/>
      <c r="K199" s="60"/>
      <c r="L199" s="61"/>
      <c r="M199" s="62"/>
      <c r="N199" s="63" t="str">
        <f t="shared" si="26"/>
        <v/>
      </c>
      <c r="O199" s="64" t="str">
        <f t="shared" si="27"/>
        <v/>
      </c>
      <c r="P199" s="65" t="str">
        <f t="shared" si="28"/>
        <v/>
      </c>
      <c r="Q199" s="66" t="str">
        <f t="shared" si="34"/>
        <v/>
      </c>
      <c r="R199" s="51"/>
      <c r="S199" s="60"/>
      <c r="T199" s="52" t="str">
        <f t="shared" si="29"/>
        <v/>
      </c>
      <c r="U199" s="51"/>
      <c r="V199" s="56" t="str">
        <f t="shared" si="30"/>
        <v/>
      </c>
      <c r="X199" s="57" t="str">
        <f t="shared" si="31"/>
        <v/>
      </c>
      <c r="Y199" s="57">
        <f t="shared" si="32"/>
        <v>0</v>
      </c>
      <c r="Z199" s="57">
        <f t="shared" si="35"/>
        <v>59990</v>
      </c>
      <c r="AA199" s="57">
        <f t="shared" si="36"/>
        <v>0</v>
      </c>
      <c r="AB199" s="57">
        <f t="shared" si="33"/>
        <v>0.2</v>
      </c>
      <c r="AC199" s="57" t="str">
        <f t="shared" si="37"/>
        <v/>
      </c>
      <c r="AD199" s="57" t="str">
        <f t="shared" si="38"/>
        <v/>
      </c>
      <c r="AE199" s="57" t="str">
        <f>IF(AND($D199=RelConducteur,$S199="Oui",ISNUMBER($C199),$C199&gt;=RelDebut,$C199&lt;=RelFin),COUNTIFS($D$9:$D199,RelConducteur,$S$9:$S199,"Oui",$C$9:$C199,"&gt;="&amp;RelDebut,$C$9:$C199,"&lt;="&amp;RelFin),"")</f>
        <v/>
      </c>
    </row>
    <row r="200" spans="2:31" ht="18" customHeight="1" x14ac:dyDescent="0.25">
      <c r="B200" s="48" t="str">
        <f>IF(C200="","",COUNT($C$9:C200))</f>
        <v/>
      </c>
      <c r="C200" s="49"/>
      <c r="D200" s="51"/>
      <c r="E200" s="53"/>
      <c r="F200" s="51"/>
      <c r="G200" s="51"/>
      <c r="H200" s="51"/>
      <c r="I200" s="51"/>
      <c r="J200" s="59"/>
      <c r="K200" s="60"/>
      <c r="L200" s="61"/>
      <c r="M200" s="62"/>
      <c r="N200" s="63" t="str">
        <f t="shared" si="26"/>
        <v/>
      </c>
      <c r="O200" s="64" t="str">
        <f t="shared" si="27"/>
        <v/>
      </c>
      <c r="P200" s="65" t="str">
        <f t="shared" si="28"/>
        <v/>
      </c>
      <c r="Q200" s="66" t="str">
        <f t="shared" si="34"/>
        <v/>
      </c>
      <c r="R200" s="51"/>
      <c r="S200" s="60"/>
      <c r="T200" s="52" t="str">
        <f t="shared" si="29"/>
        <v/>
      </c>
      <c r="U200" s="51"/>
      <c r="V200" s="56" t="str">
        <f t="shared" si="30"/>
        <v/>
      </c>
      <c r="X200" s="57" t="str">
        <f t="shared" si="31"/>
        <v/>
      </c>
      <c r="Y200" s="57">
        <f t="shared" si="32"/>
        <v>0</v>
      </c>
      <c r="Z200" s="57">
        <f t="shared" si="35"/>
        <v>59990</v>
      </c>
      <c r="AA200" s="57">
        <f t="shared" si="36"/>
        <v>0</v>
      </c>
      <c r="AB200" s="57">
        <f t="shared" si="33"/>
        <v>0.2</v>
      </c>
      <c r="AC200" s="57" t="str">
        <f t="shared" si="37"/>
        <v/>
      </c>
      <c r="AD200" s="57" t="str">
        <f t="shared" si="38"/>
        <v/>
      </c>
      <c r="AE200" s="57" t="str">
        <f>IF(AND($D200=RelConducteur,$S200="Oui",ISNUMBER($C200),$C200&gt;=RelDebut,$C200&lt;=RelFin),COUNTIFS($D$9:$D200,RelConducteur,$S$9:$S200,"Oui",$C$9:$C200,"&gt;="&amp;RelDebut,$C$9:$C200,"&lt;="&amp;RelFin),"")</f>
        <v/>
      </c>
    </row>
    <row r="201" spans="2:31" ht="18" customHeight="1" x14ac:dyDescent="0.25">
      <c r="B201" s="48" t="str">
        <f>IF(C201="","",COUNT($C$9:C201))</f>
        <v/>
      </c>
      <c r="C201" s="49"/>
      <c r="D201" s="51"/>
      <c r="E201" s="53"/>
      <c r="F201" s="51"/>
      <c r="G201" s="51"/>
      <c r="H201" s="51"/>
      <c r="I201" s="51"/>
      <c r="J201" s="59"/>
      <c r="K201" s="60"/>
      <c r="L201" s="61"/>
      <c r="M201" s="62"/>
      <c r="N201" s="63" t="str">
        <f t="shared" ref="N201:N264" si="39">IF(L201="","",L201/(1+AB201))</f>
        <v/>
      </c>
      <c r="O201" s="64" t="str">
        <f t="shared" ref="O201:O264" si="40">IF(L201="","",L201-N201)</f>
        <v/>
      </c>
      <c r="P201" s="65" t="str">
        <f t="shared" ref="P201:P264" si="41">IF(AND(Y201=1,N(J201)&gt;0,ISNUMBER(L201)),L201/J201,"")</f>
        <v/>
      </c>
      <c r="Q201" s="66" t="str">
        <f t="shared" si="34"/>
        <v/>
      </c>
      <c r="R201" s="51"/>
      <c r="S201" s="60"/>
      <c r="T201" s="52" t="str">
        <f t="shared" ref="T201:T264" si="42">IF(C201="","",IF(D201="","Non affecté",IFERROR(INDEX(CondService,MATCH(D201,CondNoms,0))&amp;"","Non affecté")))</f>
        <v/>
      </c>
      <c r="U201" s="51"/>
      <c r="V201" s="56" t="str">
        <f t="shared" ref="V201:V264" si="43">IF(C201="","",IF(OR(F201="",L201=""),"Incomplet",IF(X201="Catégorie inconnue","Catégorie inconnue",IF(AND(Y201=1,OR(E201="",J201="",K201="")),"Plein incomplet",IF(AND(ISNUMBER(E201),E201&lt;N(KmOuverture)),"Compteur &lt; ouverture",IF(AND(Y201=1,N(Capacite)&gt;0,N(J201)&gt;Capacite*1.02),"Quantité &gt; réservoir",IF(ISNUMBER(Q201),IF(AND(ConsoRef&gt;0,ABS(Q201/MAX(ConsoRef,0.0001)-1)&gt;SeuilConso),"Conso. atypique","Conforme"),IF(AND(G201&lt;&gt;"",E201="",X201="Entretien et réparations"),"Compteur manquant","Conforme"))))))))</f>
        <v/>
      </c>
      <c r="X201" s="57" t="str">
        <f t="shared" ref="X201:X264" si="44">IF(F201="","",IFERROR(INDEX(CatGroupe,MATCH(F201,CatNoms,0))&amp;"","Catégorie inconnue"))</f>
        <v/>
      </c>
      <c r="Y201" s="57">
        <f t="shared" ref="Y201:Y264" si="45">IF(X201="Énergie",1,0)</f>
        <v>0</v>
      </c>
      <c r="Z201" s="57">
        <f t="shared" si="35"/>
        <v>59990</v>
      </c>
      <c r="AA201" s="57">
        <f t="shared" si="36"/>
        <v>0</v>
      </c>
      <c r="AB201" s="57">
        <f t="shared" ref="AB201:AB264" si="46">IF(ISNUMBER(M201),M201,IFERROR(INDEX(CatTVA,MATCH(F201,CatNoms,0))*1,0.2))</f>
        <v>0.2</v>
      </c>
      <c r="AC201" s="57" t="str">
        <f t="shared" si="37"/>
        <v/>
      </c>
      <c r="AD201" s="57" t="str">
        <f t="shared" si="38"/>
        <v/>
      </c>
      <c r="AE201" s="57" t="str">
        <f>IF(AND($D201=RelConducteur,$S201="Oui",ISNUMBER($C201),$C201&gt;=RelDebut,$C201&lt;=RelFin),COUNTIFS($D$9:$D201,RelConducteur,$S$9:$S201,"Oui",$C$9:$C201,"&gt;="&amp;RelDebut,$C$9:$C201,"&lt;="&amp;RelFin),"")</f>
        <v/>
      </c>
    </row>
    <row r="202" spans="2:31" ht="18" customHeight="1" x14ac:dyDescent="0.25">
      <c r="B202" s="48" t="str">
        <f>IF(C202="","",COUNT($C$9:C202))</f>
        <v/>
      </c>
      <c r="C202" s="49"/>
      <c r="D202" s="51"/>
      <c r="E202" s="53"/>
      <c r="F202" s="51"/>
      <c r="G202" s="51"/>
      <c r="H202" s="51"/>
      <c r="I202" s="51"/>
      <c r="J202" s="59"/>
      <c r="K202" s="60"/>
      <c r="L202" s="61"/>
      <c r="M202" s="62"/>
      <c r="N202" s="63" t="str">
        <f t="shared" si="39"/>
        <v/>
      </c>
      <c r="O202" s="64" t="str">
        <f t="shared" si="40"/>
        <v/>
      </c>
      <c r="P202" s="65" t="str">
        <f t="shared" si="41"/>
        <v/>
      </c>
      <c r="Q202" s="66" t="str">
        <f t="shared" ref="Q202:Q265" si="47">IF(AND(Y202=1,K202="Oui",ISNUMBER(E202),ISNUMBER(Z201),N(J202)&gt;0),IF(E202&gt;Z201,(N(AA201)+N(J202))/(E202-Z201)*100,""),"")</f>
        <v/>
      </c>
      <c r="R202" s="51"/>
      <c r="S202" s="60"/>
      <c r="T202" s="52" t="str">
        <f t="shared" si="42"/>
        <v/>
      </c>
      <c r="U202" s="51"/>
      <c r="V202" s="56" t="str">
        <f t="shared" si="43"/>
        <v/>
      </c>
      <c r="X202" s="57" t="str">
        <f t="shared" si="44"/>
        <v/>
      </c>
      <c r="Y202" s="57">
        <f t="shared" si="45"/>
        <v>0</v>
      </c>
      <c r="Z202" s="57">
        <f t="shared" ref="Z202:Z265" si="48">IF(AND(Y202=1,K202="Oui",ISNUMBER(E202)),E202,Z201)</f>
        <v>59990</v>
      </c>
      <c r="AA202" s="57">
        <f t="shared" ref="AA202:AA265" si="49">IF(Y202=1,IF(K202="Oui",0,N(AA201)+N(J202)),N(AA201))</f>
        <v>0</v>
      </c>
      <c r="AB202" s="57">
        <f t="shared" si="46"/>
        <v>0.2</v>
      </c>
      <c r="AC202" s="57" t="str">
        <f t="shared" ref="AC202:AC265" si="50">IF(Q202="","",E202-Z201)</f>
        <v/>
      </c>
      <c r="AD202" s="57" t="str">
        <f t="shared" ref="AD202:AD265" si="51">IF(Q202="","",N(AA201)+N(J202))</f>
        <v/>
      </c>
      <c r="AE202" s="57" t="str">
        <f>IF(AND($D202=RelConducteur,$S202="Oui",ISNUMBER($C202),$C202&gt;=RelDebut,$C202&lt;=RelFin),COUNTIFS($D$9:$D202,RelConducteur,$S$9:$S202,"Oui",$C$9:$C202,"&gt;="&amp;RelDebut,$C$9:$C202,"&lt;="&amp;RelFin),"")</f>
        <v/>
      </c>
    </row>
    <row r="203" spans="2:31" ht="18" customHeight="1" x14ac:dyDescent="0.25">
      <c r="B203" s="48" t="str">
        <f>IF(C203="","",COUNT($C$9:C203))</f>
        <v/>
      </c>
      <c r="C203" s="49"/>
      <c r="D203" s="51"/>
      <c r="E203" s="53"/>
      <c r="F203" s="51"/>
      <c r="G203" s="51"/>
      <c r="H203" s="51"/>
      <c r="I203" s="51"/>
      <c r="J203" s="59"/>
      <c r="K203" s="60"/>
      <c r="L203" s="61"/>
      <c r="M203" s="62"/>
      <c r="N203" s="63" t="str">
        <f t="shared" si="39"/>
        <v/>
      </c>
      <c r="O203" s="64" t="str">
        <f t="shared" si="40"/>
        <v/>
      </c>
      <c r="P203" s="65" t="str">
        <f t="shared" si="41"/>
        <v/>
      </c>
      <c r="Q203" s="66" t="str">
        <f t="shared" si="47"/>
        <v/>
      </c>
      <c r="R203" s="51"/>
      <c r="S203" s="60"/>
      <c r="T203" s="52" t="str">
        <f t="shared" si="42"/>
        <v/>
      </c>
      <c r="U203" s="51"/>
      <c r="V203" s="56" t="str">
        <f t="shared" si="43"/>
        <v/>
      </c>
      <c r="X203" s="57" t="str">
        <f t="shared" si="44"/>
        <v/>
      </c>
      <c r="Y203" s="57">
        <f t="shared" si="45"/>
        <v>0</v>
      </c>
      <c r="Z203" s="57">
        <f t="shared" si="48"/>
        <v>59990</v>
      </c>
      <c r="AA203" s="57">
        <f t="shared" si="49"/>
        <v>0</v>
      </c>
      <c r="AB203" s="57">
        <f t="shared" si="46"/>
        <v>0.2</v>
      </c>
      <c r="AC203" s="57" t="str">
        <f t="shared" si="50"/>
        <v/>
      </c>
      <c r="AD203" s="57" t="str">
        <f t="shared" si="51"/>
        <v/>
      </c>
      <c r="AE203" s="57" t="str">
        <f>IF(AND($D203=RelConducteur,$S203="Oui",ISNUMBER($C203),$C203&gt;=RelDebut,$C203&lt;=RelFin),COUNTIFS($D$9:$D203,RelConducteur,$S$9:$S203,"Oui",$C$9:$C203,"&gt;="&amp;RelDebut,$C$9:$C203,"&lt;="&amp;RelFin),"")</f>
        <v/>
      </c>
    </row>
    <row r="204" spans="2:31" ht="18" customHeight="1" x14ac:dyDescent="0.25">
      <c r="B204" s="48" t="str">
        <f>IF(C204="","",COUNT($C$9:C204))</f>
        <v/>
      </c>
      <c r="C204" s="49"/>
      <c r="D204" s="51"/>
      <c r="E204" s="53"/>
      <c r="F204" s="51"/>
      <c r="G204" s="51"/>
      <c r="H204" s="51"/>
      <c r="I204" s="51"/>
      <c r="J204" s="59"/>
      <c r="K204" s="60"/>
      <c r="L204" s="61"/>
      <c r="M204" s="62"/>
      <c r="N204" s="63" t="str">
        <f t="shared" si="39"/>
        <v/>
      </c>
      <c r="O204" s="64" t="str">
        <f t="shared" si="40"/>
        <v/>
      </c>
      <c r="P204" s="65" t="str">
        <f t="shared" si="41"/>
        <v/>
      </c>
      <c r="Q204" s="66" t="str">
        <f t="shared" si="47"/>
        <v/>
      </c>
      <c r="R204" s="51"/>
      <c r="S204" s="60"/>
      <c r="T204" s="52" t="str">
        <f t="shared" si="42"/>
        <v/>
      </c>
      <c r="U204" s="51"/>
      <c r="V204" s="56" t="str">
        <f t="shared" si="43"/>
        <v/>
      </c>
      <c r="X204" s="57" t="str">
        <f t="shared" si="44"/>
        <v/>
      </c>
      <c r="Y204" s="57">
        <f t="shared" si="45"/>
        <v>0</v>
      </c>
      <c r="Z204" s="57">
        <f t="shared" si="48"/>
        <v>59990</v>
      </c>
      <c r="AA204" s="57">
        <f t="shared" si="49"/>
        <v>0</v>
      </c>
      <c r="AB204" s="57">
        <f t="shared" si="46"/>
        <v>0.2</v>
      </c>
      <c r="AC204" s="57" t="str">
        <f t="shared" si="50"/>
        <v/>
      </c>
      <c r="AD204" s="57" t="str">
        <f t="shared" si="51"/>
        <v/>
      </c>
      <c r="AE204" s="57" t="str">
        <f>IF(AND($D204=RelConducteur,$S204="Oui",ISNUMBER($C204),$C204&gt;=RelDebut,$C204&lt;=RelFin),COUNTIFS($D$9:$D204,RelConducteur,$S$9:$S204,"Oui",$C$9:$C204,"&gt;="&amp;RelDebut,$C$9:$C204,"&lt;="&amp;RelFin),"")</f>
        <v/>
      </c>
    </row>
    <row r="205" spans="2:31" ht="18" customHeight="1" x14ac:dyDescent="0.25">
      <c r="B205" s="48" t="str">
        <f>IF(C205="","",COUNT($C$9:C205))</f>
        <v/>
      </c>
      <c r="C205" s="49"/>
      <c r="D205" s="51"/>
      <c r="E205" s="53"/>
      <c r="F205" s="51"/>
      <c r="G205" s="51"/>
      <c r="H205" s="51"/>
      <c r="I205" s="51"/>
      <c r="J205" s="59"/>
      <c r="K205" s="60"/>
      <c r="L205" s="61"/>
      <c r="M205" s="62"/>
      <c r="N205" s="63" t="str">
        <f t="shared" si="39"/>
        <v/>
      </c>
      <c r="O205" s="64" t="str">
        <f t="shared" si="40"/>
        <v/>
      </c>
      <c r="P205" s="65" t="str">
        <f t="shared" si="41"/>
        <v/>
      </c>
      <c r="Q205" s="66" t="str">
        <f t="shared" si="47"/>
        <v/>
      </c>
      <c r="R205" s="51"/>
      <c r="S205" s="60"/>
      <c r="T205" s="52" t="str">
        <f t="shared" si="42"/>
        <v/>
      </c>
      <c r="U205" s="51"/>
      <c r="V205" s="56" t="str">
        <f t="shared" si="43"/>
        <v/>
      </c>
      <c r="X205" s="57" t="str">
        <f t="shared" si="44"/>
        <v/>
      </c>
      <c r="Y205" s="57">
        <f t="shared" si="45"/>
        <v>0</v>
      </c>
      <c r="Z205" s="57">
        <f t="shared" si="48"/>
        <v>59990</v>
      </c>
      <c r="AA205" s="57">
        <f t="shared" si="49"/>
        <v>0</v>
      </c>
      <c r="AB205" s="57">
        <f t="shared" si="46"/>
        <v>0.2</v>
      </c>
      <c r="AC205" s="57" t="str">
        <f t="shared" si="50"/>
        <v/>
      </c>
      <c r="AD205" s="57" t="str">
        <f t="shared" si="51"/>
        <v/>
      </c>
      <c r="AE205" s="57" t="str">
        <f>IF(AND($D205=RelConducteur,$S205="Oui",ISNUMBER($C205),$C205&gt;=RelDebut,$C205&lt;=RelFin),COUNTIFS($D$9:$D205,RelConducteur,$S$9:$S205,"Oui",$C$9:$C205,"&gt;="&amp;RelDebut,$C$9:$C205,"&lt;="&amp;RelFin),"")</f>
        <v/>
      </c>
    </row>
    <row r="206" spans="2:31" ht="18" customHeight="1" x14ac:dyDescent="0.25">
      <c r="B206" s="48" t="str">
        <f>IF(C206="","",COUNT($C$9:C206))</f>
        <v/>
      </c>
      <c r="C206" s="49"/>
      <c r="D206" s="51"/>
      <c r="E206" s="53"/>
      <c r="F206" s="51"/>
      <c r="G206" s="51"/>
      <c r="H206" s="51"/>
      <c r="I206" s="51"/>
      <c r="J206" s="59"/>
      <c r="K206" s="60"/>
      <c r="L206" s="61"/>
      <c r="M206" s="62"/>
      <c r="N206" s="63" t="str">
        <f t="shared" si="39"/>
        <v/>
      </c>
      <c r="O206" s="64" t="str">
        <f t="shared" si="40"/>
        <v/>
      </c>
      <c r="P206" s="65" t="str">
        <f t="shared" si="41"/>
        <v/>
      </c>
      <c r="Q206" s="66" t="str">
        <f t="shared" si="47"/>
        <v/>
      </c>
      <c r="R206" s="51"/>
      <c r="S206" s="60"/>
      <c r="T206" s="52" t="str">
        <f t="shared" si="42"/>
        <v/>
      </c>
      <c r="U206" s="51"/>
      <c r="V206" s="56" t="str">
        <f t="shared" si="43"/>
        <v/>
      </c>
      <c r="X206" s="57" t="str">
        <f t="shared" si="44"/>
        <v/>
      </c>
      <c r="Y206" s="57">
        <f t="shared" si="45"/>
        <v>0</v>
      </c>
      <c r="Z206" s="57">
        <f t="shared" si="48"/>
        <v>59990</v>
      </c>
      <c r="AA206" s="57">
        <f t="shared" si="49"/>
        <v>0</v>
      </c>
      <c r="AB206" s="57">
        <f t="shared" si="46"/>
        <v>0.2</v>
      </c>
      <c r="AC206" s="57" t="str">
        <f t="shared" si="50"/>
        <v/>
      </c>
      <c r="AD206" s="57" t="str">
        <f t="shared" si="51"/>
        <v/>
      </c>
      <c r="AE206" s="57" t="str">
        <f>IF(AND($D206=RelConducteur,$S206="Oui",ISNUMBER($C206),$C206&gt;=RelDebut,$C206&lt;=RelFin),COUNTIFS($D$9:$D206,RelConducteur,$S$9:$S206,"Oui",$C$9:$C206,"&gt;="&amp;RelDebut,$C$9:$C206,"&lt;="&amp;RelFin),"")</f>
        <v/>
      </c>
    </row>
    <row r="207" spans="2:31" ht="18" customHeight="1" x14ac:dyDescent="0.25">
      <c r="B207" s="48" t="str">
        <f>IF(C207="","",COUNT($C$9:C207))</f>
        <v/>
      </c>
      <c r="C207" s="49"/>
      <c r="D207" s="51"/>
      <c r="E207" s="53"/>
      <c r="F207" s="51"/>
      <c r="G207" s="51"/>
      <c r="H207" s="51"/>
      <c r="I207" s="51"/>
      <c r="J207" s="59"/>
      <c r="K207" s="60"/>
      <c r="L207" s="61"/>
      <c r="M207" s="62"/>
      <c r="N207" s="63" t="str">
        <f t="shared" si="39"/>
        <v/>
      </c>
      <c r="O207" s="64" t="str">
        <f t="shared" si="40"/>
        <v/>
      </c>
      <c r="P207" s="65" t="str">
        <f t="shared" si="41"/>
        <v/>
      </c>
      <c r="Q207" s="66" t="str">
        <f t="shared" si="47"/>
        <v/>
      </c>
      <c r="R207" s="51"/>
      <c r="S207" s="60"/>
      <c r="T207" s="52" t="str">
        <f t="shared" si="42"/>
        <v/>
      </c>
      <c r="U207" s="51"/>
      <c r="V207" s="56" t="str">
        <f t="shared" si="43"/>
        <v/>
      </c>
      <c r="X207" s="57" t="str">
        <f t="shared" si="44"/>
        <v/>
      </c>
      <c r="Y207" s="57">
        <f t="shared" si="45"/>
        <v>0</v>
      </c>
      <c r="Z207" s="57">
        <f t="shared" si="48"/>
        <v>59990</v>
      </c>
      <c r="AA207" s="57">
        <f t="shared" si="49"/>
        <v>0</v>
      </c>
      <c r="AB207" s="57">
        <f t="shared" si="46"/>
        <v>0.2</v>
      </c>
      <c r="AC207" s="57" t="str">
        <f t="shared" si="50"/>
        <v/>
      </c>
      <c r="AD207" s="57" t="str">
        <f t="shared" si="51"/>
        <v/>
      </c>
      <c r="AE207" s="57" t="str">
        <f>IF(AND($D207=RelConducteur,$S207="Oui",ISNUMBER($C207),$C207&gt;=RelDebut,$C207&lt;=RelFin),COUNTIFS($D$9:$D207,RelConducteur,$S$9:$S207,"Oui",$C$9:$C207,"&gt;="&amp;RelDebut,$C$9:$C207,"&lt;="&amp;RelFin),"")</f>
        <v/>
      </c>
    </row>
    <row r="208" spans="2:31" ht="18" customHeight="1" x14ac:dyDescent="0.25">
      <c r="B208" s="48" t="str">
        <f>IF(C208="","",COUNT($C$9:C208))</f>
        <v/>
      </c>
      <c r="C208" s="49"/>
      <c r="D208" s="51"/>
      <c r="E208" s="53"/>
      <c r="F208" s="51"/>
      <c r="G208" s="51"/>
      <c r="H208" s="51"/>
      <c r="I208" s="51"/>
      <c r="J208" s="59"/>
      <c r="K208" s="60"/>
      <c r="L208" s="61"/>
      <c r="M208" s="62"/>
      <c r="N208" s="63" t="str">
        <f t="shared" si="39"/>
        <v/>
      </c>
      <c r="O208" s="64" t="str">
        <f t="shared" si="40"/>
        <v/>
      </c>
      <c r="P208" s="65" t="str">
        <f t="shared" si="41"/>
        <v/>
      </c>
      <c r="Q208" s="66" t="str">
        <f t="shared" si="47"/>
        <v/>
      </c>
      <c r="R208" s="51"/>
      <c r="S208" s="60"/>
      <c r="T208" s="52" t="str">
        <f t="shared" si="42"/>
        <v/>
      </c>
      <c r="U208" s="51"/>
      <c r="V208" s="56" t="str">
        <f t="shared" si="43"/>
        <v/>
      </c>
      <c r="X208" s="57" t="str">
        <f t="shared" si="44"/>
        <v/>
      </c>
      <c r="Y208" s="57">
        <f t="shared" si="45"/>
        <v>0</v>
      </c>
      <c r="Z208" s="57">
        <f t="shared" si="48"/>
        <v>59990</v>
      </c>
      <c r="AA208" s="57">
        <f t="shared" si="49"/>
        <v>0</v>
      </c>
      <c r="AB208" s="57">
        <f t="shared" si="46"/>
        <v>0.2</v>
      </c>
      <c r="AC208" s="57" t="str">
        <f t="shared" si="50"/>
        <v/>
      </c>
      <c r="AD208" s="57" t="str">
        <f t="shared" si="51"/>
        <v/>
      </c>
      <c r="AE208" s="57" t="str">
        <f>IF(AND($D208=RelConducteur,$S208="Oui",ISNUMBER($C208),$C208&gt;=RelDebut,$C208&lt;=RelFin),COUNTIFS($D$9:$D208,RelConducteur,$S$9:$S208,"Oui",$C$9:$C208,"&gt;="&amp;RelDebut,$C$9:$C208,"&lt;="&amp;RelFin),"")</f>
        <v/>
      </c>
    </row>
    <row r="209" spans="2:31" ht="18" customHeight="1" x14ac:dyDescent="0.25">
      <c r="B209" s="48" t="str">
        <f>IF(C209="","",COUNT($C$9:C209))</f>
        <v/>
      </c>
      <c r="C209" s="49"/>
      <c r="D209" s="51"/>
      <c r="E209" s="53"/>
      <c r="F209" s="51"/>
      <c r="G209" s="51"/>
      <c r="H209" s="51"/>
      <c r="I209" s="51"/>
      <c r="J209" s="59"/>
      <c r="K209" s="60"/>
      <c r="L209" s="61"/>
      <c r="M209" s="62"/>
      <c r="N209" s="63" t="str">
        <f t="shared" si="39"/>
        <v/>
      </c>
      <c r="O209" s="64" t="str">
        <f t="shared" si="40"/>
        <v/>
      </c>
      <c r="P209" s="65" t="str">
        <f t="shared" si="41"/>
        <v/>
      </c>
      <c r="Q209" s="66" t="str">
        <f t="shared" si="47"/>
        <v/>
      </c>
      <c r="R209" s="51"/>
      <c r="S209" s="60"/>
      <c r="T209" s="52" t="str">
        <f t="shared" si="42"/>
        <v/>
      </c>
      <c r="U209" s="51"/>
      <c r="V209" s="56" t="str">
        <f t="shared" si="43"/>
        <v/>
      </c>
      <c r="X209" s="57" t="str">
        <f t="shared" si="44"/>
        <v/>
      </c>
      <c r="Y209" s="57">
        <f t="shared" si="45"/>
        <v>0</v>
      </c>
      <c r="Z209" s="57">
        <f t="shared" si="48"/>
        <v>59990</v>
      </c>
      <c r="AA209" s="57">
        <f t="shared" si="49"/>
        <v>0</v>
      </c>
      <c r="AB209" s="57">
        <f t="shared" si="46"/>
        <v>0.2</v>
      </c>
      <c r="AC209" s="57" t="str">
        <f t="shared" si="50"/>
        <v/>
      </c>
      <c r="AD209" s="57" t="str">
        <f t="shared" si="51"/>
        <v/>
      </c>
      <c r="AE209" s="57" t="str">
        <f>IF(AND($D209=RelConducteur,$S209="Oui",ISNUMBER($C209),$C209&gt;=RelDebut,$C209&lt;=RelFin),COUNTIFS($D$9:$D209,RelConducteur,$S$9:$S209,"Oui",$C$9:$C209,"&gt;="&amp;RelDebut,$C$9:$C209,"&lt;="&amp;RelFin),"")</f>
        <v/>
      </c>
    </row>
    <row r="210" spans="2:31" ht="18" customHeight="1" x14ac:dyDescent="0.25">
      <c r="B210" s="48" t="str">
        <f>IF(C210="","",COUNT($C$9:C210))</f>
        <v/>
      </c>
      <c r="C210" s="49"/>
      <c r="D210" s="51"/>
      <c r="E210" s="53"/>
      <c r="F210" s="51"/>
      <c r="G210" s="51"/>
      <c r="H210" s="51"/>
      <c r="I210" s="51"/>
      <c r="J210" s="59"/>
      <c r="K210" s="60"/>
      <c r="L210" s="61"/>
      <c r="M210" s="62"/>
      <c r="N210" s="63" t="str">
        <f t="shared" si="39"/>
        <v/>
      </c>
      <c r="O210" s="64" t="str">
        <f t="shared" si="40"/>
        <v/>
      </c>
      <c r="P210" s="65" t="str">
        <f t="shared" si="41"/>
        <v/>
      </c>
      <c r="Q210" s="66" t="str">
        <f t="shared" si="47"/>
        <v/>
      </c>
      <c r="R210" s="51"/>
      <c r="S210" s="60"/>
      <c r="T210" s="52" t="str">
        <f t="shared" si="42"/>
        <v/>
      </c>
      <c r="U210" s="51"/>
      <c r="V210" s="56" t="str">
        <f t="shared" si="43"/>
        <v/>
      </c>
      <c r="X210" s="57" t="str">
        <f t="shared" si="44"/>
        <v/>
      </c>
      <c r="Y210" s="57">
        <f t="shared" si="45"/>
        <v>0</v>
      </c>
      <c r="Z210" s="57">
        <f t="shared" si="48"/>
        <v>59990</v>
      </c>
      <c r="AA210" s="57">
        <f t="shared" si="49"/>
        <v>0</v>
      </c>
      <c r="AB210" s="57">
        <f t="shared" si="46"/>
        <v>0.2</v>
      </c>
      <c r="AC210" s="57" t="str">
        <f t="shared" si="50"/>
        <v/>
      </c>
      <c r="AD210" s="57" t="str">
        <f t="shared" si="51"/>
        <v/>
      </c>
      <c r="AE210" s="57" t="str">
        <f>IF(AND($D210=RelConducteur,$S210="Oui",ISNUMBER($C210),$C210&gt;=RelDebut,$C210&lt;=RelFin),COUNTIFS($D$9:$D210,RelConducteur,$S$9:$S210,"Oui",$C$9:$C210,"&gt;="&amp;RelDebut,$C$9:$C210,"&lt;="&amp;RelFin),"")</f>
        <v/>
      </c>
    </row>
    <row r="211" spans="2:31" ht="18" customHeight="1" x14ac:dyDescent="0.25">
      <c r="B211" s="48" t="str">
        <f>IF(C211="","",COUNT($C$9:C211))</f>
        <v/>
      </c>
      <c r="C211" s="49"/>
      <c r="D211" s="51"/>
      <c r="E211" s="53"/>
      <c r="F211" s="51"/>
      <c r="G211" s="51"/>
      <c r="H211" s="51"/>
      <c r="I211" s="51"/>
      <c r="J211" s="59"/>
      <c r="K211" s="60"/>
      <c r="L211" s="61"/>
      <c r="M211" s="62"/>
      <c r="N211" s="63" t="str">
        <f t="shared" si="39"/>
        <v/>
      </c>
      <c r="O211" s="64" t="str">
        <f t="shared" si="40"/>
        <v/>
      </c>
      <c r="P211" s="65" t="str">
        <f t="shared" si="41"/>
        <v/>
      </c>
      <c r="Q211" s="66" t="str">
        <f t="shared" si="47"/>
        <v/>
      </c>
      <c r="R211" s="51"/>
      <c r="S211" s="60"/>
      <c r="T211" s="52" t="str">
        <f t="shared" si="42"/>
        <v/>
      </c>
      <c r="U211" s="51"/>
      <c r="V211" s="56" t="str">
        <f t="shared" si="43"/>
        <v/>
      </c>
      <c r="X211" s="57" t="str">
        <f t="shared" si="44"/>
        <v/>
      </c>
      <c r="Y211" s="57">
        <f t="shared" si="45"/>
        <v>0</v>
      </c>
      <c r="Z211" s="57">
        <f t="shared" si="48"/>
        <v>59990</v>
      </c>
      <c r="AA211" s="57">
        <f t="shared" si="49"/>
        <v>0</v>
      </c>
      <c r="AB211" s="57">
        <f t="shared" si="46"/>
        <v>0.2</v>
      </c>
      <c r="AC211" s="57" t="str">
        <f t="shared" si="50"/>
        <v/>
      </c>
      <c r="AD211" s="57" t="str">
        <f t="shared" si="51"/>
        <v/>
      </c>
      <c r="AE211" s="57" t="str">
        <f>IF(AND($D211=RelConducteur,$S211="Oui",ISNUMBER($C211),$C211&gt;=RelDebut,$C211&lt;=RelFin),COUNTIFS($D$9:$D211,RelConducteur,$S$9:$S211,"Oui",$C$9:$C211,"&gt;="&amp;RelDebut,$C$9:$C211,"&lt;="&amp;RelFin),"")</f>
        <v/>
      </c>
    </row>
    <row r="212" spans="2:31" ht="18" customHeight="1" x14ac:dyDescent="0.25">
      <c r="B212" s="48" t="str">
        <f>IF(C212="","",COUNT($C$9:C212))</f>
        <v/>
      </c>
      <c r="C212" s="49"/>
      <c r="D212" s="51"/>
      <c r="E212" s="53"/>
      <c r="F212" s="51"/>
      <c r="G212" s="51"/>
      <c r="H212" s="51"/>
      <c r="I212" s="51"/>
      <c r="J212" s="59"/>
      <c r="K212" s="60"/>
      <c r="L212" s="61"/>
      <c r="M212" s="62"/>
      <c r="N212" s="63" t="str">
        <f t="shared" si="39"/>
        <v/>
      </c>
      <c r="O212" s="64" t="str">
        <f t="shared" si="40"/>
        <v/>
      </c>
      <c r="P212" s="65" t="str">
        <f t="shared" si="41"/>
        <v/>
      </c>
      <c r="Q212" s="66" t="str">
        <f t="shared" si="47"/>
        <v/>
      </c>
      <c r="R212" s="51"/>
      <c r="S212" s="60"/>
      <c r="T212" s="52" t="str">
        <f t="shared" si="42"/>
        <v/>
      </c>
      <c r="U212" s="51"/>
      <c r="V212" s="56" t="str">
        <f t="shared" si="43"/>
        <v/>
      </c>
      <c r="X212" s="57" t="str">
        <f t="shared" si="44"/>
        <v/>
      </c>
      <c r="Y212" s="57">
        <f t="shared" si="45"/>
        <v>0</v>
      </c>
      <c r="Z212" s="57">
        <f t="shared" si="48"/>
        <v>59990</v>
      </c>
      <c r="AA212" s="57">
        <f t="shared" si="49"/>
        <v>0</v>
      </c>
      <c r="AB212" s="57">
        <f t="shared" si="46"/>
        <v>0.2</v>
      </c>
      <c r="AC212" s="57" t="str">
        <f t="shared" si="50"/>
        <v/>
      </c>
      <c r="AD212" s="57" t="str">
        <f t="shared" si="51"/>
        <v/>
      </c>
      <c r="AE212" s="57" t="str">
        <f>IF(AND($D212=RelConducteur,$S212="Oui",ISNUMBER($C212),$C212&gt;=RelDebut,$C212&lt;=RelFin),COUNTIFS($D$9:$D212,RelConducteur,$S$9:$S212,"Oui",$C$9:$C212,"&gt;="&amp;RelDebut,$C$9:$C212,"&lt;="&amp;RelFin),"")</f>
        <v/>
      </c>
    </row>
    <row r="213" spans="2:31" ht="18" customHeight="1" x14ac:dyDescent="0.25">
      <c r="B213" s="48" t="str">
        <f>IF(C213="","",COUNT($C$9:C213))</f>
        <v/>
      </c>
      <c r="C213" s="49"/>
      <c r="D213" s="51"/>
      <c r="E213" s="53"/>
      <c r="F213" s="51"/>
      <c r="G213" s="51"/>
      <c r="H213" s="51"/>
      <c r="I213" s="51"/>
      <c r="J213" s="59"/>
      <c r="K213" s="60"/>
      <c r="L213" s="61"/>
      <c r="M213" s="62"/>
      <c r="N213" s="63" t="str">
        <f t="shared" si="39"/>
        <v/>
      </c>
      <c r="O213" s="64" t="str">
        <f t="shared" si="40"/>
        <v/>
      </c>
      <c r="P213" s="65" t="str">
        <f t="shared" si="41"/>
        <v/>
      </c>
      <c r="Q213" s="66" t="str">
        <f t="shared" si="47"/>
        <v/>
      </c>
      <c r="R213" s="51"/>
      <c r="S213" s="60"/>
      <c r="T213" s="52" t="str">
        <f t="shared" si="42"/>
        <v/>
      </c>
      <c r="U213" s="51"/>
      <c r="V213" s="56" t="str">
        <f t="shared" si="43"/>
        <v/>
      </c>
      <c r="X213" s="57" t="str">
        <f t="shared" si="44"/>
        <v/>
      </c>
      <c r="Y213" s="57">
        <f t="shared" si="45"/>
        <v>0</v>
      </c>
      <c r="Z213" s="57">
        <f t="shared" si="48"/>
        <v>59990</v>
      </c>
      <c r="AA213" s="57">
        <f t="shared" si="49"/>
        <v>0</v>
      </c>
      <c r="AB213" s="57">
        <f t="shared" si="46"/>
        <v>0.2</v>
      </c>
      <c r="AC213" s="57" t="str">
        <f t="shared" si="50"/>
        <v/>
      </c>
      <c r="AD213" s="57" t="str">
        <f t="shared" si="51"/>
        <v/>
      </c>
      <c r="AE213" s="57" t="str">
        <f>IF(AND($D213=RelConducteur,$S213="Oui",ISNUMBER($C213),$C213&gt;=RelDebut,$C213&lt;=RelFin),COUNTIFS($D$9:$D213,RelConducteur,$S$9:$S213,"Oui",$C$9:$C213,"&gt;="&amp;RelDebut,$C$9:$C213,"&lt;="&amp;RelFin),"")</f>
        <v/>
      </c>
    </row>
    <row r="214" spans="2:31" ht="18" customHeight="1" x14ac:dyDescent="0.25">
      <c r="B214" s="48" t="str">
        <f>IF(C214="","",COUNT($C$9:C214))</f>
        <v/>
      </c>
      <c r="C214" s="49"/>
      <c r="D214" s="51"/>
      <c r="E214" s="53"/>
      <c r="F214" s="51"/>
      <c r="G214" s="51"/>
      <c r="H214" s="51"/>
      <c r="I214" s="51"/>
      <c r="J214" s="59"/>
      <c r="K214" s="60"/>
      <c r="L214" s="61"/>
      <c r="M214" s="62"/>
      <c r="N214" s="63" t="str">
        <f t="shared" si="39"/>
        <v/>
      </c>
      <c r="O214" s="64" t="str">
        <f t="shared" si="40"/>
        <v/>
      </c>
      <c r="P214" s="65" t="str">
        <f t="shared" si="41"/>
        <v/>
      </c>
      <c r="Q214" s="66" t="str">
        <f t="shared" si="47"/>
        <v/>
      </c>
      <c r="R214" s="51"/>
      <c r="S214" s="60"/>
      <c r="T214" s="52" t="str">
        <f t="shared" si="42"/>
        <v/>
      </c>
      <c r="U214" s="51"/>
      <c r="V214" s="56" t="str">
        <f t="shared" si="43"/>
        <v/>
      </c>
      <c r="X214" s="57" t="str">
        <f t="shared" si="44"/>
        <v/>
      </c>
      <c r="Y214" s="57">
        <f t="shared" si="45"/>
        <v>0</v>
      </c>
      <c r="Z214" s="57">
        <f t="shared" si="48"/>
        <v>59990</v>
      </c>
      <c r="AA214" s="57">
        <f t="shared" si="49"/>
        <v>0</v>
      </c>
      <c r="AB214" s="57">
        <f t="shared" si="46"/>
        <v>0.2</v>
      </c>
      <c r="AC214" s="57" t="str">
        <f t="shared" si="50"/>
        <v/>
      </c>
      <c r="AD214" s="57" t="str">
        <f t="shared" si="51"/>
        <v/>
      </c>
      <c r="AE214" s="57" t="str">
        <f>IF(AND($D214=RelConducteur,$S214="Oui",ISNUMBER($C214),$C214&gt;=RelDebut,$C214&lt;=RelFin),COUNTIFS($D$9:$D214,RelConducteur,$S$9:$S214,"Oui",$C$9:$C214,"&gt;="&amp;RelDebut,$C$9:$C214,"&lt;="&amp;RelFin),"")</f>
        <v/>
      </c>
    </row>
    <row r="215" spans="2:31" ht="18" customHeight="1" x14ac:dyDescent="0.25">
      <c r="B215" s="48" t="str">
        <f>IF(C215="","",COUNT($C$9:C215))</f>
        <v/>
      </c>
      <c r="C215" s="49"/>
      <c r="D215" s="51"/>
      <c r="E215" s="53"/>
      <c r="F215" s="51"/>
      <c r="G215" s="51"/>
      <c r="H215" s="51"/>
      <c r="I215" s="51"/>
      <c r="J215" s="59"/>
      <c r="K215" s="60"/>
      <c r="L215" s="61"/>
      <c r="M215" s="62"/>
      <c r="N215" s="63" t="str">
        <f t="shared" si="39"/>
        <v/>
      </c>
      <c r="O215" s="64" t="str">
        <f t="shared" si="40"/>
        <v/>
      </c>
      <c r="P215" s="65" t="str">
        <f t="shared" si="41"/>
        <v/>
      </c>
      <c r="Q215" s="66" t="str">
        <f t="shared" si="47"/>
        <v/>
      </c>
      <c r="R215" s="51"/>
      <c r="S215" s="60"/>
      <c r="T215" s="52" t="str">
        <f t="shared" si="42"/>
        <v/>
      </c>
      <c r="U215" s="51"/>
      <c r="V215" s="56" t="str">
        <f t="shared" si="43"/>
        <v/>
      </c>
      <c r="X215" s="57" t="str">
        <f t="shared" si="44"/>
        <v/>
      </c>
      <c r="Y215" s="57">
        <f t="shared" si="45"/>
        <v>0</v>
      </c>
      <c r="Z215" s="57">
        <f t="shared" si="48"/>
        <v>59990</v>
      </c>
      <c r="AA215" s="57">
        <f t="shared" si="49"/>
        <v>0</v>
      </c>
      <c r="AB215" s="57">
        <f t="shared" si="46"/>
        <v>0.2</v>
      </c>
      <c r="AC215" s="57" t="str">
        <f t="shared" si="50"/>
        <v/>
      </c>
      <c r="AD215" s="57" t="str">
        <f t="shared" si="51"/>
        <v/>
      </c>
      <c r="AE215" s="57" t="str">
        <f>IF(AND($D215=RelConducteur,$S215="Oui",ISNUMBER($C215),$C215&gt;=RelDebut,$C215&lt;=RelFin),COUNTIFS($D$9:$D215,RelConducteur,$S$9:$S215,"Oui",$C$9:$C215,"&gt;="&amp;RelDebut,$C$9:$C215,"&lt;="&amp;RelFin),"")</f>
        <v/>
      </c>
    </row>
    <row r="216" spans="2:31" ht="18" customHeight="1" x14ac:dyDescent="0.25">
      <c r="B216" s="48" t="str">
        <f>IF(C216="","",COUNT($C$9:C216))</f>
        <v/>
      </c>
      <c r="C216" s="49"/>
      <c r="D216" s="51"/>
      <c r="E216" s="53"/>
      <c r="F216" s="51"/>
      <c r="G216" s="51"/>
      <c r="H216" s="51"/>
      <c r="I216" s="51"/>
      <c r="J216" s="59"/>
      <c r="K216" s="60"/>
      <c r="L216" s="61"/>
      <c r="M216" s="62"/>
      <c r="N216" s="63" t="str">
        <f t="shared" si="39"/>
        <v/>
      </c>
      <c r="O216" s="64" t="str">
        <f t="shared" si="40"/>
        <v/>
      </c>
      <c r="P216" s="65" t="str">
        <f t="shared" si="41"/>
        <v/>
      </c>
      <c r="Q216" s="66" t="str">
        <f t="shared" si="47"/>
        <v/>
      </c>
      <c r="R216" s="51"/>
      <c r="S216" s="60"/>
      <c r="T216" s="52" t="str">
        <f t="shared" si="42"/>
        <v/>
      </c>
      <c r="U216" s="51"/>
      <c r="V216" s="56" t="str">
        <f t="shared" si="43"/>
        <v/>
      </c>
      <c r="X216" s="57" t="str">
        <f t="shared" si="44"/>
        <v/>
      </c>
      <c r="Y216" s="57">
        <f t="shared" si="45"/>
        <v>0</v>
      </c>
      <c r="Z216" s="57">
        <f t="shared" si="48"/>
        <v>59990</v>
      </c>
      <c r="AA216" s="57">
        <f t="shared" si="49"/>
        <v>0</v>
      </c>
      <c r="AB216" s="57">
        <f t="shared" si="46"/>
        <v>0.2</v>
      </c>
      <c r="AC216" s="57" t="str">
        <f t="shared" si="50"/>
        <v/>
      </c>
      <c r="AD216" s="57" t="str">
        <f t="shared" si="51"/>
        <v/>
      </c>
      <c r="AE216" s="57" t="str">
        <f>IF(AND($D216=RelConducteur,$S216="Oui",ISNUMBER($C216),$C216&gt;=RelDebut,$C216&lt;=RelFin),COUNTIFS($D$9:$D216,RelConducteur,$S$9:$S216,"Oui",$C$9:$C216,"&gt;="&amp;RelDebut,$C$9:$C216,"&lt;="&amp;RelFin),"")</f>
        <v/>
      </c>
    </row>
    <row r="217" spans="2:31" ht="18" customHeight="1" x14ac:dyDescent="0.25">
      <c r="B217" s="48" t="str">
        <f>IF(C217="","",COUNT($C$9:C217))</f>
        <v/>
      </c>
      <c r="C217" s="49"/>
      <c r="D217" s="51"/>
      <c r="E217" s="53"/>
      <c r="F217" s="51"/>
      <c r="G217" s="51"/>
      <c r="H217" s="51"/>
      <c r="I217" s="51"/>
      <c r="J217" s="59"/>
      <c r="K217" s="60"/>
      <c r="L217" s="61"/>
      <c r="M217" s="62"/>
      <c r="N217" s="63" t="str">
        <f t="shared" si="39"/>
        <v/>
      </c>
      <c r="O217" s="64" t="str">
        <f t="shared" si="40"/>
        <v/>
      </c>
      <c r="P217" s="65" t="str">
        <f t="shared" si="41"/>
        <v/>
      </c>
      <c r="Q217" s="66" t="str">
        <f t="shared" si="47"/>
        <v/>
      </c>
      <c r="R217" s="51"/>
      <c r="S217" s="60"/>
      <c r="T217" s="52" t="str">
        <f t="shared" si="42"/>
        <v/>
      </c>
      <c r="U217" s="51"/>
      <c r="V217" s="56" t="str">
        <f t="shared" si="43"/>
        <v/>
      </c>
      <c r="X217" s="57" t="str">
        <f t="shared" si="44"/>
        <v/>
      </c>
      <c r="Y217" s="57">
        <f t="shared" si="45"/>
        <v>0</v>
      </c>
      <c r="Z217" s="57">
        <f t="shared" si="48"/>
        <v>59990</v>
      </c>
      <c r="AA217" s="57">
        <f t="shared" si="49"/>
        <v>0</v>
      </c>
      <c r="AB217" s="57">
        <f t="shared" si="46"/>
        <v>0.2</v>
      </c>
      <c r="AC217" s="57" t="str">
        <f t="shared" si="50"/>
        <v/>
      </c>
      <c r="AD217" s="57" t="str">
        <f t="shared" si="51"/>
        <v/>
      </c>
      <c r="AE217" s="57" t="str">
        <f>IF(AND($D217=RelConducteur,$S217="Oui",ISNUMBER($C217),$C217&gt;=RelDebut,$C217&lt;=RelFin),COUNTIFS($D$9:$D217,RelConducteur,$S$9:$S217,"Oui",$C$9:$C217,"&gt;="&amp;RelDebut,$C$9:$C217,"&lt;="&amp;RelFin),"")</f>
        <v/>
      </c>
    </row>
    <row r="218" spans="2:31" ht="18" customHeight="1" x14ac:dyDescent="0.25">
      <c r="B218" s="48" t="str">
        <f>IF(C218="","",COUNT($C$9:C218))</f>
        <v/>
      </c>
      <c r="C218" s="49"/>
      <c r="D218" s="51"/>
      <c r="E218" s="53"/>
      <c r="F218" s="51"/>
      <c r="G218" s="51"/>
      <c r="H218" s="51"/>
      <c r="I218" s="51"/>
      <c r="J218" s="59"/>
      <c r="K218" s="60"/>
      <c r="L218" s="61"/>
      <c r="M218" s="62"/>
      <c r="N218" s="63" t="str">
        <f t="shared" si="39"/>
        <v/>
      </c>
      <c r="O218" s="64" t="str">
        <f t="shared" si="40"/>
        <v/>
      </c>
      <c r="P218" s="65" t="str">
        <f t="shared" si="41"/>
        <v/>
      </c>
      <c r="Q218" s="66" t="str">
        <f t="shared" si="47"/>
        <v/>
      </c>
      <c r="R218" s="51"/>
      <c r="S218" s="60"/>
      <c r="T218" s="52" t="str">
        <f t="shared" si="42"/>
        <v/>
      </c>
      <c r="U218" s="51"/>
      <c r="V218" s="56" t="str">
        <f t="shared" si="43"/>
        <v/>
      </c>
      <c r="X218" s="57" t="str">
        <f t="shared" si="44"/>
        <v/>
      </c>
      <c r="Y218" s="57">
        <f t="shared" si="45"/>
        <v>0</v>
      </c>
      <c r="Z218" s="57">
        <f t="shared" si="48"/>
        <v>59990</v>
      </c>
      <c r="AA218" s="57">
        <f t="shared" si="49"/>
        <v>0</v>
      </c>
      <c r="AB218" s="57">
        <f t="shared" si="46"/>
        <v>0.2</v>
      </c>
      <c r="AC218" s="57" t="str">
        <f t="shared" si="50"/>
        <v/>
      </c>
      <c r="AD218" s="57" t="str">
        <f t="shared" si="51"/>
        <v/>
      </c>
      <c r="AE218" s="57" t="str">
        <f>IF(AND($D218=RelConducteur,$S218="Oui",ISNUMBER($C218),$C218&gt;=RelDebut,$C218&lt;=RelFin),COUNTIFS($D$9:$D218,RelConducteur,$S$9:$S218,"Oui",$C$9:$C218,"&gt;="&amp;RelDebut,$C$9:$C218,"&lt;="&amp;RelFin),"")</f>
        <v/>
      </c>
    </row>
    <row r="219" spans="2:31" ht="18" customHeight="1" x14ac:dyDescent="0.25">
      <c r="B219" s="48" t="str">
        <f>IF(C219="","",COUNT($C$9:C219))</f>
        <v/>
      </c>
      <c r="C219" s="49"/>
      <c r="D219" s="51"/>
      <c r="E219" s="53"/>
      <c r="F219" s="51"/>
      <c r="G219" s="51"/>
      <c r="H219" s="51"/>
      <c r="I219" s="51"/>
      <c r="J219" s="59"/>
      <c r="K219" s="60"/>
      <c r="L219" s="61"/>
      <c r="M219" s="62"/>
      <c r="N219" s="63" t="str">
        <f t="shared" si="39"/>
        <v/>
      </c>
      <c r="O219" s="64" t="str">
        <f t="shared" si="40"/>
        <v/>
      </c>
      <c r="P219" s="65" t="str">
        <f t="shared" si="41"/>
        <v/>
      </c>
      <c r="Q219" s="66" t="str">
        <f t="shared" si="47"/>
        <v/>
      </c>
      <c r="R219" s="51"/>
      <c r="S219" s="60"/>
      <c r="T219" s="52" t="str">
        <f t="shared" si="42"/>
        <v/>
      </c>
      <c r="U219" s="51"/>
      <c r="V219" s="56" t="str">
        <f t="shared" si="43"/>
        <v/>
      </c>
      <c r="X219" s="57" t="str">
        <f t="shared" si="44"/>
        <v/>
      </c>
      <c r="Y219" s="57">
        <f t="shared" si="45"/>
        <v>0</v>
      </c>
      <c r="Z219" s="57">
        <f t="shared" si="48"/>
        <v>59990</v>
      </c>
      <c r="AA219" s="57">
        <f t="shared" si="49"/>
        <v>0</v>
      </c>
      <c r="AB219" s="57">
        <f t="shared" si="46"/>
        <v>0.2</v>
      </c>
      <c r="AC219" s="57" t="str">
        <f t="shared" si="50"/>
        <v/>
      </c>
      <c r="AD219" s="57" t="str">
        <f t="shared" si="51"/>
        <v/>
      </c>
      <c r="AE219" s="57" t="str">
        <f>IF(AND($D219=RelConducteur,$S219="Oui",ISNUMBER($C219),$C219&gt;=RelDebut,$C219&lt;=RelFin),COUNTIFS($D$9:$D219,RelConducteur,$S$9:$S219,"Oui",$C$9:$C219,"&gt;="&amp;RelDebut,$C$9:$C219,"&lt;="&amp;RelFin),"")</f>
        <v/>
      </c>
    </row>
    <row r="220" spans="2:31" ht="18" customHeight="1" x14ac:dyDescent="0.25">
      <c r="B220" s="48" t="str">
        <f>IF(C220="","",COUNT($C$9:C220))</f>
        <v/>
      </c>
      <c r="C220" s="49"/>
      <c r="D220" s="51"/>
      <c r="E220" s="53"/>
      <c r="F220" s="51"/>
      <c r="G220" s="51"/>
      <c r="H220" s="51"/>
      <c r="I220" s="51"/>
      <c r="J220" s="59"/>
      <c r="K220" s="60"/>
      <c r="L220" s="61"/>
      <c r="M220" s="62"/>
      <c r="N220" s="63" t="str">
        <f t="shared" si="39"/>
        <v/>
      </c>
      <c r="O220" s="64" t="str">
        <f t="shared" si="40"/>
        <v/>
      </c>
      <c r="P220" s="65" t="str">
        <f t="shared" si="41"/>
        <v/>
      </c>
      <c r="Q220" s="66" t="str">
        <f t="shared" si="47"/>
        <v/>
      </c>
      <c r="R220" s="51"/>
      <c r="S220" s="60"/>
      <c r="T220" s="52" t="str">
        <f t="shared" si="42"/>
        <v/>
      </c>
      <c r="U220" s="51"/>
      <c r="V220" s="56" t="str">
        <f t="shared" si="43"/>
        <v/>
      </c>
      <c r="X220" s="57" t="str">
        <f t="shared" si="44"/>
        <v/>
      </c>
      <c r="Y220" s="57">
        <f t="shared" si="45"/>
        <v>0</v>
      </c>
      <c r="Z220" s="57">
        <f t="shared" si="48"/>
        <v>59990</v>
      </c>
      <c r="AA220" s="57">
        <f t="shared" si="49"/>
        <v>0</v>
      </c>
      <c r="AB220" s="57">
        <f t="shared" si="46"/>
        <v>0.2</v>
      </c>
      <c r="AC220" s="57" t="str">
        <f t="shared" si="50"/>
        <v/>
      </c>
      <c r="AD220" s="57" t="str">
        <f t="shared" si="51"/>
        <v/>
      </c>
      <c r="AE220" s="57" t="str">
        <f>IF(AND($D220=RelConducteur,$S220="Oui",ISNUMBER($C220),$C220&gt;=RelDebut,$C220&lt;=RelFin),COUNTIFS($D$9:$D220,RelConducteur,$S$9:$S220,"Oui",$C$9:$C220,"&gt;="&amp;RelDebut,$C$9:$C220,"&lt;="&amp;RelFin),"")</f>
        <v/>
      </c>
    </row>
    <row r="221" spans="2:31" ht="18" customHeight="1" x14ac:dyDescent="0.25">
      <c r="B221" s="48" t="str">
        <f>IF(C221="","",COUNT($C$9:C221))</f>
        <v/>
      </c>
      <c r="C221" s="49"/>
      <c r="D221" s="51"/>
      <c r="E221" s="53"/>
      <c r="F221" s="51"/>
      <c r="G221" s="51"/>
      <c r="H221" s="51"/>
      <c r="I221" s="51"/>
      <c r="J221" s="59"/>
      <c r="K221" s="60"/>
      <c r="L221" s="61"/>
      <c r="M221" s="62"/>
      <c r="N221" s="63" t="str">
        <f t="shared" si="39"/>
        <v/>
      </c>
      <c r="O221" s="64" t="str">
        <f t="shared" si="40"/>
        <v/>
      </c>
      <c r="P221" s="65" t="str">
        <f t="shared" si="41"/>
        <v/>
      </c>
      <c r="Q221" s="66" t="str">
        <f t="shared" si="47"/>
        <v/>
      </c>
      <c r="R221" s="51"/>
      <c r="S221" s="60"/>
      <c r="T221" s="52" t="str">
        <f t="shared" si="42"/>
        <v/>
      </c>
      <c r="U221" s="51"/>
      <c r="V221" s="56" t="str">
        <f t="shared" si="43"/>
        <v/>
      </c>
      <c r="X221" s="57" t="str">
        <f t="shared" si="44"/>
        <v/>
      </c>
      <c r="Y221" s="57">
        <f t="shared" si="45"/>
        <v>0</v>
      </c>
      <c r="Z221" s="57">
        <f t="shared" si="48"/>
        <v>59990</v>
      </c>
      <c r="AA221" s="57">
        <f t="shared" si="49"/>
        <v>0</v>
      </c>
      <c r="AB221" s="57">
        <f t="shared" si="46"/>
        <v>0.2</v>
      </c>
      <c r="AC221" s="57" t="str">
        <f t="shared" si="50"/>
        <v/>
      </c>
      <c r="AD221" s="57" t="str">
        <f t="shared" si="51"/>
        <v/>
      </c>
      <c r="AE221" s="57" t="str">
        <f>IF(AND($D221=RelConducteur,$S221="Oui",ISNUMBER($C221),$C221&gt;=RelDebut,$C221&lt;=RelFin),COUNTIFS($D$9:$D221,RelConducteur,$S$9:$S221,"Oui",$C$9:$C221,"&gt;="&amp;RelDebut,$C$9:$C221,"&lt;="&amp;RelFin),"")</f>
        <v/>
      </c>
    </row>
    <row r="222" spans="2:31" ht="18" customHeight="1" x14ac:dyDescent="0.25">
      <c r="B222" s="48" t="str">
        <f>IF(C222="","",COUNT($C$9:C222))</f>
        <v/>
      </c>
      <c r="C222" s="49"/>
      <c r="D222" s="51"/>
      <c r="E222" s="53"/>
      <c r="F222" s="51"/>
      <c r="G222" s="51"/>
      <c r="H222" s="51"/>
      <c r="I222" s="51"/>
      <c r="J222" s="59"/>
      <c r="K222" s="60"/>
      <c r="L222" s="61"/>
      <c r="M222" s="62"/>
      <c r="N222" s="63" t="str">
        <f t="shared" si="39"/>
        <v/>
      </c>
      <c r="O222" s="64" t="str">
        <f t="shared" si="40"/>
        <v/>
      </c>
      <c r="P222" s="65" t="str">
        <f t="shared" si="41"/>
        <v/>
      </c>
      <c r="Q222" s="66" t="str">
        <f t="shared" si="47"/>
        <v/>
      </c>
      <c r="R222" s="51"/>
      <c r="S222" s="60"/>
      <c r="T222" s="52" t="str">
        <f t="shared" si="42"/>
        <v/>
      </c>
      <c r="U222" s="51"/>
      <c r="V222" s="56" t="str">
        <f t="shared" si="43"/>
        <v/>
      </c>
      <c r="X222" s="57" t="str">
        <f t="shared" si="44"/>
        <v/>
      </c>
      <c r="Y222" s="57">
        <f t="shared" si="45"/>
        <v>0</v>
      </c>
      <c r="Z222" s="57">
        <f t="shared" si="48"/>
        <v>59990</v>
      </c>
      <c r="AA222" s="57">
        <f t="shared" si="49"/>
        <v>0</v>
      </c>
      <c r="AB222" s="57">
        <f t="shared" si="46"/>
        <v>0.2</v>
      </c>
      <c r="AC222" s="57" t="str">
        <f t="shared" si="50"/>
        <v/>
      </c>
      <c r="AD222" s="57" t="str">
        <f t="shared" si="51"/>
        <v/>
      </c>
      <c r="AE222" s="57" t="str">
        <f>IF(AND($D222=RelConducteur,$S222="Oui",ISNUMBER($C222),$C222&gt;=RelDebut,$C222&lt;=RelFin),COUNTIFS($D$9:$D222,RelConducteur,$S$9:$S222,"Oui",$C$9:$C222,"&gt;="&amp;RelDebut,$C$9:$C222,"&lt;="&amp;RelFin),"")</f>
        <v/>
      </c>
    </row>
    <row r="223" spans="2:31" ht="18" customHeight="1" x14ac:dyDescent="0.25">
      <c r="B223" s="48" t="str">
        <f>IF(C223="","",COUNT($C$9:C223))</f>
        <v/>
      </c>
      <c r="C223" s="49"/>
      <c r="D223" s="51"/>
      <c r="E223" s="53"/>
      <c r="F223" s="51"/>
      <c r="G223" s="51"/>
      <c r="H223" s="51"/>
      <c r="I223" s="51"/>
      <c r="J223" s="59"/>
      <c r="K223" s="60"/>
      <c r="L223" s="61"/>
      <c r="M223" s="62"/>
      <c r="N223" s="63" t="str">
        <f t="shared" si="39"/>
        <v/>
      </c>
      <c r="O223" s="64" t="str">
        <f t="shared" si="40"/>
        <v/>
      </c>
      <c r="P223" s="65" t="str">
        <f t="shared" si="41"/>
        <v/>
      </c>
      <c r="Q223" s="66" t="str">
        <f t="shared" si="47"/>
        <v/>
      </c>
      <c r="R223" s="51"/>
      <c r="S223" s="60"/>
      <c r="T223" s="52" t="str">
        <f t="shared" si="42"/>
        <v/>
      </c>
      <c r="U223" s="51"/>
      <c r="V223" s="56" t="str">
        <f t="shared" si="43"/>
        <v/>
      </c>
      <c r="X223" s="57" t="str">
        <f t="shared" si="44"/>
        <v/>
      </c>
      <c r="Y223" s="57">
        <f t="shared" si="45"/>
        <v>0</v>
      </c>
      <c r="Z223" s="57">
        <f t="shared" si="48"/>
        <v>59990</v>
      </c>
      <c r="AA223" s="57">
        <f t="shared" si="49"/>
        <v>0</v>
      </c>
      <c r="AB223" s="57">
        <f t="shared" si="46"/>
        <v>0.2</v>
      </c>
      <c r="AC223" s="57" t="str">
        <f t="shared" si="50"/>
        <v/>
      </c>
      <c r="AD223" s="57" t="str">
        <f t="shared" si="51"/>
        <v/>
      </c>
      <c r="AE223" s="57" t="str">
        <f>IF(AND($D223=RelConducteur,$S223="Oui",ISNUMBER($C223),$C223&gt;=RelDebut,$C223&lt;=RelFin),COUNTIFS($D$9:$D223,RelConducteur,$S$9:$S223,"Oui",$C$9:$C223,"&gt;="&amp;RelDebut,$C$9:$C223,"&lt;="&amp;RelFin),"")</f>
        <v/>
      </c>
    </row>
    <row r="224" spans="2:31" ht="18" customHeight="1" x14ac:dyDescent="0.25">
      <c r="B224" s="48" t="str">
        <f>IF(C224="","",COUNT($C$9:C224))</f>
        <v/>
      </c>
      <c r="C224" s="49"/>
      <c r="D224" s="51"/>
      <c r="E224" s="53"/>
      <c r="F224" s="51"/>
      <c r="G224" s="51"/>
      <c r="H224" s="51"/>
      <c r="I224" s="51"/>
      <c r="J224" s="59"/>
      <c r="K224" s="60"/>
      <c r="L224" s="61"/>
      <c r="M224" s="62"/>
      <c r="N224" s="63" t="str">
        <f t="shared" si="39"/>
        <v/>
      </c>
      <c r="O224" s="64" t="str">
        <f t="shared" si="40"/>
        <v/>
      </c>
      <c r="P224" s="65" t="str">
        <f t="shared" si="41"/>
        <v/>
      </c>
      <c r="Q224" s="66" t="str">
        <f t="shared" si="47"/>
        <v/>
      </c>
      <c r="R224" s="51"/>
      <c r="S224" s="60"/>
      <c r="T224" s="52" t="str">
        <f t="shared" si="42"/>
        <v/>
      </c>
      <c r="U224" s="51"/>
      <c r="V224" s="56" t="str">
        <f t="shared" si="43"/>
        <v/>
      </c>
      <c r="X224" s="57" t="str">
        <f t="shared" si="44"/>
        <v/>
      </c>
      <c r="Y224" s="57">
        <f t="shared" si="45"/>
        <v>0</v>
      </c>
      <c r="Z224" s="57">
        <f t="shared" si="48"/>
        <v>59990</v>
      </c>
      <c r="AA224" s="57">
        <f t="shared" si="49"/>
        <v>0</v>
      </c>
      <c r="AB224" s="57">
        <f t="shared" si="46"/>
        <v>0.2</v>
      </c>
      <c r="AC224" s="57" t="str">
        <f t="shared" si="50"/>
        <v/>
      </c>
      <c r="AD224" s="57" t="str">
        <f t="shared" si="51"/>
        <v/>
      </c>
      <c r="AE224" s="57" t="str">
        <f>IF(AND($D224=RelConducteur,$S224="Oui",ISNUMBER($C224),$C224&gt;=RelDebut,$C224&lt;=RelFin),COUNTIFS($D$9:$D224,RelConducteur,$S$9:$S224,"Oui",$C$9:$C224,"&gt;="&amp;RelDebut,$C$9:$C224,"&lt;="&amp;RelFin),"")</f>
        <v/>
      </c>
    </row>
    <row r="225" spans="2:31" ht="18" customHeight="1" x14ac:dyDescent="0.25">
      <c r="B225" s="48" t="str">
        <f>IF(C225="","",COUNT($C$9:C225))</f>
        <v/>
      </c>
      <c r="C225" s="49"/>
      <c r="D225" s="51"/>
      <c r="E225" s="53"/>
      <c r="F225" s="51"/>
      <c r="G225" s="51"/>
      <c r="H225" s="51"/>
      <c r="I225" s="51"/>
      <c r="J225" s="59"/>
      <c r="K225" s="60"/>
      <c r="L225" s="61"/>
      <c r="M225" s="62"/>
      <c r="N225" s="63" t="str">
        <f t="shared" si="39"/>
        <v/>
      </c>
      <c r="O225" s="64" t="str">
        <f t="shared" si="40"/>
        <v/>
      </c>
      <c r="P225" s="65" t="str">
        <f t="shared" si="41"/>
        <v/>
      </c>
      <c r="Q225" s="66" t="str">
        <f t="shared" si="47"/>
        <v/>
      </c>
      <c r="R225" s="51"/>
      <c r="S225" s="60"/>
      <c r="T225" s="52" t="str">
        <f t="shared" si="42"/>
        <v/>
      </c>
      <c r="U225" s="51"/>
      <c r="V225" s="56" t="str">
        <f t="shared" si="43"/>
        <v/>
      </c>
      <c r="X225" s="57" t="str">
        <f t="shared" si="44"/>
        <v/>
      </c>
      <c r="Y225" s="57">
        <f t="shared" si="45"/>
        <v>0</v>
      </c>
      <c r="Z225" s="57">
        <f t="shared" si="48"/>
        <v>59990</v>
      </c>
      <c r="AA225" s="57">
        <f t="shared" si="49"/>
        <v>0</v>
      </c>
      <c r="AB225" s="57">
        <f t="shared" si="46"/>
        <v>0.2</v>
      </c>
      <c r="AC225" s="57" t="str">
        <f t="shared" si="50"/>
        <v/>
      </c>
      <c r="AD225" s="57" t="str">
        <f t="shared" si="51"/>
        <v/>
      </c>
      <c r="AE225" s="57" t="str">
        <f>IF(AND($D225=RelConducteur,$S225="Oui",ISNUMBER($C225),$C225&gt;=RelDebut,$C225&lt;=RelFin),COUNTIFS($D$9:$D225,RelConducteur,$S$9:$S225,"Oui",$C$9:$C225,"&gt;="&amp;RelDebut,$C$9:$C225,"&lt;="&amp;RelFin),"")</f>
        <v/>
      </c>
    </row>
    <row r="226" spans="2:31" ht="18" customHeight="1" x14ac:dyDescent="0.25">
      <c r="B226" s="48" t="str">
        <f>IF(C226="","",COUNT($C$9:C226))</f>
        <v/>
      </c>
      <c r="C226" s="49"/>
      <c r="D226" s="51"/>
      <c r="E226" s="53"/>
      <c r="F226" s="51"/>
      <c r="G226" s="51"/>
      <c r="H226" s="51"/>
      <c r="I226" s="51"/>
      <c r="J226" s="59"/>
      <c r="K226" s="60"/>
      <c r="L226" s="61"/>
      <c r="M226" s="62"/>
      <c r="N226" s="63" t="str">
        <f t="shared" si="39"/>
        <v/>
      </c>
      <c r="O226" s="64" t="str">
        <f t="shared" si="40"/>
        <v/>
      </c>
      <c r="P226" s="65" t="str">
        <f t="shared" si="41"/>
        <v/>
      </c>
      <c r="Q226" s="66" t="str">
        <f t="shared" si="47"/>
        <v/>
      </c>
      <c r="R226" s="51"/>
      <c r="S226" s="60"/>
      <c r="T226" s="52" t="str">
        <f t="shared" si="42"/>
        <v/>
      </c>
      <c r="U226" s="51"/>
      <c r="V226" s="56" t="str">
        <f t="shared" si="43"/>
        <v/>
      </c>
      <c r="X226" s="57" t="str">
        <f t="shared" si="44"/>
        <v/>
      </c>
      <c r="Y226" s="57">
        <f t="shared" si="45"/>
        <v>0</v>
      </c>
      <c r="Z226" s="57">
        <f t="shared" si="48"/>
        <v>59990</v>
      </c>
      <c r="AA226" s="57">
        <f t="shared" si="49"/>
        <v>0</v>
      </c>
      <c r="AB226" s="57">
        <f t="shared" si="46"/>
        <v>0.2</v>
      </c>
      <c r="AC226" s="57" t="str">
        <f t="shared" si="50"/>
        <v/>
      </c>
      <c r="AD226" s="57" t="str">
        <f t="shared" si="51"/>
        <v/>
      </c>
      <c r="AE226" s="57" t="str">
        <f>IF(AND($D226=RelConducteur,$S226="Oui",ISNUMBER($C226),$C226&gt;=RelDebut,$C226&lt;=RelFin),COUNTIFS($D$9:$D226,RelConducteur,$S$9:$S226,"Oui",$C$9:$C226,"&gt;="&amp;RelDebut,$C$9:$C226,"&lt;="&amp;RelFin),"")</f>
        <v/>
      </c>
    </row>
    <row r="227" spans="2:31" ht="18" customHeight="1" x14ac:dyDescent="0.25">
      <c r="B227" s="48" t="str">
        <f>IF(C227="","",COUNT($C$9:C227))</f>
        <v/>
      </c>
      <c r="C227" s="49"/>
      <c r="D227" s="51"/>
      <c r="E227" s="53"/>
      <c r="F227" s="51"/>
      <c r="G227" s="51"/>
      <c r="H227" s="51"/>
      <c r="I227" s="51"/>
      <c r="J227" s="59"/>
      <c r="K227" s="60"/>
      <c r="L227" s="61"/>
      <c r="M227" s="62"/>
      <c r="N227" s="63" t="str">
        <f t="shared" si="39"/>
        <v/>
      </c>
      <c r="O227" s="64" t="str">
        <f t="shared" si="40"/>
        <v/>
      </c>
      <c r="P227" s="65" t="str">
        <f t="shared" si="41"/>
        <v/>
      </c>
      <c r="Q227" s="66" t="str">
        <f t="shared" si="47"/>
        <v/>
      </c>
      <c r="R227" s="51"/>
      <c r="S227" s="60"/>
      <c r="T227" s="52" t="str">
        <f t="shared" si="42"/>
        <v/>
      </c>
      <c r="U227" s="51"/>
      <c r="V227" s="56" t="str">
        <f t="shared" si="43"/>
        <v/>
      </c>
      <c r="X227" s="57" t="str">
        <f t="shared" si="44"/>
        <v/>
      </c>
      <c r="Y227" s="57">
        <f t="shared" si="45"/>
        <v>0</v>
      </c>
      <c r="Z227" s="57">
        <f t="shared" si="48"/>
        <v>59990</v>
      </c>
      <c r="AA227" s="57">
        <f t="shared" si="49"/>
        <v>0</v>
      </c>
      <c r="AB227" s="57">
        <f t="shared" si="46"/>
        <v>0.2</v>
      </c>
      <c r="AC227" s="57" t="str">
        <f t="shared" si="50"/>
        <v/>
      </c>
      <c r="AD227" s="57" t="str">
        <f t="shared" si="51"/>
        <v/>
      </c>
      <c r="AE227" s="57" t="str">
        <f>IF(AND($D227=RelConducteur,$S227="Oui",ISNUMBER($C227),$C227&gt;=RelDebut,$C227&lt;=RelFin),COUNTIFS($D$9:$D227,RelConducteur,$S$9:$S227,"Oui",$C$9:$C227,"&gt;="&amp;RelDebut,$C$9:$C227,"&lt;="&amp;RelFin),"")</f>
        <v/>
      </c>
    </row>
    <row r="228" spans="2:31" ht="18" customHeight="1" x14ac:dyDescent="0.25">
      <c r="B228" s="48" t="str">
        <f>IF(C228="","",COUNT($C$9:C228))</f>
        <v/>
      </c>
      <c r="C228" s="49"/>
      <c r="D228" s="51"/>
      <c r="E228" s="53"/>
      <c r="F228" s="51"/>
      <c r="G228" s="51"/>
      <c r="H228" s="51"/>
      <c r="I228" s="51"/>
      <c r="J228" s="59"/>
      <c r="K228" s="60"/>
      <c r="L228" s="61"/>
      <c r="M228" s="62"/>
      <c r="N228" s="63" t="str">
        <f t="shared" si="39"/>
        <v/>
      </c>
      <c r="O228" s="64" t="str">
        <f t="shared" si="40"/>
        <v/>
      </c>
      <c r="P228" s="65" t="str">
        <f t="shared" si="41"/>
        <v/>
      </c>
      <c r="Q228" s="66" t="str">
        <f t="shared" si="47"/>
        <v/>
      </c>
      <c r="R228" s="51"/>
      <c r="S228" s="60"/>
      <c r="T228" s="52" t="str">
        <f t="shared" si="42"/>
        <v/>
      </c>
      <c r="U228" s="51"/>
      <c r="V228" s="56" t="str">
        <f t="shared" si="43"/>
        <v/>
      </c>
      <c r="X228" s="57" t="str">
        <f t="shared" si="44"/>
        <v/>
      </c>
      <c r="Y228" s="57">
        <f t="shared" si="45"/>
        <v>0</v>
      </c>
      <c r="Z228" s="57">
        <f t="shared" si="48"/>
        <v>59990</v>
      </c>
      <c r="AA228" s="57">
        <f t="shared" si="49"/>
        <v>0</v>
      </c>
      <c r="AB228" s="57">
        <f t="shared" si="46"/>
        <v>0.2</v>
      </c>
      <c r="AC228" s="57" t="str">
        <f t="shared" si="50"/>
        <v/>
      </c>
      <c r="AD228" s="57" t="str">
        <f t="shared" si="51"/>
        <v/>
      </c>
      <c r="AE228" s="57" t="str">
        <f>IF(AND($D228=RelConducteur,$S228="Oui",ISNUMBER($C228),$C228&gt;=RelDebut,$C228&lt;=RelFin),COUNTIFS($D$9:$D228,RelConducteur,$S$9:$S228,"Oui",$C$9:$C228,"&gt;="&amp;RelDebut,$C$9:$C228,"&lt;="&amp;RelFin),"")</f>
        <v/>
      </c>
    </row>
    <row r="229" spans="2:31" ht="18" customHeight="1" x14ac:dyDescent="0.25">
      <c r="B229" s="48" t="str">
        <f>IF(C229="","",COUNT($C$9:C229))</f>
        <v/>
      </c>
      <c r="C229" s="49"/>
      <c r="D229" s="51"/>
      <c r="E229" s="53"/>
      <c r="F229" s="51"/>
      <c r="G229" s="51"/>
      <c r="H229" s="51"/>
      <c r="I229" s="51"/>
      <c r="J229" s="59"/>
      <c r="K229" s="60"/>
      <c r="L229" s="61"/>
      <c r="M229" s="62"/>
      <c r="N229" s="63" t="str">
        <f t="shared" si="39"/>
        <v/>
      </c>
      <c r="O229" s="64" t="str">
        <f t="shared" si="40"/>
        <v/>
      </c>
      <c r="P229" s="65" t="str">
        <f t="shared" si="41"/>
        <v/>
      </c>
      <c r="Q229" s="66" t="str">
        <f t="shared" si="47"/>
        <v/>
      </c>
      <c r="R229" s="51"/>
      <c r="S229" s="60"/>
      <c r="T229" s="52" t="str">
        <f t="shared" si="42"/>
        <v/>
      </c>
      <c r="U229" s="51"/>
      <c r="V229" s="56" t="str">
        <f t="shared" si="43"/>
        <v/>
      </c>
      <c r="X229" s="57" t="str">
        <f t="shared" si="44"/>
        <v/>
      </c>
      <c r="Y229" s="57">
        <f t="shared" si="45"/>
        <v>0</v>
      </c>
      <c r="Z229" s="57">
        <f t="shared" si="48"/>
        <v>59990</v>
      </c>
      <c r="AA229" s="57">
        <f t="shared" si="49"/>
        <v>0</v>
      </c>
      <c r="AB229" s="57">
        <f t="shared" si="46"/>
        <v>0.2</v>
      </c>
      <c r="AC229" s="57" t="str">
        <f t="shared" si="50"/>
        <v/>
      </c>
      <c r="AD229" s="57" t="str">
        <f t="shared" si="51"/>
        <v/>
      </c>
      <c r="AE229" s="57" t="str">
        <f>IF(AND($D229=RelConducteur,$S229="Oui",ISNUMBER($C229),$C229&gt;=RelDebut,$C229&lt;=RelFin),COUNTIFS($D$9:$D229,RelConducteur,$S$9:$S229,"Oui",$C$9:$C229,"&gt;="&amp;RelDebut,$C$9:$C229,"&lt;="&amp;RelFin),"")</f>
        <v/>
      </c>
    </row>
    <row r="230" spans="2:31" ht="18" customHeight="1" x14ac:dyDescent="0.25">
      <c r="B230" s="48" t="str">
        <f>IF(C230="","",COUNT($C$9:C230))</f>
        <v/>
      </c>
      <c r="C230" s="49"/>
      <c r="D230" s="51"/>
      <c r="E230" s="53"/>
      <c r="F230" s="51"/>
      <c r="G230" s="51"/>
      <c r="H230" s="51"/>
      <c r="I230" s="51"/>
      <c r="J230" s="59"/>
      <c r="K230" s="60"/>
      <c r="L230" s="61"/>
      <c r="M230" s="62"/>
      <c r="N230" s="63" t="str">
        <f t="shared" si="39"/>
        <v/>
      </c>
      <c r="O230" s="64" t="str">
        <f t="shared" si="40"/>
        <v/>
      </c>
      <c r="P230" s="65" t="str">
        <f t="shared" si="41"/>
        <v/>
      </c>
      <c r="Q230" s="66" t="str">
        <f t="shared" si="47"/>
        <v/>
      </c>
      <c r="R230" s="51"/>
      <c r="S230" s="60"/>
      <c r="T230" s="52" t="str">
        <f t="shared" si="42"/>
        <v/>
      </c>
      <c r="U230" s="51"/>
      <c r="V230" s="56" t="str">
        <f t="shared" si="43"/>
        <v/>
      </c>
      <c r="X230" s="57" t="str">
        <f t="shared" si="44"/>
        <v/>
      </c>
      <c r="Y230" s="57">
        <f t="shared" si="45"/>
        <v>0</v>
      </c>
      <c r="Z230" s="57">
        <f t="shared" si="48"/>
        <v>59990</v>
      </c>
      <c r="AA230" s="57">
        <f t="shared" si="49"/>
        <v>0</v>
      </c>
      <c r="AB230" s="57">
        <f t="shared" si="46"/>
        <v>0.2</v>
      </c>
      <c r="AC230" s="57" t="str">
        <f t="shared" si="50"/>
        <v/>
      </c>
      <c r="AD230" s="57" t="str">
        <f t="shared" si="51"/>
        <v/>
      </c>
      <c r="AE230" s="57" t="str">
        <f>IF(AND($D230=RelConducteur,$S230="Oui",ISNUMBER($C230),$C230&gt;=RelDebut,$C230&lt;=RelFin),COUNTIFS($D$9:$D230,RelConducteur,$S$9:$S230,"Oui",$C$9:$C230,"&gt;="&amp;RelDebut,$C$9:$C230,"&lt;="&amp;RelFin),"")</f>
        <v/>
      </c>
    </row>
    <row r="231" spans="2:31" ht="18" customHeight="1" x14ac:dyDescent="0.25">
      <c r="B231" s="48" t="str">
        <f>IF(C231="","",COUNT($C$9:C231))</f>
        <v/>
      </c>
      <c r="C231" s="49"/>
      <c r="D231" s="51"/>
      <c r="E231" s="53"/>
      <c r="F231" s="51"/>
      <c r="G231" s="51"/>
      <c r="H231" s="51"/>
      <c r="I231" s="51"/>
      <c r="J231" s="59"/>
      <c r="K231" s="60"/>
      <c r="L231" s="61"/>
      <c r="M231" s="62"/>
      <c r="N231" s="63" t="str">
        <f t="shared" si="39"/>
        <v/>
      </c>
      <c r="O231" s="64" t="str">
        <f t="shared" si="40"/>
        <v/>
      </c>
      <c r="P231" s="65" t="str">
        <f t="shared" si="41"/>
        <v/>
      </c>
      <c r="Q231" s="66" t="str">
        <f t="shared" si="47"/>
        <v/>
      </c>
      <c r="R231" s="51"/>
      <c r="S231" s="60"/>
      <c r="T231" s="52" t="str">
        <f t="shared" si="42"/>
        <v/>
      </c>
      <c r="U231" s="51"/>
      <c r="V231" s="56" t="str">
        <f t="shared" si="43"/>
        <v/>
      </c>
      <c r="X231" s="57" t="str">
        <f t="shared" si="44"/>
        <v/>
      </c>
      <c r="Y231" s="57">
        <f t="shared" si="45"/>
        <v>0</v>
      </c>
      <c r="Z231" s="57">
        <f t="shared" si="48"/>
        <v>59990</v>
      </c>
      <c r="AA231" s="57">
        <f t="shared" si="49"/>
        <v>0</v>
      </c>
      <c r="AB231" s="57">
        <f t="shared" si="46"/>
        <v>0.2</v>
      </c>
      <c r="AC231" s="57" t="str">
        <f t="shared" si="50"/>
        <v/>
      </c>
      <c r="AD231" s="57" t="str">
        <f t="shared" si="51"/>
        <v/>
      </c>
      <c r="AE231" s="57" t="str">
        <f>IF(AND($D231=RelConducteur,$S231="Oui",ISNUMBER($C231),$C231&gt;=RelDebut,$C231&lt;=RelFin),COUNTIFS($D$9:$D231,RelConducteur,$S$9:$S231,"Oui",$C$9:$C231,"&gt;="&amp;RelDebut,$C$9:$C231,"&lt;="&amp;RelFin),"")</f>
        <v/>
      </c>
    </row>
    <row r="232" spans="2:31" ht="18" customHeight="1" x14ac:dyDescent="0.25">
      <c r="B232" s="48" t="str">
        <f>IF(C232="","",COUNT($C$9:C232))</f>
        <v/>
      </c>
      <c r="C232" s="49"/>
      <c r="D232" s="51"/>
      <c r="E232" s="53"/>
      <c r="F232" s="51"/>
      <c r="G232" s="51"/>
      <c r="H232" s="51"/>
      <c r="I232" s="51"/>
      <c r="J232" s="59"/>
      <c r="K232" s="60"/>
      <c r="L232" s="61"/>
      <c r="M232" s="62"/>
      <c r="N232" s="63" t="str">
        <f t="shared" si="39"/>
        <v/>
      </c>
      <c r="O232" s="64" t="str">
        <f t="shared" si="40"/>
        <v/>
      </c>
      <c r="P232" s="65" t="str">
        <f t="shared" si="41"/>
        <v/>
      </c>
      <c r="Q232" s="66" t="str">
        <f t="shared" si="47"/>
        <v/>
      </c>
      <c r="R232" s="51"/>
      <c r="S232" s="60"/>
      <c r="T232" s="52" t="str">
        <f t="shared" si="42"/>
        <v/>
      </c>
      <c r="U232" s="51"/>
      <c r="V232" s="56" t="str">
        <f t="shared" si="43"/>
        <v/>
      </c>
      <c r="X232" s="57" t="str">
        <f t="shared" si="44"/>
        <v/>
      </c>
      <c r="Y232" s="57">
        <f t="shared" si="45"/>
        <v>0</v>
      </c>
      <c r="Z232" s="57">
        <f t="shared" si="48"/>
        <v>59990</v>
      </c>
      <c r="AA232" s="57">
        <f t="shared" si="49"/>
        <v>0</v>
      </c>
      <c r="AB232" s="57">
        <f t="shared" si="46"/>
        <v>0.2</v>
      </c>
      <c r="AC232" s="57" t="str">
        <f t="shared" si="50"/>
        <v/>
      </c>
      <c r="AD232" s="57" t="str">
        <f t="shared" si="51"/>
        <v/>
      </c>
      <c r="AE232" s="57" t="str">
        <f>IF(AND($D232=RelConducteur,$S232="Oui",ISNUMBER($C232),$C232&gt;=RelDebut,$C232&lt;=RelFin),COUNTIFS($D$9:$D232,RelConducteur,$S$9:$S232,"Oui",$C$9:$C232,"&gt;="&amp;RelDebut,$C$9:$C232,"&lt;="&amp;RelFin),"")</f>
        <v/>
      </c>
    </row>
    <row r="233" spans="2:31" ht="18" customHeight="1" x14ac:dyDescent="0.25">
      <c r="B233" s="48" t="str">
        <f>IF(C233="","",COUNT($C$9:C233))</f>
        <v/>
      </c>
      <c r="C233" s="49"/>
      <c r="D233" s="51"/>
      <c r="E233" s="53"/>
      <c r="F233" s="51"/>
      <c r="G233" s="51"/>
      <c r="H233" s="51"/>
      <c r="I233" s="51"/>
      <c r="J233" s="59"/>
      <c r="K233" s="60"/>
      <c r="L233" s="61"/>
      <c r="M233" s="62"/>
      <c r="N233" s="63" t="str">
        <f t="shared" si="39"/>
        <v/>
      </c>
      <c r="O233" s="64" t="str">
        <f t="shared" si="40"/>
        <v/>
      </c>
      <c r="P233" s="65" t="str">
        <f t="shared" si="41"/>
        <v/>
      </c>
      <c r="Q233" s="66" t="str">
        <f t="shared" si="47"/>
        <v/>
      </c>
      <c r="R233" s="51"/>
      <c r="S233" s="60"/>
      <c r="T233" s="52" t="str">
        <f t="shared" si="42"/>
        <v/>
      </c>
      <c r="U233" s="51"/>
      <c r="V233" s="56" t="str">
        <f t="shared" si="43"/>
        <v/>
      </c>
      <c r="X233" s="57" t="str">
        <f t="shared" si="44"/>
        <v/>
      </c>
      <c r="Y233" s="57">
        <f t="shared" si="45"/>
        <v>0</v>
      </c>
      <c r="Z233" s="57">
        <f t="shared" si="48"/>
        <v>59990</v>
      </c>
      <c r="AA233" s="57">
        <f t="shared" si="49"/>
        <v>0</v>
      </c>
      <c r="AB233" s="57">
        <f t="shared" si="46"/>
        <v>0.2</v>
      </c>
      <c r="AC233" s="57" t="str">
        <f t="shared" si="50"/>
        <v/>
      </c>
      <c r="AD233" s="57" t="str">
        <f t="shared" si="51"/>
        <v/>
      </c>
      <c r="AE233" s="57" t="str">
        <f>IF(AND($D233=RelConducteur,$S233="Oui",ISNUMBER($C233),$C233&gt;=RelDebut,$C233&lt;=RelFin),COUNTIFS($D$9:$D233,RelConducteur,$S$9:$S233,"Oui",$C$9:$C233,"&gt;="&amp;RelDebut,$C$9:$C233,"&lt;="&amp;RelFin),"")</f>
        <v/>
      </c>
    </row>
    <row r="234" spans="2:31" ht="18" customHeight="1" x14ac:dyDescent="0.25">
      <c r="B234" s="48" t="str">
        <f>IF(C234="","",COUNT($C$9:C234))</f>
        <v/>
      </c>
      <c r="C234" s="49"/>
      <c r="D234" s="51"/>
      <c r="E234" s="53"/>
      <c r="F234" s="51"/>
      <c r="G234" s="51"/>
      <c r="H234" s="51"/>
      <c r="I234" s="51"/>
      <c r="J234" s="59"/>
      <c r="K234" s="60"/>
      <c r="L234" s="61"/>
      <c r="M234" s="62"/>
      <c r="N234" s="63" t="str">
        <f t="shared" si="39"/>
        <v/>
      </c>
      <c r="O234" s="64" t="str">
        <f t="shared" si="40"/>
        <v/>
      </c>
      <c r="P234" s="65" t="str">
        <f t="shared" si="41"/>
        <v/>
      </c>
      <c r="Q234" s="66" t="str">
        <f t="shared" si="47"/>
        <v/>
      </c>
      <c r="R234" s="51"/>
      <c r="S234" s="60"/>
      <c r="T234" s="52" t="str">
        <f t="shared" si="42"/>
        <v/>
      </c>
      <c r="U234" s="51"/>
      <c r="V234" s="56" t="str">
        <f t="shared" si="43"/>
        <v/>
      </c>
      <c r="X234" s="57" t="str">
        <f t="shared" si="44"/>
        <v/>
      </c>
      <c r="Y234" s="57">
        <f t="shared" si="45"/>
        <v>0</v>
      </c>
      <c r="Z234" s="57">
        <f t="shared" si="48"/>
        <v>59990</v>
      </c>
      <c r="AA234" s="57">
        <f t="shared" si="49"/>
        <v>0</v>
      </c>
      <c r="AB234" s="57">
        <f t="shared" si="46"/>
        <v>0.2</v>
      </c>
      <c r="AC234" s="57" t="str">
        <f t="shared" si="50"/>
        <v/>
      </c>
      <c r="AD234" s="57" t="str">
        <f t="shared" si="51"/>
        <v/>
      </c>
      <c r="AE234" s="57" t="str">
        <f>IF(AND($D234=RelConducteur,$S234="Oui",ISNUMBER($C234),$C234&gt;=RelDebut,$C234&lt;=RelFin),COUNTIFS($D$9:$D234,RelConducteur,$S$9:$S234,"Oui",$C$9:$C234,"&gt;="&amp;RelDebut,$C$9:$C234,"&lt;="&amp;RelFin),"")</f>
        <v/>
      </c>
    </row>
    <row r="235" spans="2:31" ht="18" customHeight="1" x14ac:dyDescent="0.25">
      <c r="B235" s="48" t="str">
        <f>IF(C235="","",COUNT($C$9:C235))</f>
        <v/>
      </c>
      <c r="C235" s="49"/>
      <c r="D235" s="51"/>
      <c r="E235" s="53"/>
      <c r="F235" s="51"/>
      <c r="G235" s="51"/>
      <c r="H235" s="51"/>
      <c r="I235" s="51"/>
      <c r="J235" s="59"/>
      <c r="K235" s="60"/>
      <c r="L235" s="61"/>
      <c r="M235" s="62"/>
      <c r="N235" s="63" t="str">
        <f t="shared" si="39"/>
        <v/>
      </c>
      <c r="O235" s="64" t="str">
        <f t="shared" si="40"/>
        <v/>
      </c>
      <c r="P235" s="65" t="str">
        <f t="shared" si="41"/>
        <v/>
      </c>
      <c r="Q235" s="66" t="str">
        <f t="shared" si="47"/>
        <v/>
      </c>
      <c r="R235" s="51"/>
      <c r="S235" s="60"/>
      <c r="T235" s="52" t="str">
        <f t="shared" si="42"/>
        <v/>
      </c>
      <c r="U235" s="51"/>
      <c r="V235" s="56" t="str">
        <f t="shared" si="43"/>
        <v/>
      </c>
      <c r="X235" s="57" t="str">
        <f t="shared" si="44"/>
        <v/>
      </c>
      <c r="Y235" s="57">
        <f t="shared" si="45"/>
        <v>0</v>
      </c>
      <c r="Z235" s="57">
        <f t="shared" si="48"/>
        <v>59990</v>
      </c>
      <c r="AA235" s="57">
        <f t="shared" si="49"/>
        <v>0</v>
      </c>
      <c r="AB235" s="57">
        <f t="shared" si="46"/>
        <v>0.2</v>
      </c>
      <c r="AC235" s="57" t="str">
        <f t="shared" si="50"/>
        <v/>
      </c>
      <c r="AD235" s="57" t="str">
        <f t="shared" si="51"/>
        <v/>
      </c>
      <c r="AE235" s="57" t="str">
        <f>IF(AND($D235=RelConducteur,$S235="Oui",ISNUMBER($C235),$C235&gt;=RelDebut,$C235&lt;=RelFin),COUNTIFS($D$9:$D235,RelConducteur,$S$9:$S235,"Oui",$C$9:$C235,"&gt;="&amp;RelDebut,$C$9:$C235,"&lt;="&amp;RelFin),"")</f>
        <v/>
      </c>
    </row>
    <row r="236" spans="2:31" ht="18" customHeight="1" x14ac:dyDescent="0.25">
      <c r="B236" s="48" t="str">
        <f>IF(C236="","",COUNT($C$9:C236))</f>
        <v/>
      </c>
      <c r="C236" s="49"/>
      <c r="D236" s="51"/>
      <c r="E236" s="53"/>
      <c r="F236" s="51"/>
      <c r="G236" s="51"/>
      <c r="H236" s="51"/>
      <c r="I236" s="51"/>
      <c r="J236" s="59"/>
      <c r="K236" s="60"/>
      <c r="L236" s="61"/>
      <c r="M236" s="62"/>
      <c r="N236" s="63" t="str">
        <f t="shared" si="39"/>
        <v/>
      </c>
      <c r="O236" s="64" t="str">
        <f t="shared" si="40"/>
        <v/>
      </c>
      <c r="P236" s="65" t="str">
        <f t="shared" si="41"/>
        <v/>
      </c>
      <c r="Q236" s="66" t="str">
        <f t="shared" si="47"/>
        <v/>
      </c>
      <c r="R236" s="51"/>
      <c r="S236" s="60"/>
      <c r="T236" s="52" t="str">
        <f t="shared" si="42"/>
        <v/>
      </c>
      <c r="U236" s="51"/>
      <c r="V236" s="56" t="str">
        <f t="shared" si="43"/>
        <v/>
      </c>
      <c r="X236" s="57" t="str">
        <f t="shared" si="44"/>
        <v/>
      </c>
      <c r="Y236" s="57">
        <f t="shared" si="45"/>
        <v>0</v>
      </c>
      <c r="Z236" s="57">
        <f t="shared" si="48"/>
        <v>59990</v>
      </c>
      <c r="AA236" s="57">
        <f t="shared" si="49"/>
        <v>0</v>
      </c>
      <c r="AB236" s="57">
        <f t="shared" si="46"/>
        <v>0.2</v>
      </c>
      <c r="AC236" s="57" t="str">
        <f t="shared" si="50"/>
        <v/>
      </c>
      <c r="AD236" s="57" t="str">
        <f t="shared" si="51"/>
        <v/>
      </c>
      <c r="AE236" s="57" t="str">
        <f>IF(AND($D236=RelConducteur,$S236="Oui",ISNUMBER($C236),$C236&gt;=RelDebut,$C236&lt;=RelFin),COUNTIFS($D$9:$D236,RelConducteur,$S$9:$S236,"Oui",$C$9:$C236,"&gt;="&amp;RelDebut,$C$9:$C236,"&lt;="&amp;RelFin),"")</f>
        <v/>
      </c>
    </row>
    <row r="237" spans="2:31" ht="18" customHeight="1" x14ac:dyDescent="0.25">
      <c r="B237" s="48" t="str">
        <f>IF(C237="","",COUNT($C$9:C237))</f>
        <v/>
      </c>
      <c r="C237" s="49"/>
      <c r="D237" s="51"/>
      <c r="E237" s="53"/>
      <c r="F237" s="51"/>
      <c r="G237" s="51"/>
      <c r="H237" s="51"/>
      <c r="I237" s="51"/>
      <c r="J237" s="59"/>
      <c r="K237" s="60"/>
      <c r="L237" s="61"/>
      <c r="M237" s="62"/>
      <c r="N237" s="63" t="str">
        <f t="shared" si="39"/>
        <v/>
      </c>
      <c r="O237" s="64" t="str">
        <f t="shared" si="40"/>
        <v/>
      </c>
      <c r="P237" s="65" t="str">
        <f t="shared" si="41"/>
        <v/>
      </c>
      <c r="Q237" s="66" t="str">
        <f t="shared" si="47"/>
        <v/>
      </c>
      <c r="R237" s="51"/>
      <c r="S237" s="60"/>
      <c r="T237" s="52" t="str">
        <f t="shared" si="42"/>
        <v/>
      </c>
      <c r="U237" s="51"/>
      <c r="V237" s="56" t="str">
        <f t="shared" si="43"/>
        <v/>
      </c>
      <c r="X237" s="57" t="str">
        <f t="shared" si="44"/>
        <v/>
      </c>
      <c r="Y237" s="57">
        <f t="shared" si="45"/>
        <v>0</v>
      </c>
      <c r="Z237" s="57">
        <f t="shared" si="48"/>
        <v>59990</v>
      </c>
      <c r="AA237" s="57">
        <f t="shared" si="49"/>
        <v>0</v>
      </c>
      <c r="AB237" s="57">
        <f t="shared" si="46"/>
        <v>0.2</v>
      </c>
      <c r="AC237" s="57" t="str">
        <f t="shared" si="50"/>
        <v/>
      </c>
      <c r="AD237" s="57" t="str">
        <f t="shared" si="51"/>
        <v/>
      </c>
      <c r="AE237" s="57" t="str">
        <f>IF(AND($D237=RelConducteur,$S237="Oui",ISNUMBER($C237),$C237&gt;=RelDebut,$C237&lt;=RelFin),COUNTIFS($D$9:$D237,RelConducteur,$S$9:$S237,"Oui",$C$9:$C237,"&gt;="&amp;RelDebut,$C$9:$C237,"&lt;="&amp;RelFin),"")</f>
        <v/>
      </c>
    </row>
    <row r="238" spans="2:31" ht="18" customHeight="1" x14ac:dyDescent="0.25">
      <c r="B238" s="48" t="str">
        <f>IF(C238="","",COUNT($C$9:C238))</f>
        <v/>
      </c>
      <c r="C238" s="49"/>
      <c r="D238" s="51"/>
      <c r="E238" s="53"/>
      <c r="F238" s="51"/>
      <c r="G238" s="51"/>
      <c r="H238" s="51"/>
      <c r="I238" s="51"/>
      <c r="J238" s="59"/>
      <c r="K238" s="60"/>
      <c r="L238" s="61"/>
      <c r="M238" s="62"/>
      <c r="N238" s="63" t="str">
        <f t="shared" si="39"/>
        <v/>
      </c>
      <c r="O238" s="64" t="str">
        <f t="shared" si="40"/>
        <v/>
      </c>
      <c r="P238" s="65" t="str">
        <f t="shared" si="41"/>
        <v/>
      </c>
      <c r="Q238" s="66" t="str">
        <f t="shared" si="47"/>
        <v/>
      </c>
      <c r="R238" s="51"/>
      <c r="S238" s="60"/>
      <c r="T238" s="52" t="str">
        <f t="shared" si="42"/>
        <v/>
      </c>
      <c r="U238" s="51"/>
      <c r="V238" s="56" t="str">
        <f t="shared" si="43"/>
        <v/>
      </c>
      <c r="X238" s="57" t="str">
        <f t="shared" si="44"/>
        <v/>
      </c>
      <c r="Y238" s="57">
        <f t="shared" si="45"/>
        <v>0</v>
      </c>
      <c r="Z238" s="57">
        <f t="shared" si="48"/>
        <v>59990</v>
      </c>
      <c r="AA238" s="57">
        <f t="shared" si="49"/>
        <v>0</v>
      </c>
      <c r="AB238" s="57">
        <f t="shared" si="46"/>
        <v>0.2</v>
      </c>
      <c r="AC238" s="57" t="str">
        <f t="shared" si="50"/>
        <v/>
      </c>
      <c r="AD238" s="57" t="str">
        <f t="shared" si="51"/>
        <v/>
      </c>
      <c r="AE238" s="57" t="str">
        <f>IF(AND($D238=RelConducteur,$S238="Oui",ISNUMBER($C238),$C238&gt;=RelDebut,$C238&lt;=RelFin),COUNTIFS($D$9:$D238,RelConducteur,$S$9:$S238,"Oui",$C$9:$C238,"&gt;="&amp;RelDebut,$C$9:$C238,"&lt;="&amp;RelFin),"")</f>
        <v/>
      </c>
    </row>
    <row r="239" spans="2:31" ht="18" customHeight="1" x14ac:dyDescent="0.25">
      <c r="B239" s="48" t="str">
        <f>IF(C239="","",COUNT($C$9:C239))</f>
        <v/>
      </c>
      <c r="C239" s="49"/>
      <c r="D239" s="51"/>
      <c r="E239" s="53"/>
      <c r="F239" s="51"/>
      <c r="G239" s="51"/>
      <c r="H239" s="51"/>
      <c r="I239" s="51"/>
      <c r="J239" s="59"/>
      <c r="K239" s="60"/>
      <c r="L239" s="61"/>
      <c r="M239" s="62"/>
      <c r="N239" s="63" t="str">
        <f t="shared" si="39"/>
        <v/>
      </c>
      <c r="O239" s="64" t="str">
        <f t="shared" si="40"/>
        <v/>
      </c>
      <c r="P239" s="65" t="str">
        <f t="shared" si="41"/>
        <v/>
      </c>
      <c r="Q239" s="66" t="str">
        <f t="shared" si="47"/>
        <v/>
      </c>
      <c r="R239" s="51"/>
      <c r="S239" s="60"/>
      <c r="T239" s="52" t="str">
        <f t="shared" si="42"/>
        <v/>
      </c>
      <c r="U239" s="51"/>
      <c r="V239" s="56" t="str">
        <f t="shared" si="43"/>
        <v/>
      </c>
      <c r="X239" s="57" t="str">
        <f t="shared" si="44"/>
        <v/>
      </c>
      <c r="Y239" s="57">
        <f t="shared" si="45"/>
        <v>0</v>
      </c>
      <c r="Z239" s="57">
        <f t="shared" si="48"/>
        <v>59990</v>
      </c>
      <c r="AA239" s="57">
        <f t="shared" si="49"/>
        <v>0</v>
      </c>
      <c r="AB239" s="57">
        <f t="shared" si="46"/>
        <v>0.2</v>
      </c>
      <c r="AC239" s="57" t="str">
        <f t="shared" si="50"/>
        <v/>
      </c>
      <c r="AD239" s="57" t="str">
        <f t="shared" si="51"/>
        <v/>
      </c>
      <c r="AE239" s="57" t="str">
        <f>IF(AND($D239=RelConducteur,$S239="Oui",ISNUMBER($C239),$C239&gt;=RelDebut,$C239&lt;=RelFin),COUNTIFS($D$9:$D239,RelConducteur,$S$9:$S239,"Oui",$C$9:$C239,"&gt;="&amp;RelDebut,$C$9:$C239,"&lt;="&amp;RelFin),"")</f>
        <v/>
      </c>
    </row>
    <row r="240" spans="2:31" ht="18" customHeight="1" x14ac:dyDescent="0.25">
      <c r="B240" s="48" t="str">
        <f>IF(C240="","",COUNT($C$9:C240))</f>
        <v/>
      </c>
      <c r="C240" s="49"/>
      <c r="D240" s="51"/>
      <c r="E240" s="53"/>
      <c r="F240" s="51"/>
      <c r="G240" s="51"/>
      <c r="H240" s="51"/>
      <c r="I240" s="51"/>
      <c r="J240" s="59"/>
      <c r="K240" s="60"/>
      <c r="L240" s="61"/>
      <c r="M240" s="62"/>
      <c r="N240" s="63" t="str">
        <f t="shared" si="39"/>
        <v/>
      </c>
      <c r="O240" s="64" t="str">
        <f t="shared" si="40"/>
        <v/>
      </c>
      <c r="P240" s="65" t="str">
        <f t="shared" si="41"/>
        <v/>
      </c>
      <c r="Q240" s="66" t="str">
        <f t="shared" si="47"/>
        <v/>
      </c>
      <c r="R240" s="51"/>
      <c r="S240" s="60"/>
      <c r="T240" s="52" t="str">
        <f t="shared" si="42"/>
        <v/>
      </c>
      <c r="U240" s="51"/>
      <c r="V240" s="56" t="str">
        <f t="shared" si="43"/>
        <v/>
      </c>
      <c r="X240" s="57" t="str">
        <f t="shared" si="44"/>
        <v/>
      </c>
      <c r="Y240" s="57">
        <f t="shared" si="45"/>
        <v>0</v>
      </c>
      <c r="Z240" s="57">
        <f t="shared" si="48"/>
        <v>59990</v>
      </c>
      <c r="AA240" s="57">
        <f t="shared" si="49"/>
        <v>0</v>
      </c>
      <c r="AB240" s="57">
        <f t="shared" si="46"/>
        <v>0.2</v>
      </c>
      <c r="AC240" s="57" t="str">
        <f t="shared" si="50"/>
        <v/>
      </c>
      <c r="AD240" s="57" t="str">
        <f t="shared" si="51"/>
        <v/>
      </c>
      <c r="AE240" s="57" t="str">
        <f>IF(AND($D240=RelConducteur,$S240="Oui",ISNUMBER($C240),$C240&gt;=RelDebut,$C240&lt;=RelFin),COUNTIFS($D$9:$D240,RelConducteur,$S$9:$S240,"Oui",$C$9:$C240,"&gt;="&amp;RelDebut,$C$9:$C240,"&lt;="&amp;RelFin),"")</f>
        <v/>
      </c>
    </row>
    <row r="241" spans="2:31" ht="18" customHeight="1" x14ac:dyDescent="0.25">
      <c r="B241" s="48" t="str">
        <f>IF(C241="","",COUNT($C$9:C241))</f>
        <v/>
      </c>
      <c r="C241" s="49"/>
      <c r="D241" s="51"/>
      <c r="E241" s="53"/>
      <c r="F241" s="51"/>
      <c r="G241" s="51"/>
      <c r="H241" s="51"/>
      <c r="I241" s="51"/>
      <c r="J241" s="59"/>
      <c r="K241" s="60"/>
      <c r="L241" s="61"/>
      <c r="M241" s="62"/>
      <c r="N241" s="63" t="str">
        <f t="shared" si="39"/>
        <v/>
      </c>
      <c r="O241" s="64" t="str">
        <f t="shared" si="40"/>
        <v/>
      </c>
      <c r="P241" s="65" t="str">
        <f t="shared" si="41"/>
        <v/>
      </c>
      <c r="Q241" s="66" t="str">
        <f t="shared" si="47"/>
        <v/>
      </c>
      <c r="R241" s="51"/>
      <c r="S241" s="60"/>
      <c r="T241" s="52" t="str">
        <f t="shared" si="42"/>
        <v/>
      </c>
      <c r="U241" s="51"/>
      <c r="V241" s="56" t="str">
        <f t="shared" si="43"/>
        <v/>
      </c>
      <c r="X241" s="57" t="str">
        <f t="shared" si="44"/>
        <v/>
      </c>
      <c r="Y241" s="57">
        <f t="shared" si="45"/>
        <v>0</v>
      </c>
      <c r="Z241" s="57">
        <f t="shared" si="48"/>
        <v>59990</v>
      </c>
      <c r="AA241" s="57">
        <f t="shared" si="49"/>
        <v>0</v>
      </c>
      <c r="AB241" s="57">
        <f t="shared" si="46"/>
        <v>0.2</v>
      </c>
      <c r="AC241" s="57" t="str">
        <f t="shared" si="50"/>
        <v/>
      </c>
      <c r="AD241" s="57" t="str">
        <f t="shared" si="51"/>
        <v/>
      </c>
      <c r="AE241" s="57" t="str">
        <f>IF(AND($D241=RelConducteur,$S241="Oui",ISNUMBER($C241),$C241&gt;=RelDebut,$C241&lt;=RelFin),COUNTIFS($D$9:$D241,RelConducteur,$S$9:$S241,"Oui",$C$9:$C241,"&gt;="&amp;RelDebut,$C$9:$C241,"&lt;="&amp;RelFin),"")</f>
        <v/>
      </c>
    </row>
    <row r="242" spans="2:31" ht="18" customHeight="1" x14ac:dyDescent="0.25">
      <c r="B242" s="48" t="str">
        <f>IF(C242="","",COUNT($C$9:C242))</f>
        <v/>
      </c>
      <c r="C242" s="49"/>
      <c r="D242" s="51"/>
      <c r="E242" s="53"/>
      <c r="F242" s="51"/>
      <c r="G242" s="51"/>
      <c r="H242" s="51"/>
      <c r="I242" s="51"/>
      <c r="J242" s="59"/>
      <c r="K242" s="60"/>
      <c r="L242" s="61"/>
      <c r="M242" s="62"/>
      <c r="N242" s="63" t="str">
        <f t="shared" si="39"/>
        <v/>
      </c>
      <c r="O242" s="64" t="str">
        <f t="shared" si="40"/>
        <v/>
      </c>
      <c r="P242" s="65" t="str">
        <f t="shared" si="41"/>
        <v/>
      </c>
      <c r="Q242" s="66" t="str">
        <f t="shared" si="47"/>
        <v/>
      </c>
      <c r="R242" s="51"/>
      <c r="S242" s="60"/>
      <c r="T242" s="52" t="str">
        <f t="shared" si="42"/>
        <v/>
      </c>
      <c r="U242" s="51"/>
      <c r="V242" s="56" t="str">
        <f t="shared" si="43"/>
        <v/>
      </c>
      <c r="X242" s="57" t="str">
        <f t="shared" si="44"/>
        <v/>
      </c>
      <c r="Y242" s="57">
        <f t="shared" si="45"/>
        <v>0</v>
      </c>
      <c r="Z242" s="57">
        <f t="shared" si="48"/>
        <v>59990</v>
      </c>
      <c r="AA242" s="57">
        <f t="shared" si="49"/>
        <v>0</v>
      </c>
      <c r="AB242" s="57">
        <f t="shared" si="46"/>
        <v>0.2</v>
      </c>
      <c r="AC242" s="57" t="str">
        <f t="shared" si="50"/>
        <v/>
      </c>
      <c r="AD242" s="57" t="str">
        <f t="shared" si="51"/>
        <v/>
      </c>
      <c r="AE242" s="57" t="str">
        <f>IF(AND($D242=RelConducteur,$S242="Oui",ISNUMBER($C242),$C242&gt;=RelDebut,$C242&lt;=RelFin),COUNTIFS($D$9:$D242,RelConducteur,$S$9:$S242,"Oui",$C$9:$C242,"&gt;="&amp;RelDebut,$C$9:$C242,"&lt;="&amp;RelFin),"")</f>
        <v/>
      </c>
    </row>
    <row r="243" spans="2:31" ht="18" customHeight="1" x14ac:dyDescent="0.25">
      <c r="B243" s="48" t="str">
        <f>IF(C243="","",COUNT($C$9:C243))</f>
        <v/>
      </c>
      <c r="C243" s="49"/>
      <c r="D243" s="51"/>
      <c r="E243" s="53"/>
      <c r="F243" s="51"/>
      <c r="G243" s="51"/>
      <c r="H243" s="51"/>
      <c r="I243" s="51"/>
      <c r="J243" s="59"/>
      <c r="K243" s="60"/>
      <c r="L243" s="61"/>
      <c r="M243" s="62"/>
      <c r="N243" s="63" t="str">
        <f t="shared" si="39"/>
        <v/>
      </c>
      <c r="O243" s="64" t="str">
        <f t="shared" si="40"/>
        <v/>
      </c>
      <c r="P243" s="65" t="str">
        <f t="shared" si="41"/>
        <v/>
      </c>
      <c r="Q243" s="66" t="str">
        <f t="shared" si="47"/>
        <v/>
      </c>
      <c r="R243" s="51"/>
      <c r="S243" s="60"/>
      <c r="T243" s="52" t="str">
        <f t="shared" si="42"/>
        <v/>
      </c>
      <c r="U243" s="51"/>
      <c r="V243" s="56" t="str">
        <f t="shared" si="43"/>
        <v/>
      </c>
      <c r="X243" s="57" t="str">
        <f t="shared" si="44"/>
        <v/>
      </c>
      <c r="Y243" s="57">
        <f t="shared" si="45"/>
        <v>0</v>
      </c>
      <c r="Z243" s="57">
        <f t="shared" si="48"/>
        <v>59990</v>
      </c>
      <c r="AA243" s="57">
        <f t="shared" si="49"/>
        <v>0</v>
      </c>
      <c r="AB243" s="57">
        <f t="shared" si="46"/>
        <v>0.2</v>
      </c>
      <c r="AC243" s="57" t="str">
        <f t="shared" si="50"/>
        <v/>
      </c>
      <c r="AD243" s="57" t="str">
        <f t="shared" si="51"/>
        <v/>
      </c>
      <c r="AE243" s="57" t="str">
        <f>IF(AND($D243=RelConducteur,$S243="Oui",ISNUMBER($C243),$C243&gt;=RelDebut,$C243&lt;=RelFin),COUNTIFS($D$9:$D243,RelConducteur,$S$9:$S243,"Oui",$C$9:$C243,"&gt;="&amp;RelDebut,$C$9:$C243,"&lt;="&amp;RelFin),"")</f>
        <v/>
      </c>
    </row>
    <row r="244" spans="2:31" ht="18" customHeight="1" x14ac:dyDescent="0.25">
      <c r="B244" s="48" t="str">
        <f>IF(C244="","",COUNT($C$9:C244))</f>
        <v/>
      </c>
      <c r="C244" s="49"/>
      <c r="D244" s="51"/>
      <c r="E244" s="53"/>
      <c r="F244" s="51"/>
      <c r="G244" s="51"/>
      <c r="H244" s="51"/>
      <c r="I244" s="51"/>
      <c r="J244" s="59"/>
      <c r="K244" s="60"/>
      <c r="L244" s="61"/>
      <c r="M244" s="62"/>
      <c r="N244" s="63" t="str">
        <f t="shared" si="39"/>
        <v/>
      </c>
      <c r="O244" s="64" t="str">
        <f t="shared" si="40"/>
        <v/>
      </c>
      <c r="P244" s="65" t="str">
        <f t="shared" si="41"/>
        <v/>
      </c>
      <c r="Q244" s="66" t="str">
        <f t="shared" si="47"/>
        <v/>
      </c>
      <c r="R244" s="51"/>
      <c r="S244" s="60"/>
      <c r="T244" s="52" t="str">
        <f t="shared" si="42"/>
        <v/>
      </c>
      <c r="U244" s="51"/>
      <c r="V244" s="56" t="str">
        <f t="shared" si="43"/>
        <v/>
      </c>
      <c r="X244" s="57" t="str">
        <f t="shared" si="44"/>
        <v/>
      </c>
      <c r="Y244" s="57">
        <f t="shared" si="45"/>
        <v>0</v>
      </c>
      <c r="Z244" s="57">
        <f t="shared" si="48"/>
        <v>59990</v>
      </c>
      <c r="AA244" s="57">
        <f t="shared" si="49"/>
        <v>0</v>
      </c>
      <c r="AB244" s="57">
        <f t="shared" si="46"/>
        <v>0.2</v>
      </c>
      <c r="AC244" s="57" t="str">
        <f t="shared" si="50"/>
        <v/>
      </c>
      <c r="AD244" s="57" t="str">
        <f t="shared" si="51"/>
        <v/>
      </c>
      <c r="AE244" s="57" t="str">
        <f>IF(AND($D244=RelConducteur,$S244="Oui",ISNUMBER($C244),$C244&gt;=RelDebut,$C244&lt;=RelFin),COUNTIFS($D$9:$D244,RelConducteur,$S$9:$S244,"Oui",$C$9:$C244,"&gt;="&amp;RelDebut,$C$9:$C244,"&lt;="&amp;RelFin),"")</f>
        <v/>
      </c>
    </row>
    <row r="245" spans="2:31" ht="18" customHeight="1" x14ac:dyDescent="0.25">
      <c r="B245" s="48" t="str">
        <f>IF(C245="","",COUNT($C$9:C245))</f>
        <v/>
      </c>
      <c r="C245" s="49"/>
      <c r="D245" s="51"/>
      <c r="E245" s="53"/>
      <c r="F245" s="51"/>
      <c r="G245" s="51"/>
      <c r="H245" s="51"/>
      <c r="I245" s="51"/>
      <c r="J245" s="59"/>
      <c r="K245" s="60"/>
      <c r="L245" s="61"/>
      <c r="M245" s="62"/>
      <c r="N245" s="63" t="str">
        <f t="shared" si="39"/>
        <v/>
      </c>
      <c r="O245" s="64" t="str">
        <f t="shared" si="40"/>
        <v/>
      </c>
      <c r="P245" s="65" t="str">
        <f t="shared" si="41"/>
        <v/>
      </c>
      <c r="Q245" s="66" t="str">
        <f t="shared" si="47"/>
        <v/>
      </c>
      <c r="R245" s="51"/>
      <c r="S245" s="60"/>
      <c r="T245" s="52" t="str">
        <f t="shared" si="42"/>
        <v/>
      </c>
      <c r="U245" s="51"/>
      <c r="V245" s="56" t="str">
        <f t="shared" si="43"/>
        <v/>
      </c>
      <c r="X245" s="57" t="str">
        <f t="shared" si="44"/>
        <v/>
      </c>
      <c r="Y245" s="57">
        <f t="shared" si="45"/>
        <v>0</v>
      </c>
      <c r="Z245" s="57">
        <f t="shared" si="48"/>
        <v>59990</v>
      </c>
      <c r="AA245" s="57">
        <f t="shared" si="49"/>
        <v>0</v>
      </c>
      <c r="AB245" s="57">
        <f t="shared" si="46"/>
        <v>0.2</v>
      </c>
      <c r="AC245" s="57" t="str">
        <f t="shared" si="50"/>
        <v/>
      </c>
      <c r="AD245" s="57" t="str">
        <f t="shared" si="51"/>
        <v/>
      </c>
      <c r="AE245" s="57" t="str">
        <f>IF(AND($D245=RelConducteur,$S245="Oui",ISNUMBER($C245),$C245&gt;=RelDebut,$C245&lt;=RelFin),COUNTIFS($D$9:$D245,RelConducteur,$S$9:$S245,"Oui",$C$9:$C245,"&gt;="&amp;RelDebut,$C$9:$C245,"&lt;="&amp;RelFin),"")</f>
        <v/>
      </c>
    </row>
    <row r="246" spans="2:31" ht="18" customHeight="1" x14ac:dyDescent="0.25">
      <c r="B246" s="48" t="str">
        <f>IF(C246="","",COUNT($C$9:C246))</f>
        <v/>
      </c>
      <c r="C246" s="49"/>
      <c r="D246" s="51"/>
      <c r="E246" s="53"/>
      <c r="F246" s="51"/>
      <c r="G246" s="51"/>
      <c r="H246" s="51"/>
      <c r="I246" s="51"/>
      <c r="J246" s="59"/>
      <c r="K246" s="60"/>
      <c r="L246" s="61"/>
      <c r="M246" s="62"/>
      <c r="N246" s="63" t="str">
        <f t="shared" si="39"/>
        <v/>
      </c>
      <c r="O246" s="64" t="str">
        <f t="shared" si="40"/>
        <v/>
      </c>
      <c r="P246" s="65" t="str">
        <f t="shared" si="41"/>
        <v/>
      </c>
      <c r="Q246" s="66" t="str">
        <f t="shared" si="47"/>
        <v/>
      </c>
      <c r="R246" s="51"/>
      <c r="S246" s="60"/>
      <c r="T246" s="52" t="str">
        <f t="shared" si="42"/>
        <v/>
      </c>
      <c r="U246" s="51"/>
      <c r="V246" s="56" t="str">
        <f t="shared" si="43"/>
        <v/>
      </c>
      <c r="X246" s="57" t="str">
        <f t="shared" si="44"/>
        <v/>
      </c>
      <c r="Y246" s="57">
        <f t="shared" si="45"/>
        <v>0</v>
      </c>
      <c r="Z246" s="57">
        <f t="shared" si="48"/>
        <v>59990</v>
      </c>
      <c r="AA246" s="57">
        <f t="shared" si="49"/>
        <v>0</v>
      </c>
      <c r="AB246" s="57">
        <f t="shared" si="46"/>
        <v>0.2</v>
      </c>
      <c r="AC246" s="57" t="str">
        <f t="shared" si="50"/>
        <v/>
      </c>
      <c r="AD246" s="57" t="str">
        <f t="shared" si="51"/>
        <v/>
      </c>
      <c r="AE246" s="57" t="str">
        <f>IF(AND($D246=RelConducteur,$S246="Oui",ISNUMBER($C246),$C246&gt;=RelDebut,$C246&lt;=RelFin),COUNTIFS($D$9:$D246,RelConducteur,$S$9:$S246,"Oui",$C$9:$C246,"&gt;="&amp;RelDebut,$C$9:$C246,"&lt;="&amp;RelFin),"")</f>
        <v/>
      </c>
    </row>
    <row r="247" spans="2:31" ht="18" customHeight="1" x14ac:dyDescent="0.25">
      <c r="B247" s="48" t="str">
        <f>IF(C247="","",COUNT($C$9:C247))</f>
        <v/>
      </c>
      <c r="C247" s="49"/>
      <c r="D247" s="51"/>
      <c r="E247" s="53"/>
      <c r="F247" s="51"/>
      <c r="G247" s="51"/>
      <c r="H247" s="51"/>
      <c r="I247" s="51"/>
      <c r="J247" s="59"/>
      <c r="K247" s="60"/>
      <c r="L247" s="61"/>
      <c r="M247" s="62"/>
      <c r="N247" s="63" t="str">
        <f t="shared" si="39"/>
        <v/>
      </c>
      <c r="O247" s="64" t="str">
        <f t="shared" si="40"/>
        <v/>
      </c>
      <c r="P247" s="65" t="str">
        <f t="shared" si="41"/>
        <v/>
      </c>
      <c r="Q247" s="66" t="str">
        <f t="shared" si="47"/>
        <v/>
      </c>
      <c r="R247" s="51"/>
      <c r="S247" s="60"/>
      <c r="T247" s="52" t="str">
        <f t="shared" si="42"/>
        <v/>
      </c>
      <c r="U247" s="51"/>
      <c r="V247" s="56" t="str">
        <f t="shared" si="43"/>
        <v/>
      </c>
      <c r="X247" s="57" t="str">
        <f t="shared" si="44"/>
        <v/>
      </c>
      <c r="Y247" s="57">
        <f t="shared" si="45"/>
        <v>0</v>
      </c>
      <c r="Z247" s="57">
        <f t="shared" si="48"/>
        <v>59990</v>
      </c>
      <c r="AA247" s="57">
        <f t="shared" si="49"/>
        <v>0</v>
      </c>
      <c r="AB247" s="57">
        <f t="shared" si="46"/>
        <v>0.2</v>
      </c>
      <c r="AC247" s="57" t="str">
        <f t="shared" si="50"/>
        <v/>
      </c>
      <c r="AD247" s="57" t="str">
        <f t="shared" si="51"/>
        <v/>
      </c>
      <c r="AE247" s="57" t="str">
        <f>IF(AND($D247=RelConducteur,$S247="Oui",ISNUMBER($C247),$C247&gt;=RelDebut,$C247&lt;=RelFin),COUNTIFS($D$9:$D247,RelConducteur,$S$9:$S247,"Oui",$C$9:$C247,"&gt;="&amp;RelDebut,$C$9:$C247,"&lt;="&amp;RelFin),"")</f>
        <v/>
      </c>
    </row>
    <row r="248" spans="2:31" ht="18" customHeight="1" x14ac:dyDescent="0.25">
      <c r="B248" s="48" t="str">
        <f>IF(C248="","",COUNT($C$9:C248))</f>
        <v/>
      </c>
      <c r="C248" s="49"/>
      <c r="D248" s="51"/>
      <c r="E248" s="53"/>
      <c r="F248" s="51"/>
      <c r="G248" s="51"/>
      <c r="H248" s="51"/>
      <c r="I248" s="51"/>
      <c r="J248" s="59"/>
      <c r="K248" s="60"/>
      <c r="L248" s="61"/>
      <c r="M248" s="62"/>
      <c r="N248" s="63" t="str">
        <f t="shared" si="39"/>
        <v/>
      </c>
      <c r="O248" s="64" t="str">
        <f t="shared" si="40"/>
        <v/>
      </c>
      <c r="P248" s="65" t="str">
        <f t="shared" si="41"/>
        <v/>
      </c>
      <c r="Q248" s="66" t="str">
        <f t="shared" si="47"/>
        <v/>
      </c>
      <c r="R248" s="51"/>
      <c r="S248" s="60"/>
      <c r="T248" s="52" t="str">
        <f t="shared" si="42"/>
        <v/>
      </c>
      <c r="U248" s="51"/>
      <c r="V248" s="56" t="str">
        <f t="shared" si="43"/>
        <v/>
      </c>
      <c r="X248" s="57" t="str">
        <f t="shared" si="44"/>
        <v/>
      </c>
      <c r="Y248" s="57">
        <f t="shared" si="45"/>
        <v>0</v>
      </c>
      <c r="Z248" s="57">
        <f t="shared" si="48"/>
        <v>59990</v>
      </c>
      <c r="AA248" s="57">
        <f t="shared" si="49"/>
        <v>0</v>
      </c>
      <c r="AB248" s="57">
        <f t="shared" si="46"/>
        <v>0.2</v>
      </c>
      <c r="AC248" s="57" t="str">
        <f t="shared" si="50"/>
        <v/>
      </c>
      <c r="AD248" s="57" t="str">
        <f t="shared" si="51"/>
        <v/>
      </c>
      <c r="AE248" s="57" t="str">
        <f>IF(AND($D248=RelConducteur,$S248="Oui",ISNUMBER($C248),$C248&gt;=RelDebut,$C248&lt;=RelFin),COUNTIFS($D$9:$D248,RelConducteur,$S$9:$S248,"Oui",$C$9:$C248,"&gt;="&amp;RelDebut,$C$9:$C248,"&lt;="&amp;RelFin),"")</f>
        <v/>
      </c>
    </row>
    <row r="249" spans="2:31" ht="18" customHeight="1" x14ac:dyDescent="0.25">
      <c r="B249" s="48" t="str">
        <f>IF(C249="","",COUNT($C$9:C249))</f>
        <v/>
      </c>
      <c r="C249" s="49"/>
      <c r="D249" s="51"/>
      <c r="E249" s="53"/>
      <c r="F249" s="51"/>
      <c r="G249" s="51"/>
      <c r="H249" s="51"/>
      <c r="I249" s="51"/>
      <c r="J249" s="59"/>
      <c r="K249" s="60"/>
      <c r="L249" s="61"/>
      <c r="M249" s="62"/>
      <c r="N249" s="63" t="str">
        <f t="shared" si="39"/>
        <v/>
      </c>
      <c r="O249" s="64" t="str">
        <f t="shared" si="40"/>
        <v/>
      </c>
      <c r="P249" s="65" t="str">
        <f t="shared" si="41"/>
        <v/>
      </c>
      <c r="Q249" s="66" t="str">
        <f t="shared" si="47"/>
        <v/>
      </c>
      <c r="R249" s="51"/>
      <c r="S249" s="60"/>
      <c r="T249" s="52" t="str">
        <f t="shared" si="42"/>
        <v/>
      </c>
      <c r="U249" s="51"/>
      <c r="V249" s="56" t="str">
        <f t="shared" si="43"/>
        <v/>
      </c>
      <c r="X249" s="57" t="str">
        <f t="shared" si="44"/>
        <v/>
      </c>
      <c r="Y249" s="57">
        <f t="shared" si="45"/>
        <v>0</v>
      </c>
      <c r="Z249" s="57">
        <f t="shared" si="48"/>
        <v>59990</v>
      </c>
      <c r="AA249" s="57">
        <f t="shared" si="49"/>
        <v>0</v>
      </c>
      <c r="AB249" s="57">
        <f t="shared" si="46"/>
        <v>0.2</v>
      </c>
      <c r="AC249" s="57" t="str">
        <f t="shared" si="50"/>
        <v/>
      </c>
      <c r="AD249" s="57" t="str">
        <f t="shared" si="51"/>
        <v/>
      </c>
      <c r="AE249" s="57" t="str">
        <f>IF(AND($D249=RelConducteur,$S249="Oui",ISNUMBER($C249),$C249&gt;=RelDebut,$C249&lt;=RelFin),COUNTIFS($D$9:$D249,RelConducteur,$S$9:$S249,"Oui",$C$9:$C249,"&gt;="&amp;RelDebut,$C$9:$C249,"&lt;="&amp;RelFin),"")</f>
        <v/>
      </c>
    </row>
    <row r="250" spans="2:31" ht="18" customHeight="1" x14ac:dyDescent="0.25">
      <c r="B250" s="48" t="str">
        <f>IF(C250="","",COUNT($C$9:C250))</f>
        <v/>
      </c>
      <c r="C250" s="49"/>
      <c r="D250" s="51"/>
      <c r="E250" s="53"/>
      <c r="F250" s="51"/>
      <c r="G250" s="51"/>
      <c r="H250" s="51"/>
      <c r="I250" s="51"/>
      <c r="J250" s="59"/>
      <c r="K250" s="60"/>
      <c r="L250" s="61"/>
      <c r="M250" s="62"/>
      <c r="N250" s="63" t="str">
        <f t="shared" si="39"/>
        <v/>
      </c>
      <c r="O250" s="64" t="str">
        <f t="shared" si="40"/>
        <v/>
      </c>
      <c r="P250" s="65" t="str">
        <f t="shared" si="41"/>
        <v/>
      </c>
      <c r="Q250" s="66" t="str">
        <f t="shared" si="47"/>
        <v/>
      </c>
      <c r="R250" s="51"/>
      <c r="S250" s="60"/>
      <c r="T250" s="52" t="str">
        <f t="shared" si="42"/>
        <v/>
      </c>
      <c r="U250" s="51"/>
      <c r="V250" s="56" t="str">
        <f t="shared" si="43"/>
        <v/>
      </c>
      <c r="X250" s="57" t="str">
        <f t="shared" si="44"/>
        <v/>
      </c>
      <c r="Y250" s="57">
        <f t="shared" si="45"/>
        <v>0</v>
      </c>
      <c r="Z250" s="57">
        <f t="shared" si="48"/>
        <v>59990</v>
      </c>
      <c r="AA250" s="57">
        <f t="shared" si="49"/>
        <v>0</v>
      </c>
      <c r="AB250" s="57">
        <f t="shared" si="46"/>
        <v>0.2</v>
      </c>
      <c r="AC250" s="57" t="str">
        <f t="shared" si="50"/>
        <v/>
      </c>
      <c r="AD250" s="57" t="str">
        <f t="shared" si="51"/>
        <v/>
      </c>
      <c r="AE250" s="57" t="str">
        <f>IF(AND($D250=RelConducteur,$S250="Oui",ISNUMBER($C250),$C250&gt;=RelDebut,$C250&lt;=RelFin),COUNTIFS($D$9:$D250,RelConducteur,$S$9:$S250,"Oui",$C$9:$C250,"&gt;="&amp;RelDebut,$C$9:$C250,"&lt;="&amp;RelFin),"")</f>
        <v/>
      </c>
    </row>
    <row r="251" spans="2:31" ht="18" customHeight="1" x14ac:dyDescent="0.25">
      <c r="B251" s="48" t="str">
        <f>IF(C251="","",COUNT($C$9:C251))</f>
        <v/>
      </c>
      <c r="C251" s="49"/>
      <c r="D251" s="51"/>
      <c r="E251" s="53"/>
      <c r="F251" s="51"/>
      <c r="G251" s="51"/>
      <c r="H251" s="51"/>
      <c r="I251" s="51"/>
      <c r="J251" s="59"/>
      <c r="K251" s="60"/>
      <c r="L251" s="61"/>
      <c r="M251" s="62"/>
      <c r="N251" s="63" t="str">
        <f t="shared" si="39"/>
        <v/>
      </c>
      <c r="O251" s="64" t="str">
        <f t="shared" si="40"/>
        <v/>
      </c>
      <c r="P251" s="65" t="str">
        <f t="shared" si="41"/>
        <v/>
      </c>
      <c r="Q251" s="66" t="str">
        <f t="shared" si="47"/>
        <v/>
      </c>
      <c r="R251" s="51"/>
      <c r="S251" s="60"/>
      <c r="T251" s="52" t="str">
        <f t="shared" si="42"/>
        <v/>
      </c>
      <c r="U251" s="51"/>
      <c r="V251" s="56" t="str">
        <f t="shared" si="43"/>
        <v/>
      </c>
      <c r="X251" s="57" t="str">
        <f t="shared" si="44"/>
        <v/>
      </c>
      <c r="Y251" s="57">
        <f t="shared" si="45"/>
        <v>0</v>
      </c>
      <c r="Z251" s="57">
        <f t="shared" si="48"/>
        <v>59990</v>
      </c>
      <c r="AA251" s="57">
        <f t="shared" si="49"/>
        <v>0</v>
      </c>
      <c r="AB251" s="57">
        <f t="shared" si="46"/>
        <v>0.2</v>
      </c>
      <c r="AC251" s="57" t="str">
        <f t="shared" si="50"/>
        <v/>
      </c>
      <c r="AD251" s="57" t="str">
        <f t="shared" si="51"/>
        <v/>
      </c>
      <c r="AE251" s="57" t="str">
        <f>IF(AND($D251=RelConducteur,$S251="Oui",ISNUMBER($C251),$C251&gt;=RelDebut,$C251&lt;=RelFin),COUNTIFS($D$9:$D251,RelConducteur,$S$9:$S251,"Oui",$C$9:$C251,"&gt;="&amp;RelDebut,$C$9:$C251,"&lt;="&amp;RelFin),"")</f>
        <v/>
      </c>
    </row>
    <row r="252" spans="2:31" ht="18" customHeight="1" x14ac:dyDescent="0.25">
      <c r="B252" s="48" t="str">
        <f>IF(C252="","",COUNT($C$9:C252))</f>
        <v/>
      </c>
      <c r="C252" s="49"/>
      <c r="D252" s="51"/>
      <c r="E252" s="53"/>
      <c r="F252" s="51"/>
      <c r="G252" s="51"/>
      <c r="H252" s="51"/>
      <c r="I252" s="51"/>
      <c r="J252" s="59"/>
      <c r="K252" s="60"/>
      <c r="L252" s="61"/>
      <c r="M252" s="62"/>
      <c r="N252" s="63" t="str">
        <f t="shared" si="39"/>
        <v/>
      </c>
      <c r="O252" s="64" t="str">
        <f t="shared" si="40"/>
        <v/>
      </c>
      <c r="P252" s="65" t="str">
        <f t="shared" si="41"/>
        <v/>
      </c>
      <c r="Q252" s="66" t="str">
        <f t="shared" si="47"/>
        <v/>
      </c>
      <c r="R252" s="51"/>
      <c r="S252" s="60"/>
      <c r="T252" s="52" t="str">
        <f t="shared" si="42"/>
        <v/>
      </c>
      <c r="U252" s="51"/>
      <c r="V252" s="56" t="str">
        <f t="shared" si="43"/>
        <v/>
      </c>
      <c r="X252" s="57" t="str">
        <f t="shared" si="44"/>
        <v/>
      </c>
      <c r="Y252" s="57">
        <f t="shared" si="45"/>
        <v>0</v>
      </c>
      <c r="Z252" s="57">
        <f t="shared" si="48"/>
        <v>59990</v>
      </c>
      <c r="AA252" s="57">
        <f t="shared" si="49"/>
        <v>0</v>
      </c>
      <c r="AB252" s="57">
        <f t="shared" si="46"/>
        <v>0.2</v>
      </c>
      <c r="AC252" s="57" t="str">
        <f t="shared" si="50"/>
        <v/>
      </c>
      <c r="AD252" s="57" t="str">
        <f t="shared" si="51"/>
        <v/>
      </c>
      <c r="AE252" s="57" t="str">
        <f>IF(AND($D252=RelConducteur,$S252="Oui",ISNUMBER($C252),$C252&gt;=RelDebut,$C252&lt;=RelFin),COUNTIFS($D$9:$D252,RelConducteur,$S$9:$S252,"Oui",$C$9:$C252,"&gt;="&amp;RelDebut,$C$9:$C252,"&lt;="&amp;RelFin),"")</f>
        <v/>
      </c>
    </row>
    <row r="253" spans="2:31" ht="18" customHeight="1" x14ac:dyDescent="0.25">
      <c r="B253" s="48" t="str">
        <f>IF(C253="","",COUNT($C$9:C253))</f>
        <v/>
      </c>
      <c r="C253" s="49"/>
      <c r="D253" s="51"/>
      <c r="E253" s="53"/>
      <c r="F253" s="51"/>
      <c r="G253" s="51"/>
      <c r="H253" s="51"/>
      <c r="I253" s="51"/>
      <c r="J253" s="59"/>
      <c r="K253" s="60"/>
      <c r="L253" s="61"/>
      <c r="M253" s="62"/>
      <c r="N253" s="63" t="str">
        <f t="shared" si="39"/>
        <v/>
      </c>
      <c r="O253" s="64" t="str">
        <f t="shared" si="40"/>
        <v/>
      </c>
      <c r="P253" s="65" t="str">
        <f t="shared" si="41"/>
        <v/>
      </c>
      <c r="Q253" s="66" t="str">
        <f t="shared" si="47"/>
        <v/>
      </c>
      <c r="R253" s="51"/>
      <c r="S253" s="60"/>
      <c r="T253" s="52" t="str">
        <f t="shared" si="42"/>
        <v/>
      </c>
      <c r="U253" s="51"/>
      <c r="V253" s="56" t="str">
        <f t="shared" si="43"/>
        <v/>
      </c>
      <c r="X253" s="57" t="str">
        <f t="shared" si="44"/>
        <v/>
      </c>
      <c r="Y253" s="57">
        <f t="shared" si="45"/>
        <v>0</v>
      </c>
      <c r="Z253" s="57">
        <f t="shared" si="48"/>
        <v>59990</v>
      </c>
      <c r="AA253" s="57">
        <f t="shared" si="49"/>
        <v>0</v>
      </c>
      <c r="AB253" s="57">
        <f t="shared" si="46"/>
        <v>0.2</v>
      </c>
      <c r="AC253" s="57" t="str">
        <f t="shared" si="50"/>
        <v/>
      </c>
      <c r="AD253" s="57" t="str">
        <f t="shared" si="51"/>
        <v/>
      </c>
      <c r="AE253" s="57" t="str">
        <f>IF(AND($D253=RelConducteur,$S253="Oui",ISNUMBER($C253),$C253&gt;=RelDebut,$C253&lt;=RelFin),COUNTIFS($D$9:$D253,RelConducteur,$S$9:$S253,"Oui",$C$9:$C253,"&gt;="&amp;RelDebut,$C$9:$C253,"&lt;="&amp;RelFin),"")</f>
        <v/>
      </c>
    </row>
    <row r="254" spans="2:31" ht="18" customHeight="1" x14ac:dyDescent="0.25">
      <c r="B254" s="48" t="str">
        <f>IF(C254="","",COUNT($C$9:C254))</f>
        <v/>
      </c>
      <c r="C254" s="49"/>
      <c r="D254" s="51"/>
      <c r="E254" s="53"/>
      <c r="F254" s="51"/>
      <c r="G254" s="51"/>
      <c r="H254" s="51"/>
      <c r="I254" s="51"/>
      <c r="J254" s="59"/>
      <c r="K254" s="60"/>
      <c r="L254" s="61"/>
      <c r="M254" s="62"/>
      <c r="N254" s="63" t="str">
        <f t="shared" si="39"/>
        <v/>
      </c>
      <c r="O254" s="64" t="str">
        <f t="shared" si="40"/>
        <v/>
      </c>
      <c r="P254" s="65" t="str">
        <f t="shared" si="41"/>
        <v/>
      </c>
      <c r="Q254" s="66" t="str">
        <f t="shared" si="47"/>
        <v/>
      </c>
      <c r="R254" s="51"/>
      <c r="S254" s="60"/>
      <c r="T254" s="52" t="str">
        <f t="shared" si="42"/>
        <v/>
      </c>
      <c r="U254" s="51"/>
      <c r="V254" s="56" t="str">
        <f t="shared" si="43"/>
        <v/>
      </c>
      <c r="X254" s="57" t="str">
        <f t="shared" si="44"/>
        <v/>
      </c>
      <c r="Y254" s="57">
        <f t="shared" si="45"/>
        <v>0</v>
      </c>
      <c r="Z254" s="57">
        <f t="shared" si="48"/>
        <v>59990</v>
      </c>
      <c r="AA254" s="57">
        <f t="shared" si="49"/>
        <v>0</v>
      </c>
      <c r="AB254" s="57">
        <f t="shared" si="46"/>
        <v>0.2</v>
      </c>
      <c r="AC254" s="57" t="str">
        <f t="shared" si="50"/>
        <v/>
      </c>
      <c r="AD254" s="57" t="str">
        <f t="shared" si="51"/>
        <v/>
      </c>
      <c r="AE254" s="57" t="str">
        <f>IF(AND($D254=RelConducteur,$S254="Oui",ISNUMBER($C254),$C254&gt;=RelDebut,$C254&lt;=RelFin),COUNTIFS($D$9:$D254,RelConducteur,$S$9:$S254,"Oui",$C$9:$C254,"&gt;="&amp;RelDebut,$C$9:$C254,"&lt;="&amp;RelFin),"")</f>
        <v/>
      </c>
    </row>
    <row r="255" spans="2:31" ht="18" customHeight="1" x14ac:dyDescent="0.25">
      <c r="B255" s="48" t="str">
        <f>IF(C255="","",COUNT($C$9:C255))</f>
        <v/>
      </c>
      <c r="C255" s="49"/>
      <c r="D255" s="51"/>
      <c r="E255" s="53"/>
      <c r="F255" s="51"/>
      <c r="G255" s="51"/>
      <c r="H255" s="51"/>
      <c r="I255" s="51"/>
      <c r="J255" s="59"/>
      <c r="K255" s="60"/>
      <c r="L255" s="61"/>
      <c r="M255" s="62"/>
      <c r="N255" s="63" t="str">
        <f t="shared" si="39"/>
        <v/>
      </c>
      <c r="O255" s="64" t="str">
        <f t="shared" si="40"/>
        <v/>
      </c>
      <c r="P255" s="65" t="str">
        <f t="shared" si="41"/>
        <v/>
      </c>
      <c r="Q255" s="66" t="str">
        <f t="shared" si="47"/>
        <v/>
      </c>
      <c r="R255" s="51"/>
      <c r="S255" s="60"/>
      <c r="T255" s="52" t="str">
        <f t="shared" si="42"/>
        <v/>
      </c>
      <c r="U255" s="51"/>
      <c r="V255" s="56" t="str">
        <f t="shared" si="43"/>
        <v/>
      </c>
      <c r="X255" s="57" t="str">
        <f t="shared" si="44"/>
        <v/>
      </c>
      <c r="Y255" s="57">
        <f t="shared" si="45"/>
        <v>0</v>
      </c>
      <c r="Z255" s="57">
        <f t="shared" si="48"/>
        <v>59990</v>
      </c>
      <c r="AA255" s="57">
        <f t="shared" si="49"/>
        <v>0</v>
      </c>
      <c r="AB255" s="57">
        <f t="shared" si="46"/>
        <v>0.2</v>
      </c>
      <c r="AC255" s="57" t="str">
        <f t="shared" si="50"/>
        <v/>
      </c>
      <c r="AD255" s="57" t="str">
        <f t="shared" si="51"/>
        <v/>
      </c>
      <c r="AE255" s="57" t="str">
        <f>IF(AND($D255=RelConducteur,$S255="Oui",ISNUMBER($C255),$C255&gt;=RelDebut,$C255&lt;=RelFin),COUNTIFS($D$9:$D255,RelConducteur,$S$9:$S255,"Oui",$C$9:$C255,"&gt;="&amp;RelDebut,$C$9:$C255,"&lt;="&amp;RelFin),"")</f>
        <v/>
      </c>
    </row>
    <row r="256" spans="2:31" ht="18" customHeight="1" x14ac:dyDescent="0.25">
      <c r="B256" s="48" t="str">
        <f>IF(C256="","",COUNT($C$9:C256))</f>
        <v/>
      </c>
      <c r="C256" s="49"/>
      <c r="D256" s="51"/>
      <c r="E256" s="53"/>
      <c r="F256" s="51"/>
      <c r="G256" s="51"/>
      <c r="H256" s="51"/>
      <c r="I256" s="51"/>
      <c r="J256" s="59"/>
      <c r="K256" s="60"/>
      <c r="L256" s="61"/>
      <c r="M256" s="62"/>
      <c r="N256" s="63" t="str">
        <f t="shared" si="39"/>
        <v/>
      </c>
      <c r="O256" s="64" t="str">
        <f t="shared" si="40"/>
        <v/>
      </c>
      <c r="P256" s="65" t="str">
        <f t="shared" si="41"/>
        <v/>
      </c>
      <c r="Q256" s="66" t="str">
        <f t="shared" si="47"/>
        <v/>
      </c>
      <c r="R256" s="51"/>
      <c r="S256" s="60"/>
      <c r="T256" s="52" t="str">
        <f t="shared" si="42"/>
        <v/>
      </c>
      <c r="U256" s="51"/>
      <c r="V256" s="56" t="str">
        <f t="shared" si="43"/>
        <v/>
      </c>
      <c r="X256" s="57" t="str">
        <f t="shared" si="44"/>
        <v/>
      </c>
      <c r="Y256" s="57">
        <f t="shared" si="45"/>
        <v>0</v>
      </c>
      <c r="Z256" s="57">
        <f t="shared" si="48"/>
        <v>59990</v>
      </c>
      <c r="AA256" s="57">
        <f t="shared" si="49"/>
        <v>0</v>
      </c>
      <c r="AB256" s="57">
        <f t="shared" si="46"/>
        <v>0.2</v>
      </c>
      <c r="AC256" s="57" t="str">
        <f t="shared" si="50"/>
        <v/>
      </c>
      <c r="AD256" s="57" t="str">
        <f t="shared" si="51"/>
        <v/>
      </c>
      <c r="AE256" s="57" t="str">
        <f>IF(AND($D256=RelConducteur,$S256="Oui",ISNUMBER($C256),$C256&gt;=RelDebut,$C256&lt;=RelFin),COUNTIFS($D$9:$D256,RelConducteur,$S$9:$S256,"Oui",$C$9:$C256,"&gt;="&amp;RelDebut,$C$9:$C256,"&lt;="&amp;RelFin),"")</f>
        <v/>
      </c>
    </row>
    <row r="257" spans="2:31" ht="18" customHeight="1" x14ac:dyDescent="0.25">
      <c r="B257" s="48" t="str">
        <f>IF(C257="","",COUNT($C$9:C257))</f>
        <v/>
      </c>
      <c r="C257" s="49"/>
      <c r="D257" s="51"/>
      <c r="E257" s="53"/>
      <c r="F257" s="51"/>
      <c r="G257" s="51"/>
      <c r="H257" s="51"/>
      <c r="I257" s="51"/>
      <c r="J257" s="59"/>
      <c r="K257" s="60"/>
      <c r="L257" s="61"/>
      <c r="M257" s="62"/>
      <c r="N257" s="63" t="str">
        <f t="shared" si="39"/>
        <v/>
      </c>
      <c r="O257" s="64" t="str">
        <f t="shared" si="40"/>
        <v/>
      </c>
      <c r="P257" s="65" t="str">
        <f t="shared" si="41"/>
        <v/>
      </c>
      <c r="Q257" s="66" t="str">
        <f t="shared" si="47"/>
        <v/>
      </c>
      <c r="R257" s="51"/>
      <c r="S257" s="60"/>
      <c r="T257" s="52" t="str">
        <f t="shared" si="42"/>
        <v/>
      </c>
      <c r="U257" s="51"/>
      <c r="V257" s="56" t="str">
        <f t="shared" si="43"/>
        <v/>
      </c>
      <c r="X257" s="57" t="str">
        <f t="shared" si="44"/>
        <v/>
      </c>
      <c r="Y257" s="57">
        <f t="shared" si="45"/>
        <v>0</v>
      </c>
      <c r="Z257" s="57">
        <f t="shared" si="48"/>
        <v>59990</v>
      </c>
      <c r="AA257" s="57">
        <f t="shared" si="49"/>
        <v>0</v>
      </c>
      <c r="AB257" s="57">
        <f t="shared" si="46"/>
        <v>0.2</v>
      </c>
      <c r="AC257" s="57" t="str">
        <f t="shared" si="50"/>
        <v/>
      </c>
      <c r="AD257" s="57" t="str">
        <f t="shared" si="51"/>
        <v/>
      </c>
      <c r="AE257" s="57" t="str">
        <f>IF(AND($D257=RelConducteur,$S257="Oui",ISNUMBER($C257),$C257&gt;=RelDebut,$C257&lt;=RelFin),COUNTIFS($D$9:$D257,RelConducteur,$S$9:$S257,"Oui",$C$9:$C257,"&gt;="&amp;RelDebut,$C$9:$C257,"&lt;="&amp;RelFin),"")</f>
        <v/>
      </c>
    </row>
    <row r="258" spans="2:31" ht="18" customHeight="1" x14ac:dyDescent="0.25">
      <c r="B258" s="48" t="str">
        <f>IF(C258="","",COUNT($C$9:C258))</f>
        <v/>
      </c>
      <c r="C258" s="49"/>
      <c r="D258" s="51"/>
      <c r="E258" s="53"/>
      <c r="F258" s="51"/>
      <c r="G258" s="51"/>
      <c r="H258" s="51"/>
      <c r="I258" s="51"/>
      <c r="J258" s="59"/>
      <c r="K258" s="60"/>
      <c r="L258" s="61"/>
      <c r="M258" s="62"/>
      <c r="N258" s="63" t="str">
        <f t="shared" si="39"/>
        <v/>
      </c>
      <c r="O258" s="64" t="str">
        <f t="shared" si="40"/>
        <v/>
      </c>
      <c r="P258" s="65" t="str">
        <f t="shared" si="41"/>
        <v/>
      </c>
      <c r="Q258" s="66" t="str">
        <f t="shared" si="47"/>
        <v/>
      </c>
      <c r="R258" s="51"/>
      <c r="S258" s="60"/>
      <c r="T258" s="52" t="str">
        <f t="shared" si="42"/>
        <v/>
      </c>
      <c r="U258" s="51"/>
      <c r="V258" s="56" t="str">
        <f t="shared" si="43"/>
        <v/>
      </c>
      <c r="X258" s="57" t="str">
        <f t="shared" si="44"/>
        <v/>
      </c>
      <c r="Y258" s="57">
        <f t="shared" si="45"/>
        <v>0</v>
      </c>
      <c r="Z258" s="57">
        <f t="shared" si="48"/>
        <v>59990</v>
      </c>
      <c r="AA258" s="57">
        <f t="shared" si="49"/>
        <v>0</v>
      </c>
      <c r="AB258" s="57">
        <f t="shared" si="46"/>
        <v>0.2</v>
      </c>
      <c r="AC258" s="57" t="str">
        <f t="shared" si="50"/>
        <v/>
      </c>
      <c r="AD258" s="57" t="str">
        <f t="shared" si="51"/>
        <v/>
      </c>
      <c r="AE258" s="57" t="str">
        <f>IF(AND($D258=RelConducteur,$S258="Oui",ISNUMBER($C258),$C258&gt;=RelDebut,$C258&lt;=RelFin),COUNTIFS($D$9:$D258,RelConducteur,$S$9:$S258,"Oui",$C$9:$C258,"&gt;="&amp;RelDebut,$C$9:$C258,"&lt;="&amp;RelFin),"")</f>
        <v/>
      </c>
    </row>
    <row r="259" spans="2:31" ht="18" customHeight="1" x14ac:dyDescent="0.25">
      <c r="B259" s="48" t="str">
        <f>IF(C259="","",COUNT($C$9:C259))</f>
        <v/>
      </c>
      <c r="C259" s="49"/>
      <c r="D259" s="51"/>
      <c r="E259" s="53"/>
      <c r="F259" s="51"/>
      <c r="G259" s="51"/>
      <c r="H259" s="51"/>
      <c r="I259" s="51"/>
      <c r="J259" s="59"/>
      <c r="K259" s="60"/>
      <c r="L259" s="61"/>
      <c r="M259" s="62"/>
      <c r="N259" s="63" t="str">
        <f t="shared" si="39"/>
        <v/>
      </c>
      <c r="O259" s="64" t="str">
        <f t="shared" si="40"/>
        <v/>
      </c>
      <c r="P259" s="65" t="str">
        <f t="shared" si="41"/>
        <v/>
      </c>
      <c r="Q259" s="66" t="str">
        <f t="shared" si="47"/>
        <v/>
      </c>
      <c r="R259" s="51"/>
      <c r="S259" s="60"/>
      <c r="T259" s="52" t="str">
        <f t="shared" si="42"/>
        <v/>
      </c>
      <c r="U259" s="51"/>
      <c r="V259" s="56" t="str">
        <f t="shared" si="43"/>
        <v/>
      </c>
      <c r="X259" s="57" t="str">
        <f t="shared" si="44"/>
        <v/>
      </c>
      <c r="Y259" s="57">
        <f t="shared" si="45"/>
        <v>0</v>
      </c>
      <c r="Z259" s="57">
        <f t="shared" si="48"/>
        <v>59990</v>
      </c>
      <c r="AA259" s="57">
        <f t="shared" si="49"/>
        <v>0</v>
      </c>
      <c r="AB259" s="57">
        <f t="shared" si="46"/>
        <v>0.2</v>
      </c>
      <c r="AC259" s="57" t="str">
        <f t="shared" si="50"/>
        <v/>
      </c>
      <c r="AD259" s="57" t="str">
        <f t="shared" si="51"/>
        <v/>
      </c>
      <c r="AE259" s="57" t="str">
        <f>IF(AND($D259=RelConducteur,$S259="Oui",ISNUMBER($C259),$C259&gt;=RelDebut,$C259&lt;=RelFin),COUNTIFS($D$9:$D259,RelConducteur,$S$9:$S259,"Oui",$C$9:$C259,"&gt;="&amp;RelDebut,$C$9:$C259,"&lt;="&amp;RelFin),"")</f>
        <v/>
      </c>
    </row>
    <row r="260" spans="2:31" ht="18" customHeight="1" x14ac:dyDescent="0.25">
      <c r="B260" s="48" t="str">
        <f>IF(C260="","",COUNT($C$9:C260))</f>
        <v/>
      </c>
      <c r="C260" s="49"/>
      <c r="D260" s="51"/>
      <c r="E260" s="53"/>
      <c r="F260" s="51"/>
      <c r="G260" s="51"/>
      <c r="H260" s="51"/>
      <c r="I260" s="51"/>
      <c r="J260" s="59"/>
      <c r="K260" s="60"/>
      <c r="L260" s="61"/>
      <c r="M260" s="62"/>
      <c r="N260" s="63" t="str">
        <f t="shared" si="39"/>
        <v/>
      </c>
      <c r="O260" s="64" t="str">
        <f t="shared" si="40"/>
        <v/>
      </c>
      <c r="P260" s="65" t="str">
        <f t="shared" si="41"/>
        <v/>
      </c>
      <c r="Q260" s="66" t="str">
        <f t="shared" si="47"/>
        <v/>
      </c>
      <c r="R260" s="51"/>
      <c r="S260" s="60"/>
      <c r="T260" s="52" t="str">
        <f t="shared" si="42"/>
        <v/>
      </c>
      <c r="U260" s="51"/>
      <c r="V260" s="56" t="str">
        <f t="shared" si="43"/>
        <v/>
      </c>
      <c r="X260" s="57" t="str">
        <f t="shared" si="44"/>
        <v/>
      </c>
      <c r="Y260" s="57">
        <f t="shared" si="45"/>
        <v>0</v>
      </c>
      <c r="Z260" s="57">
        <f t="shared" si="48"/>
        <v>59990</v>
      </c>
      <c r="AA260" s="57">
        <f t="shared" si="49"/>
        <v>0</v>
      </c>
      <c r="AB260" s="57">
        <f t="shared" si="46"/>
        <v>0.2</v>
      </c>
      <c r="AC260" s="57" t="str">
        <f t="shared" si="50"/>
        <v/>
      </c>
      <c r="AD260" s="57" t="str">
        <f t="shared" si="51"/>
        <v/>
      </c>
      <c r="AE260" s="57" t="str">
        <f>IF(AND($D260=RelConducteur,$S260="Oui",ISNUMBER($C260),$C260&gt;=RelDebut,$C260&lt;=RelFin),COUNTIFS($D$9:$D260,RelConducteur,$S$9:$S260,"Oui",$C$9:$C260,"&gt;="&amp;RelDebut,$C$9:$C260,"&lt;="&amp;RelFin),"")</f>
        <v/>
      </c>
    </row>
    <row r="261" spans="2:31" ht="18" customHeight="1" x14ac:dyDescent="0.25">
      <c r="B261" s="48" t="str">
        <f>IF(C261="","",COUNT($C$9:C261))</f>
        <v/>
      </c>
      <c r="C261" s="49"/>
      <c r="D261" s="51"/>
      <c r="E261" s="53"/>
      <c r="F261" s="51"/>
      <c r="G261" s="51"/>
      <c r="H261" s="51"/>
      <c r="I261" s="51"/>
      <c r="J261" s="59"/>
      <c r="K261" s="60"/>
      <c r="L261" s="61"/>
      <c r="M261" s="62"/>
      <c r="N261" s="63" t="str">
        <f t="shared" si="39"/>
        <v/>
      </c>
      <c r="O261" s="64" t="str">
        <f t="shared" si="40"/>
        <v/>
      </c>
      <c r="P261" s="65" t="str">
        <f t="shared" si="41"/>
        <v/>
      </c>
      <c r="Q261" s="66" t="str">
        <f t="shared" si="47"/>
        <v/>
      </c>
      <c r="R261" s="51"/>
      <c r="S261" s="60"/>
      <c r="T261" s="52" t="str">
        <f t="shared" si="42"/>
        <v/>
      </c>
      <c r="U261" s="51"/>
      <c r="V261" s="56" t="str">
        <f t="shared" si="43"/>
        <v/>
      </c>
      <c r="X261" s="57" t="str">
        <f t="shared" si="44"/>
        <v/>
      </c>
      <c r="Y261" s="57">
        <f t="shared" si="45"/>
        <v>0</v>
      </c>
      <c r="Z261" s="57">
        <f t="shared" si="48"/>
        <v>59990</v>
      </c>
      <c r="AA261" s="57">
        <f t="shared" si="49"/>
        <v>0</v>
      </c>
      <c r="AB261" s="57">
        <f t="shared" si="46"/>
        <v>0.2</v>
      </c>
      <c r="AC261" s="57" t="str">
        <f t="shared" si="50"/>
        <v/>
      </c>
      <c r="AD261" s="57" t="str">
        <f t="shared" si="51"/>
        <v/>
      </c>
      <c r="AE261" s="57" t="str">
        <f>IF(AND($D261=RelConducteur,$S261="Oui",ISNUMBER($C261),$C261&gt;=RelDebut,$C261&lt;=RelFin),COUNTIFS($D$9:$D261,RelConducteur,$S$9:$S261,"Oui",$C$9:$C261,"&gt;="&amp;RelDebut,$C$9:$C261,"&lt;="&amp;RelFin),"")</f>
        <v/>
      </c>
    </row>
    <row r="262" spans="2:31" ht="18" customHeight="1" x14ac:dyDescent="0.25">
      <c r="B262" s="48" t="str">
        <f>IF(C262="","",COUNT($C$9:C262))</f>
        <v/>
      </c>
      <c r="C262" s="49"/>
      <c r="D262" s="51"/>
      <c r="E262" s="53"/>
      <c r="F262" s="51"/>
      <c r="G262" s="51"/>
      <c r="H262" s="51"/>
      <c r="I262" s="51"/>
      <c r="J262" s="59"/>
      <c r="K262" s="60"/>
      <c r="L262" s="61"/>
      <c r="M262" s="62"/>
      <c r="N262" s="63" t="str">
        <f t="shared" si="39"/>
        <v/>
      </c>
      <c r="O262" s="64" t="str">
        <f t="shared" si="40"/>
        <v/>
      </c>
      <c r="P262" s="65" t="str">
        <f t="shared" si="41"/>
        <v/>
      </c>
      <c r="Q262" s="66" t="str">
        <f t="shared" si="47"/>
        <v/>
      </c>
      <c r="R262" s="51"/>
      <c r="S262" s="60"/>
      <c r="T262" s="52" t="str">
        <f t="shared" si="42"/>
        <v/>
      </c>
      <c r="U262" s="51"/>
      <c r="V262" s="56" t="str">
        <f t="shared" si="43"/>
        <v/>
      </c>
      <c r="X262" s="57" t="str">
        <f t="shared" si="44"/>
        <v/>
      </c>
      <c r="Y262" s="57">
        <f t="shared" si="45"/>
        <v>0</v>
      </c>
      <c r="Z262" s="57">
        <f t="shared" si="48"/>
        <v>59990</v>
      </c>
      <c r="AA262" s="57">
        <f t="shared" si="49"/>
        <v>0</v>
      </c>
      <c r="AB262" s="57">
        <f t="shared" si="46"/>
        <v>0.2</v>
      </c>
      <c r="AC262" s="57" t="str">
        <f t="shared" si="50"/>
        <v/>
      </c>
      <c r="AD262" s="57" t="str">
        <f t="shared" si="51"/>
        <v/>
      </c>
      <c r="AE262" s="57" t="str">
        <f>IF(AND($D262=RelConducteur,$S262="Oui",ISNUMBER($C262),$C262&gt;=RelDebut,$C262&lt;=RelFin),COUNTIFS($D$9:$D262,RelConducteur,$S$9:$S262,"Oui",$C$9:$C262,"&gt;="&amp;RelDebut,$C$9:$C262,"&lt;="&amp;RelFin),"")</f>
        <v/>
      </c>
    </row>
    <row r="263" spans="2:31" ht="18" customHeight="1" x14ac:dyDescent="0.25">
      <c r="B263" s="48" t="str">
        <f>IF(C263="","",COUNT($C$9:C263))</f>
        <v/>
      </c>
      <c r="C263" s="49"/>
      <c r="D263" s="51"/>
      <c r="E263" s="53"/>
      <c r="F263" s="51"/>
      <c r="G263" s="51"/>
      <c r="H263" s="51"/>
      <c r="I263" s="51"/>
      <c r="J263" s="59"/>
      <c r="K263" s="60"/>
      <c r="L263" s="61"/>
      <c r="M263" s="62"/>
      <c r="N263" s="63" t="str">
        <f t="shared" si="39"/>
        <v/>
      </c>
      <c r="O263" s="64" t="str">
        <f t="shared" si="40"/>
        <v/>
      </c>
      <c r="P263" s="65" t="str">
        <f t="shared" si="41"/>
        <v/>
      </c>
      <c r="Q263" s="66" t="str">
        <f t="shared" si="47"/>
        <v/>
      </c>
      <c r="R263" s="51"/>
      <c r="S263" s="60"/>
      <c r="T263" s="52" t="str">
        <f t="shared" si="42"/>
        <v/>
      </c>
      <c r="U263" s="51"/>
      <c r="V263" s="56" t="str">
        <f t="shared" si="43"/>
        <v/>
      </c>
      <c r="X263" s="57" t="str">
        <f t="shared" si="44"/>
        <v/>
      </c>
      <c r="Y263" s="57">
        <f t="shared" si="45"/>
        <v>0</v>
      </c>
      <c r="Z263" s="57">
        <f t="shared" si="48"/>
        <v>59990</v>
      </c>
      <c r="AA263" s="57">
        <f t="shared" si="49"/>
        <v>0</v>
      </c>
      <c r="AB263" s="57">
        <f t="shared" si="46"/>
        <v>0.2</v>
      </c>
      <c r="AC263" s="57" t="str">
        <f t="shared" si="50"/>
        <v/>
      </c>
      <c r="AD263" s="57" t="str">
        <f t="shared" si="51"/>
        <v/>
      </c>
      <c r="AE263" s="57" t="str">
        <f>IF(AND($D263=RelConducteur,$S263="Oui",ISNUMBER($C263),$C263&gt;=RelDebut,$C263&lt;=RelFin),COUNTIFS($D$9:$D263,RelConducteur,$S$9:$S263,"Oui",$C$9:$C263,"&gt;="&amp;RelDebut,$C$9:$C263,"&lt;="&amp;RelFin),"")</f>
        <v/>
      </c>
    </row>
    <row r="264" spans="2:31" ht="18" customHeight="1" x14ac:dyDescent="0.25">
      <c r="B264" s="48" t="str">
        <f>IF(C264="","",COUNT($C$9:C264))</f>
        <v/>
      </c>
      <c r="C264" s="49"/>
      <c r="D264" s="51"/>
      <c r="E264" s="53"/>
      <c r="F264" s="51"/>
      <c r="G264" s="51"/>
      <c r="H264" s="51"/>
      <c r="I264" s="51"/>
      <c r="J264" s="59"/>
      <c r="K264" s="60"/>
      <c r="L264" s="61"/>
      <c r="M264" s="62"/>
      <c r="N264" s="63" t="str">
        <f t="shared" si="39"/>
        <v/>
      </c>
      <c r="O264" s="64" t="str">
        <f t="shared" si="40"/>
        <v/>
      </c>
      <c r="P264" s="65" t="str">
        <f t="shared" si="41"/>
        <v/>
      </c>
      <c r="Q264" s="66" t="str">
        <f t="shared" si="47"/>
        <v/>
      </c>
      <c r="R264" s="51"/>
      <c r="S264" s="60"/>
      <c r="T264" s="52" t="str">
        <f t="shared" si="42"/>
        <v/>
      </c>
      <c r="U264" s="51"/>
      <c r="V264" s="56" t="str">
        <f t="shared" si="43"/>
        <v/>
      </c>
      <c r="X264" s="57" t="str">
        <f t="shared" si="44"/>
        <v/>
      </c>
      <c r="Y264" s="57">
        <f t="shared" si="45"/>
        <v>0</v>
      </c>
      <c r="Z264" s="57">
        <f t="shared" si="48"/>
        <v>59990</v>
      </c>
      <c r="AA264" s="57">
        <f t="shared" si="49"/>
        <v>0</v>
      </c>
      <c r="AB264" s="57">
        <f t="shared" si="46"/>
        <v>0.2</v>
      </c>
      <c r="AC264" s="57" t="str">
        <f t="shared" si="50"/>
        <v/>
      </c>
      <c r="AD264" s="57" t="str">
        <f t="shared" si="51"/>
        <v/>
      </c>
      <c r="AE264" s="57" t="str">
        <f>IF(AND($D264=RelConducteur,$S264="Oui",ISNUMBER($C264),$C264&gt;=RelDebut,$C264&lt;=RelFin),COUNTIFS($D$9:$D264,RelConducteur,$S$9:$S264,"Oui",$C$9:$C264,"&gt;="&amp;RelDebut,$C$9:$C264,"&lt;="&amp;RelFin),"")</f>
        <v/>
      </c>
    </row>
    <row r="265" spans="2:31" ht="18" customHeight="1" x14ac:dyDescent="0.25">
      <c r="B265" s="48" t="str">
        <f>IF(C265="","",COUNT($C$9:C265))</f>
        <v/>
      </c>
      <c r="C265" s="49"/>
      <c r="D265" s="51"/>
      <c r="E265" s="53"/>
      <c r="F265" s="51"/>
      <c r="G265" s="51"/>
      <c r="H265" s="51"/>
      <c r="I265" s="51"/>
      <c r="J265" s="59"/>
      <c r="K265" s="60"/>
      <c r="L265" s="61"/>
      <c r="M265" s="62"/>
      <c r="N265" s="63" t="str">
        <f t="shared" ref="N265:N328" si="52">IF(L265="","",L265/(1+AB265))</f>
        <v/>
      </c>
      <c r="O265" s="64" t="str">
        <f t="shared" ref="O265:O328" si="53">IF(L265="","",L265-N265)</f>
        <v/>
      </c>
      <c r="P265" s="65" t="str">
        <f t="shared" ref="P265:P328" si="54">IF(AND(Y265=1,N(J265)&gt;0,ISNUMBER(L265)),L265/J265,"")</f>
        <v/>
      </c>
      <c r="Q265" s="66" t="str">
        <f t="shared" si="47"/>
        <v/>
      </c>
      <c r="R265" s="51"/>
      <c r="S265" s="60"/>
      <c r="T265" s="52" t="str">
        <f t="shared" ref="T265:T328" si="55">IF(C265="","",IF(D265="","Non affecté",IFERROR(INDEX(CondService,MATCH(D265,CondNoms,0))&amp;"","Non affecté")))</f>
        <v/>
      </c>
      <c r="U265" s="51"/>
      <c r="V265" s="56" t="str">
        <f t="shared" ref="V265:V328" si="56">IF(C265="","",IF(OR(F265="",L265=""),"Incomplet",IF(X265="Catégorie inconnue","Catégorie inconnue",IF(AND(Y265=1,OR(E265="",J265="",K265="")),"Plein incomplet",IF(AND(ISNUMBER(E265),E265&lt;N(KmOuverture)),"Compteur &lt; ouverture",IF(AND(Y265=1,N(Capacite)&gt;0,N(J265)&gt;Capacite*1.02),"Quantité &gt; réservoir",IF(ISNUMBER(Q265),IF(AND(ConsoRef&gt;0,ABS(Q265/MAX(ConsoRef,0.0001)-1)&gt;SeuilConso),"Conso. atypique","Conforme"),IF(AND(G265&lt;&gt;"",E265="",X265="Entretien et réparations"),"Compteur manquant","Conforme"))))))))</f>
        <v/>
      </c>
      <c r="X265" s="57" t="str">
        <f t="shared" ref="X265:X328" si="57">IF(F265="","",IFERROR(INDEX(CatGroupe,MATCH(F265,CatNoms,0))&amp;"","Catégorie inconnue"))</f>
        <v/>
      </c>
      <c r="Y265" s="57">
        <f t="shared" ref="Y265:Y328" si="58">IF(X265="Énergie",1,0)</f>
        <v>0</v>
      </c>
      <c r="Z265" s="57">
        <f t="shared" si="48"/>
        <v>59990</v>
      </c>
      <c r="AA265" s="57">
        <f t="shared" si="49"/>
        <v>0</v>
      </c>
      <c r="AB265" s="57">
        <f t="shared" ref="AB265:AB328" si="59">IF(ISNUMBER(M265),M265,IFERROR(INDEX(CatTVA,MATCH(F265,CatNoms,0))*1,0.2))</f>
        <v>0.2</v>
      </c>
      <c r="AC265" s="57" t="str">
        <f t="shared" si="50"/>
        <v/>
      </c>
      <c r="AD265" s="57" t="str">
        <f t="shared" si="51"/>
        <v/>
      </c>
      <c r="AE265" s="57" t="str">
        <f>IF(AND($D265=RelConducteur,$S265="Oui",ISNUMBER($C265),$C265&gt;=RelDebut,$C265&lt;=RelFin),COUNTIFS($D$9:$D265,RelConducteur,$S$9:$S265,"Oui",$C$9:$C265,"&gt;="&amp;RelDebut,$C$9:$C265,"&lt;="&amp;RelFin),"")</f>
        <v/>
      </c>
    </row>
    <row r="266" spans="2:31" ht="18" customHeight="1" x14ac:dyDescent="0.25">
      <c r="B266" s="48" t="str">
        <f>IF(C266="","",COUNT($C$9:C266))</f>
        <v/>
      </c>
      <c r="C266" s="49"/>
      <c r="D266" s="51"/>
      <c r="E266" s="53"/>
      <c r="F266" s="51"/>
      <c r="G266" s="51"/>
      <c r="H266" s="51"/>
      <c r="I266" s="51"/>
      <c r="J266" s="59"/>
      <c r="K266" s="60"/>
      <c r="L266" s="61"/>
      <c r="M266" s="62"/>
      <c r="N266" s="63" t="str">
        <f t="shared" si="52"/>
        <v/>
      </c>
      <c r="O266" s="64" t="str">
        <f t="shared" si="53"/>
        <v/>
      </c>
      <c r="P266" s="65" t="str">
        <f t="shared" si="54"/>
        <v/>
      </c>
      <c r="Q266" s="66" t="str">
        <f t="shared" ref="Q266:Q329" si="60">IF(AND(Y266=1,K266="Oui",ISNUMBER(E266),ISNUMBER(Z265),N(J266)&gt;0),IF(E266&gt;Z265,(N(AA265)+N(J266))/(E266-Z265)*100,""),"")</f>
        <v/>
      </c>
      <c r="R266" s="51"/>
      <c r="S266" s="60"/>
      <c r="T266" s="52" t="str">
        <f t="shared" si="55"/>
        <v/>
      </c>
      <c r="U266" s="51"/>
      <c r="V266" s="56" t="str">
        <f t="shared" si="56"/>
        <v/>
      </c>
      <c r="X266" s="57" t="str">
        <f t="shared" si="57"/>
        <v/>
      </c>
      <c r="Y266" s="57">
        <f t="shared" si="58"/>
        <v>0</v>
      </c>
      <c r="Z266" s="57">
        <f t="shared" ref="Z266:Z329" si="61">IF(AND(Y266=1,K266="Oui",ISNUMBER(E266)),E266,Z265)</f>
        <v>59990</v>
      </c>
      <c r="AA266" s="57">
        <f t="shared" ref="AA266:AA329" si="62">IF(Y266=1,IF(K266="Oui",0,N(AA265)+N(J266)),N(AA265))</f>
        <v>0</v>
      </c>
      <c r="AB266" s="57">
        <f t="shared" si="59"/>
        <v>0.2</v>
      </c>
      <c r="AC266" s="57" t="str">
        <f t="shared" ref="AC266:AC329" si="63">IF(Q266="","",E266-Z265)</f>
        <v/>
      </c>
      <c r="AD266" s="57" t="str">
        <f t="shared" ref="AD266:AD329" si="64">IF(Q266="","",N(AA265)+N(J266))</f>
        <v/>
      </c>
      <c r="AE266" s="57" t="str">
        <f>IF(AND($D266=RelConducteur,$S266="Oui",ISNUMBER($C266),$C266&gt;=RelDebut,$C266&lt;=RelFin),COUNTIFS($D$9:$D266,RelConducteur,$S$9:$S266,"Oui",$C$9:$C266,"&gt;="&amp;RelDebut,$C$9:$C266,"&lt;="&amp;RelFin),"")</f>
        <v/>
      </c>
    </row>
    <row r="267" spans="2:31" ht="18" customHeight="1" x14ac:dyDescent="0.25">
      <c r="B267" s="48" t="str">
        <f>IF(C267="","",COUNT($C$9:C267))</f>
        <v/>
      </c>
      <c r="C267" s="49"/>
      <c r="D267" s="51"/>
      <c r="E267" s="53"/>
      <c r="F267" s="51"/>
      <c r="G267" s="51"/>
      <c r="H267" s="51"/>
      <c r="I267" s="51"/>
      <c r="J267" s="59"/>
      <c r="K267" s="60"/>
      <c r="L267" s="61"/>
      <c r="M267" s="62"/>
      <c r="N267" s="63" t="str">
        <f t="shared" si="52"/>
        <v/>
      </c>
      <c r="O267" s="64" t="str">
        <f t="shared" si="53"/>
        <v/>
      </c>
      <c r="P267" s="65" t="str">
        <f t="shared" si="54"/>
        <v/>
      </c>
      <c r="Q267" s="66" t="str">
        <f t="shared" si="60"/>
        <v/>
      </c>
      <c r="R267" s="51"/>
      <c r="S267" s="60"/>
      <c r="T267" s="52" t="str">
        <f t="shared" si="55"/>
        <v/>
      </c>
      <c r="U267" s="51"/>
      <c r="V267" s="56" t="str">
        <f t="shared" si="56"/>
        <v/>
      </c>
      <c r="X267" s="57" t="str">
        <f t="shared" si="57"/>
        <v/>
      </c>
      <c r="Y267" s="57">
        <f t="shared" si="58"/>
        <v>0</v>
      </c>
      <c r="Z267" s="57">
        <f t="shared" si="61"/>
        <v>59990</v>
      </c>
      <c r="AA267" s="57">
        <f t="shared" si="62"/>
        <v>0</v>
      </c>
      <c r="AB267" s="57">
        <f t="shared" si="59"/>
        <v>0.2</v>
      </c>
      <c r="AC267" s="57" t="str">
        <f t="shared" si="63"/>
        <v/>
      </c>
      <c r="AD267" s="57" t="str">
        <f t="shared" si="64"/>
        <v/>
      </c>
      <c r="AE267" s="57" t="str">
        <f>IF(AND($D267=RelConducteur,$S267="Oui",ISNUMBER($C267),$C267&gt;=RelDebut,$C267&lt;=RelFin),COUNTIFS($D$9:$D267,RelConducteur,$S$9:$S267,"Oui",$C$9:$C267,"&gt;="&amp;RelDebut,$C$9:$C267,"&lt;="&amp;RelFin),"")</f>
        <v/>
      </c>
    </row>
    <row r="268" spans="2:31" ht="18" customHeight="1" x14ac:dyDescent="0.25">
      <c r="B268" s="48" t="str">
        <f>IF(C268="","",COUNT($C$9:C268))</f>
        <v/>
      </c>
      <c r="C268" s="49"/>
      <c r="D268" s="51"/>
      <c r="E268" s="53"/>
      <c r="F268" s="51"/>
      <c r="G268" s="51"/>
      <c r="H268" s="51"/>
      <c r="I268" s="51"/>
      <c r="J268" s="59"/>
      <c r="K268" s="60"/>
      <c r="L268" s="61"/>
      <c r="M268" s="62"/>
      <c r="N268" s="63" t="str">
        <f t="shared" si="52"/>
        <v/>
      </c>
      <c r="O268" s="64" t="str">
        <f t="shared" si="53"/>
        <v/>
      </c>
      <c r="P268" s="65" t="str">
        <f t="shared" si="54"/>
        <v/>
      </c>
      <c r="Q268" s="66" t="str">
        <f t="shared" si="60"/>
        <v/>
      </c>
      <c r="R268" s="51"/>
      <c r="S268" s="60"/>
      <c r="T268" s="52" t="str">
        <f t="shared" si="55"/>
        <v/>
      </c>
      <c r="U268" s="51"/>
      <c r="V268" s="56" t="str">
        <f t="shared" si="56"/>
        <v/>
      </c>
      <c r="X268" s="57" t="str">
        <f t="shared" si="57"/>
        <v/>
      </c>
      <c r="Y268" s="57">
        <f t="shared" si="58"/>
        <v>0</v>
      </c>
      <c r="Z268" s="57">
        <f t="shared" si="61"/>
        <v>59990</v>
      </c>
      <c r="AA268" s="57">
        <f t="shared" si="62"/>
        <v>0</v>
      </c>
      <c r="AB268" s="57">
        <f t="shared" si="59"/>
        <v>0.2</v>
      </c>
      <c r="AC268" s="57" t="str">
        <f t="shared" si="63"/>
        <v/>
      </c>
      <c r="AD268" s="57" t="str">
        <f t="shared" si="64"/>
        <v/>
      </c>
      <c r="AE268" s="57" t="str">
        <f>IF(AND($D268=RelConducteur,$S268="Oui",ISNUMBER($C268),$C268&gt;=RelDebut,$C268&lt;=RelFin),COUNTIFS($D$9:$D268,RelConducteur,$S$9:$S268,"Oui",$C$9:$C268,"&gt;="&amp;RelDebut,$C$9:$C268,"&lt;="&amp;RelFin),"")</f>
        <v/>
      </c>
    </row>
    <row r="269" spans="2:31" ht="18" customHeight="1" x14ac:dyDescent="0.25">
      <c r="B269" s="48" t="str">
        <f>IF(C269="","",COUNT($C$9:C269))</f>
        <v/>
      </c>
      <c r="C269" s="49"/>
      <c r="D269" s="51"/>
      <c r="E269" s="53"/>
      <c r="F269" s="51"/>
      <c r="G269" s="51"/>
      <c r="H269" s="51"/>
      <c r="I269" s="51"/>
      <c r="J269" s="59"/>
      <c r="K269" s="60"/>
      <c r="L269" s="61"/>
      <c r="M269" s="62"/>
      <c r="N269" s="63" t="str">
        <f t="shared" si="52"/>
        <v/>
      </c>
      <c r="O269" s="64" t="str">
        <f t="shared" si="53"/>
        <v/>
      </c>
      <c r="P269" s="65" t="str">
        <f t="shared" si="54"/>
        <v/>
      </c>
      <c r="Q269" s="66" t="str">
        <f t="shared" si="60"/>
        <v/>
      </c>
      <c r="R269" s="51"/>
      <c r="S269" s="60"/>
      <c r="T269" s="52" t="str">
        <f t="shared" si="55"/>
        <v/>
      </c>
      <c r="U269" s="51"/>
      <c r="V269" s="56" t="str">
        <f t="shared" si="56"/>
        <v/>
      </c>
      <c r="X269" s="57" t="str">
        <f t="shared" si="57"/>
        <v/>
      </c>
      <c r="Y269" s="57">
        <f t="shared" si="58"/>
        <v>0</v>
      </c>
      <c r="Z269" s="57">
        <f t="shared" si="61"/>
        <v>59990</v>
      </c>
      <c r="AA269" s="57">
        <f t="shared" si="62"/>
        <v>0</v>
      </c>
      <c r="AB269" s="57">
        <f t="shared" si="59"/>
        <v>0.2</v>
      </c>
      <c r="AC269" s="57" t="str">
        <f t="shared" si="63"/>
        <v/>
      </c>
      <c r="AD269" s="57" t="str">
        <f t="shared" si="64"/>
        <v/>
      </c>
      <c r="AE269" s="57" t="str">
        <f>IF(AND($D269=RelConducteur,$S269="Oui",ISNUMBER($C269),$C269&gt;=RelDebut,$C269&lt;=RelFin),COUNTIFS($D$9:$D269,RelConducteur,$S$9:$S269,"Oui",$C$9:$C269,"&gt;="&amp;RelDebut,$C$9:$C269,"&lt;="&amp;RelFin),"")</f>
        <v/>
      </c>
    </row>
    <row r="270" spans="2:31" ht="18" customHeight="1" x14ac:dyDescent="0.25">
      <c r="B270" s="48" t="str">
        <f>IF(C270="","",COUNT($C$9:C270))</f>
        <v/>
      </c>
      <c r="C270" s="49"/>
      <c r="D270" s="51"/>
      <c r="E270" s="53"/>
      <c r="F270" s="51"/>
      <c r="G270" s="51"/>
      <c r="H270" s="51"/>
      <c r="I270" s="51"/>
      <c r="J270" s="59"/>
      <c r="K270" s="60"/>
      <c r="L270" s="61"/>
      <c r="M270" s="62"/>
      <c r="N270" s="63" t="str">
        <f t="shared" si="52"/>
        <v/>
      </c>
      <c r="O270" s="64" t="str">
        <f t="shared" si="53"/>
        <v/>
      </c>
      <c r="P270" s="65" t="str">
        <f t="shared" si="54"/>
        <v/>
      </c>
      <c r="Q270" s="66" t="str">
        <f t="shared" si="60"/>
        <v/>
      </c>
      <c r="R270" s="51"/>
      <c r="S270" s="60"/>
      <c r="T270" s="52" t="str">
        <f t="shared" si="55"/>
        <v/>
      </c>
      <c r="U270" s="51"/>
      <c r="V270" s="56" t="str">
        <f t="shared" si="56"/>
        <v/>
      </c>
      <c r="X270" s="57" t="str">
        <f t="shared" si="57"/>
        <v/>
      </c>
      <c r="Y270" s="57">
        <f t="shared" si="58"/>
        <v>0</v>
      </c>
      <c r="Z270" s="57">
        <f t="shared" si="61"/>
        <v>59990</v>
      </c>
      <c r="AA270" s="57">
        <f t="shared" si="62"/>
        <v>0</v>
      </c>
      <c r="AB270" s="57">
        <f t="shared" si="59"/>
        <v>0.2</v>
      </c>
      <c r="AC270" s="57" t="str">
        <f t="shared" si="63"/>
        <v/>
      </c>
      <c r="AD270" s="57" t="str">
        <f t="shared" si="64"/>
        <v/>
      </c>
      <c r="AE270" s="57" t="str">
        <f>IF(AND($D270=RelConducteur,$S270="Oui",ISNUMBER($C270),$C270&gt;=RelDebut,$C270&lt;=RelFin),COUNTIFS($D$9:$D270,RelConducteur,$S$9:$S270,"Oui",$C$9:$C270,"&gt;="&amp;RelDebut,$C$9:$C270,"&lt;="&amp;RelFin),"")</f>
        <v/>
      </c>
    </row>
    <row r="271" spans="2:31" ht="18" customHeight="1" x14ac:dyDescent="0.25">
      <c r="B271" s="48" t="str">
        <f>IF(C271="","",COUNT($C$9:C271))</f>
        <v/>
      </c>
      <c r="C271" s="49"/>
      <c r="D271" s="51"/>
      <c r="E271" s="53"/>
      <c r="F271" s="51"/>
      <c r="G271" s="51"/>
      <c r="H271" s="51"/>
      <c r="I271" s="51"/>
      <c r="J271" s="59"/>
      <c r="K271" s="60"/>
      <c r="L271" s="61"/>
      <c r="M271" s="62"/>
      <c r="N271" s="63" t="str">
        <f t="shared" si="52"/>
        <v/>
      </c>
      <c r="O271" s="64" t="str">
        <f t="shared" si="53"/>
        <v/>
      </c>
      <c r="P271" s="65" t="str">
        <f t="shared" si="54"/>
        <v/>
      </c>
      <c r="Q271" s="66" t="str">
        <f t="shared" si="60"/>
        <v/>
      </c>
      <c r="R271" s="51"/>
      <c r="S271" s="60"/>
      <c r="T271" s="52" t="str">
        <f t="shared" si="55"/>
        <v/>
      </c>
      <c r="U271" s="51"/>
      <c r="V271" s="56" t="str">
        <f t="shared" si="56"/>
        <v/>
      </c>
      <c r="X271" s="57" t="str">
        <f t="shared" si="57"/>
        <v/>
      </c>
      <c r="Y271" s="57">
        <f t="shared" si="58"/>
        <v>0</v>
      </c>
      <c r="Z271" s="57">
        <f t="shared" si="61"/>
        <v>59990</v>
      </c>
      <c r="AA271" s="57">
        <f t="shared" si="62"/>
        <v>0</v>
      </c>
      <c r="AB271" s="57">
        <f t="shared" si="59"/>
        <v>0.2</v>
      </c>
      <c r="AC271" s="57" t="str">
        <f t="shared" si="63"/>
        <v/>
      </c>
      <c r="AD271" s="57" t="str">
        <f t="shared" si="64"/>
        <v/>
      </c>
      <c r="AE271" s="57" t="str">
        <f>IF(AND($D271=RelConducteur,$S271="Oui",ISNUMBER($C271),$C271&gt;=RelDebut,$C271&lt;=RelFin),COUNTIFS($D$9:$D271,RelConducteur,$S$9:$S271,"Oui",$C$9:$C271,"&gt;="&amp;RelDebut,$C$9:$C271,"&lt;="&amp;RelFin),"")</f>
        <v/>
      </c>
    </row>
    <row r="272" spans="2:31" ht="18" customHeight="1" x14ac:dyDescent="0.25">
      <c r="B272" s="48" t="str">
        <f>IF(C272="","",COUNT($C$9:C272))</f>
        <v/>
      </c>
      <c r="C272" s="49"/>
      <c r="D272" s="51"/>
      <c r="E272" s="53"/>
      <c r="F272" s="51"/>
      <c r="G272" s="51"/>
      <c r="H272" s="51"/>
      <c r="I272" s="51"/>
      <c r="J272" s="59"/>
      <c r="K272" s="60"/>
      <c r="L272" s="61"/>
      <c r="M272" s="62"/>
      <c r="N272" s="63" t="str">
        <f t="shared" si="52"/>
        <v/>
      </c>
      <c r="O272" s="64" t="str">
        <f t="shared" si="53"/>
        <v/>
      </c>
      <c r="P272" s="65" t="str">
        <f t="shared" si="54"/>
        <v/>
      </c>
      <c r="Q272" s="66" t="str">
        <f t="shared" si="60"/>
        <v/>
      </c>
      <c r="R272" s="51"/>
      <c r="S272" s="60"/>
      <c r="T272" s="52" t="str">
        <f t="shared" si="55"/>
        <v/>
      </c>
      <c r="U272" s="51"/>
      <c r="V272" s="56" t="str">
        <f t="shared" si="56"/>
        <v/>
      </c>
      <c r="X272" s="57" t="str">
        <f t="shared" si="57"/>
        <v/>
      </c>
      <c r="Y272" s="57">
        <f t="shared" si="58"/>
        <v>0</v>
      </c>
      <c r="Z272" s="57">
        <f t="shared" si="61"/>
        <v>59990</v>
      </c>
      <c r="AA272" s="57">
        <f t="shared" si="62"/>
        <v>0</v>
      </c>
      <c r="AB272" s="57">
        <f t="shared" si="59"/>
        <v>0.2</v>
      </c>
      <c r="AC272" s="57" t="str">
        <f t="shared" si="63"/>
        <v/>
      </c>
      <c r="AD272" s="57" t="str">
        <f t="shared" si="64"/>
        <v/>
      </c>
      <c r="AE272" s="57" t="str">
        <f>IF(AND($D272=RelConducteur,$S272="Oui",ISNUMBER($C272),$C272&gt;=RelDebut,$C272&lt;=RelFin),COUNTIFS($D$9:$D272,RelConducteur,$S$9:$S272,"Oui",$C$9:$C272,"&gt;="&amp;RelDebut,$C$9:$C272,"&lt;="&amp;RelFin),"")</f>
        <v/>
      </c>
    </row>
    <row r="273" spans="2:31" ht="18" customHeight="1" x14ac:dyDescent="0.25">
      <c r="B273" s="48" t="str">
        <f>IF(C273="","",COUNT($C$9:C273))</f>
        <v/>
      </c>
      <c r="C273" s="49"/>
      <c r="D273" s="51"/>
      <c r="E273" s="53"/>
      <c r="F273" s="51"/>
      <c r="G273" s="51"/>
      <c r="H273" s="51"/>
      <c r="I273" s="51"/>
      <c r="J273" s="59"/>
      <c r="K273" s="60"/>
      <c r="L273" s="61"/>
      <c r="M273" s="62"/>
      <c r="N273" s="63" t="str">
        <f t="shared" si="52"/>
        <v/>
      </c>
      <c r="O273" s="64" t="str">
        <f t="shared" si="53"/>
        <v/>
      </c>
      <c r="P273" s="65" t="str">
        <f t="shared" si="54"/>
        <v/>
      </c>
      <c r="Q273" s="66" t="str">
        <f t="shared" si="60"/>
        <v/>
      </c>
      <c r="R273" s="51"/>
      <c r="S273" s="60"/>
      <c r="T273" s="52" t="str">
        <f t="shared" si="55"/>
        <v/>
      </c>
      <c r="U273" s="51"/>
      <c r="V273" s="56" t="str">
        <f t="shared" si="56"/>
        <v/>
      </c>
      <c r="X273" s="57" t="str">
        <f t="shared" si="57"/>
        <v/>
      </c>
      <c r="Y273" s="57">
        <f t="shared" si="58"/>
        <v>0</v>
      </c>
      <c r="Z273" s="57">
        <f t="shared" si="61"/>
        <v>59990</v>
      </c>
      <c r="AA273" s="57">
        <f t="shared" si="62"/>
        <v>0</v>
      </c>
      <c r="AB273" s="57">
        <f t="shared" si="59"/>
        <v>0.2</v>
      </c>
      <c r="AC273" s="57" t="str">
        <f t="shared" si="63"/>
        <v/>
      </c>
      <c r="AD273" s="57" t="str">
        <f t="shared" si="64"/>
        <v/>
      </c>
      <c r="AE273" s="57" t="str">
        <f>IF(AND($D273=RelConducteur,$S273="Oui",ISNUMBER($C273),$C273&gt;=RelDebut,$C273&lt;=RelFin),COUNTIFS($D$9:$D273,RelConducteur,$S$9:$S273,"Oui",$C$9:$C273,"&gt;="&amp;RelDebut,$C$9:$C273,"&lt;="&amp;RelFin),"")</f>
        <v/>
      </c>
    </row>
    <row r="274" spans="2:31" ht="18" customHeight="1" x14ac:dyDescent="0.25">
      <c r="B274" s="48" t="str">
        <f>IF(C274="","",COUNT($C$9:C274))</f>
        <v/>
      </c>
      <c r="C274" s="49"/>
      <c r="D274" s="51"/>
      <c r="E274" s="53"/>
      <c r="F274" s="51"/>
      <c r="G274" s="51"/>
      <c r="H274" s="51"/>
      <c r="I274" s="51"/>
      <c r="J274" s="59"/>
      <c r="K274" s="60"/>
      <c r="L274" s="61"/>
      <c r="M274" s="62"/>
      <c r="N274" s="63" t="str">
        <f t="shared" si="52"/>
        <v/>
      </c>
      <c r="O274" s="64" t="str">
        <f t="shared" si="53"/>
        <v/>
      </c>
      <c r="P274" s="65" t="str">
        <f t="shared" si="54"/>
        <v/>
      </c>
      <c r="Q274" s="66" t="str">
        <f t="shared" si="60"/>
        <v/>
      </c>
      <c r="R274" s="51"/>
      <c r="S274" s="60"/>
      <c r="T274" s="52" t="str">
        <f t="shared" si="55"/>
        <v/>
      </c>
      <c r="U274" s="51"/>
      <c r="V274" s="56" t="str">
        <f t="shared" si="56"/>
        <v/>
      </c>
      <c r="X274" s="57" t="str">
        <f t="shared" si="57"/>
        <v/>
      </c>
      <c r="Y274" s="57">
        <f t="shared" si="58"/>
        <v>0</v>
      </c>
      <c r="Z274" s="57">
        <f t="shared" si="61"/>
        <v>59990</v>
      </c>
      <c r="AA274" s="57">
        <f t="shared" si="62"/>
        <v>0</v>
      </c>
      <c r="AB274" s="57">
        <f t="shared" si="59"/>
        <v>0.2</v>
      </c>
      <c r="AC274" s="57" t="str">
        <f t="shared" si="63"/>
        <v/>
      </c>
      <c r="AD274" s="57" t="str">
        <f t="shared" si="64"/>
        <v/>
      </c>
      <c r="AE274" s="57" t="str">
        <f>IF(AND($D274=RelConducteur,$S274="Oui",ISNUMBER($C274),$C274&gt;=RelDebut,$C274&lt;=RelFin),COUNTIFS($D$9:$D274,RelConducteur,$S$9:$S274,"Oui",$C$9:$C274,"&gt;="&amp;RelDebut,$C$9:$C274,"&lt;="&amp;RelFin),"")</f>
        <v/>
      </c>
    </row>
    <row r="275" spans="2:31" ht="18" customHeight="1" x14ac:dyDescent="0.25">
      <c r="B275" s="48" t="str">
        <f>IF(C275="","",COUNT($C$9:C275))</f>
        <v/>
      </c>
      <c r="C275" s="49"/>
      <c r="D275" s="51"/>
      <c r="E275" s="53"/>
      <c r="F275" s="51"/>
      <c r="G275" s="51"/>
      <c r="H275" s="51"/>
      <c r="I275" s="51"/>
      <c r="J275" s="59"/>
      <c r="K275" s="60"/>
      <c r="L275" s="61"/>
      <c r="M275" s="62"/>
      <c r="N275" s="63" t="str">
        <f t="shared" si="52"/>
        <v/>
      </c>
      <c r="O275" s="64" t="str">
        <f t="shared" si="53"/>
        <v/>
      </c>
      <c r="P275" s="65" t="str">
        <f t="shared" si="54"/>
        <v/>
      </c>
      <c r="Q275" s="66" t="str">
        <f t="shared" si="60"/>
        <v/>
      </c>
      <c r="R275" s="51"/>
      <c r="S275" s="60"/>
      <c r="T275" s="52" t="str">
        <f t="shared" si="55"/>
        <v/>
      </c>
      <c r="U275" s="51"/>
      <c r="V275" s="56" t="str">
        <f t="shared" si="56"/>
        <v/>
      </c>
      <c r="X275" s="57" t="str">
        <f t="shared" si="57"/>
        <v/>
      </c>
      <c r="Y275" s="57">
        <f t="shared" si="58"/>
        <v>0</v>
      </c>
      <c r="Z275" s="57">
        <f t="shared" si="61"/>
        <v>59990</v>
      </c>
      <c r="AA275" s="57">
        <f t="shared" si="62"/>
        <v>0</v>
      </c>
      <c r="AB275" s="57">
        <f t="shared" si="59"/>
        <v>0.2</v>
      </c>
      <c r="AC275" s="57" t="str">
        <f t="shared" si="63"/>
        <v/>
      </c>
      <c r="AD275" s="57" t="str">
        <f t="shared" si="64"/>
        <v/>
      </c>
      <c r="AE275" s="57" t="str">
        <f>IF(AND($D275=RelConducteur,$S275="Oui",ISNUMBER($C275),$C275&gt;=RelDebut,$C275&lt;=RelFin),COUNTIFS($D$9:$D275,RelConducteur,$S$9:$S275,"Oui",$C$9:$C275,"&gt;="&amp;RelDebut,$C$9:$C275,"&lt;="&amp;RelFin),"")</f>
        <v/>
      </c>
    </row>
    <row r="276" spans="2:31" ht="18" customHeight="1" x14ac:dyDescent="0.25">
      <c r="B276" s="48" t="str">
        <f>IF(C276="","",COUNT($C$9:C276))</f>
        <v/>
      </c>
      <c r="C276" s="49"/>
      <c r="D276" s="51"/>
      <c r="E276" s="53"/>
      <c r="F276" s="51"/>
      <c r="G276" s="51"/>
      <c r="H276" s="51"/>
      <c r="I276" s="51"/>
      <c r="J276" s="59"/>
      <c r="K276" s="60"/>
      <c r="L276" s="61"/>
      <c r="M276" s="62"/>
      <c r="N276" s="63" t="str">
        <f t="shared" si="52"/>
        <v/>
      </c>
      <c r="O276" s="64" t="str">
        <f t="shared" si="53"/>
        <v/>
      </c>
      <c r="P276" s="65" t="str">
        <f t="shared" si="54"/>
        <v/>
      </c>
      <c r="Q276" s="66" t="str">
        <f t="shared" si="60"/>
        <v/>
      </c>
      <c r="R276" s="51"/>
      <c r="S276" s="60"/>
      <c r="T276" s="52" t="str">
        <f t="shared" si="55"/>
        <v/>
      </c>
      <c r="U276" s="51"/>
      <c r="V276" s="56" t="str">
        <f t="shared" si="56"/>
        <v/>
      </c>
      <c r="X276" s="57" t="str">
        <f t="shared" si="57"/>
        <v/>
      </c>
      <c r="Y276" s="57">
        <f t="shared" si="58"/>
        <v>0</v>
      </c>
      <c r="Z276" s="57">
        <f t="shared" si="61"/>
        <v>59990</v>
      </c>
      <c r="AA276" s="57">
        <f t="shared" si="62"/>
        <v>0</v>
      </c>
      <c r="AB276" s="57">
        <f t="shared" si="59"/>
        <v>0.2</v>
      </c>
      <c r="AC276" s="57" t="str">
        <f t="shared" si="63"/>
        <v/>
      </c>
      <c r="AD276" s="57" t="str">
        <f t="shared" si="64"/>
        <v/>
      </c>
      <c r="AE276" s="57" t="str">
        <f>IF(AND($D276=RelConducteur,$S276="Oui",ISNUMBER($C276),$C276&gt;=RelDebut,$C276&lt;=RelFin),COUNTIFS($D$9:$D276,RelConducteur,$S$9:$S276,"Oui",$C$9:$C276,"&gt;="&amp;RelDebut,$C$9:$C276,"&lt;="&amp;RelFin),"")</f>
        <v/>
      </c>
    </row>
    <row r="277" spans="2:31" ht="18" customHeight="1" x14ac:dyDescent="0.25">
      <c r="B277" s="48" t="str">
        <f>IF(C277="","",COUNT($C$9:C277))</f>
        <v/>
      </c>
      <c r="C277" s="49"/>
      <c r="D277" s="51"/>
      <c r="E277" s="53"/>
      <c r="F277" s="51"/>
      <c r="G277" s="51"/>
      <c r="H277" s="51"/>
      <c r="I277" s="51"/>
      <c r="J277" s="59"/>
      <c r="K277" s="60"/>
      <c r="L277" s="61"/>
      <c r="M277" s="62"/>
      <c r="N277" s="63" t="str">
        <f t="shared" si="52"/>
        <v/>
      </c>
      <c r="O277" s="64" t="str">
        <f t="shared" si="53"/>
        <v/>
      </c>
      <c r="P277" s="65" t="str">
        <f t="shared" si="54"/>
        <v/>
      </c>
      <c r="Q277" s="66" t="str">
        <f t="shared" si="60"/>
        <v/>
      </c>
      <c r="R277" s="51"/>
      <c r="S277" s="60"/>
      <c r="T277" s="52" t="str">
        <f t="shared" si="55"/>
        <v/>
      </c>
      <c r="U277" s="51"/>
      <c r="V277" s="56" t="str">
        <f t="shared" si="56"/>
        <v/>
      </c>
      <c r="X277" s="57" t="str">
        <f t="shared" si="57"/>
        <v/>
      </c>
      <c r="Y277" s="57">
        <f t="shared" si="58"/>
        <v>0</v>
      </c>
      <c r="Z277" s="57">
        <f t="shared" si="61"/>
        <v>59990</v>
      </c>
      <c r="AA277" s="57">
        <f t="shared" si="62"/>
        <v>0</v>
      </c>
      <c r="AB277" s="57">
        <f t="shared" si="59"/>
        <v>0.2</v>
      </c>
      <c r="AC277" s="57" t="str">
        <f t="shared" si="63"/>
        <v/>
      </c>
      <c r="AD277" s="57" t="str">
        <f t="shared" si="64"/>
        <v/>
      </c>
      <c r="AE277" s="57" t="str">
        <f>IF(AND($D277=RelConducteur,$S277="Oui",ISNUMBER($C277),$C277&gt;=RelDebut,$C277&lt;=RelFin),COUNTIFS($D$9:$D277,RelConducteur,$S$9:$S277,"Oui",$C$9:$C277,"&gt;="&amp;RelDebut,$C$9:$C277,"&lt;="&amp;RelFin),"")</f>
        <v/>
      </c>
    </row>
    <row r="278" spans="2:31" ht="18" customHeight="1" x14ac:dyDescent="0.25">
      <c r="B278" s="48" t="str">
        <f>IF(C278="","",COUNT($C$9:C278))</f>
        <v/>
      </c>
      <c r="C278" s="49"/>
      <c r="D278" s="51"/>
      <c r="E278" s="53"/>
      <c r="F278" s="51"/>
      <c r="G278" s="51"/>
      <c r="H278" s="51"/>
      <c r="I278" s="51"/>
      <c r="J278" s="59"/>
      <c r="K278" s="60"/>
      <c r="L278" s="61"/>
      <c r="M278" s="62"/>
      <c r="N278" s="63" t="str">
        <f t="shared" si="52"/>
        <v/>
      </c>
      <c r="O278" s="64" t="str">
        <f t="shared" si="53"/>
        <v/>
      </c>
      <c r="P278" s="65" t="str">
        <f t="shared" si="54"/>
        <v/>
      </c>
      <c r="Q278" s="66" t="str">
        <f t="shared" si="60"/>
        <v/>
      </c>
      <c r="R278" s="51"/>
      <c r="S278" s="60"/>
      <c r="T278" s="52" t="str">
        <f t="shared" si="55"/>
        <v/>
      </c>
      <c r="U278" s="51"/>
      <c r="V278" s="56" t="str">
        <f t="shared" si="56"/>
        <v/>
      </c>
      <c r="X278" s="57" t="str">
        <f t="shared" si="57"/>
        <v/>
      </c>
      <c r="Y278" s="57">
        <f t="shared" si="58"/>
        <v>0</v>
      </c>
      <c r="Z278" s="57">
        <f t="shared" si="61"/>
        <v>59990</v>
      </c>
      <c r="AA278" s="57">
        <f t="shared" si="62"/>
        <v>0</v>
      </c>
      <c r="AB278" s="57">
        <f t="shared" si="59"/>
        <v>0.2</v>
      </c>
      <c r="AC278" s="57" t="str">
        <f t="shared" si="63"/>
        <v/>
      </c>
      <c r="AD278" s="57" t="str">
        <f t="shared" si="64"/>
        <v/>
      </c>
      <c r="AE278" s="57" t="str">
        <f>IF(AND($D278=RelConducteur,$S278="Oui",ISNUMBER($C278),$C278&gt;=RelDebut,$C278&lt;=RelFin),COUNTIFS($D$9:$D278,RelConducteur,$S$9:$S278,"Oui",$C$9:$C278,"&gt;="&amp;RelDebut,$C$9:$C278,"&lt;="&amp;RelFin),"")</f>
        <v/>
      </c>
    </row>
    <row r="279" spans="2:31" ht="18" customHeight="1" x14ac:dyDescent="0.25">
      <c r="B279" s="48" t="str">
        <f>IF(C279="","",COUNT($C$9:C279))</f>
        <v/>
      </c>
      <c r="C279" s="49"/>
      <c r="D279" s="51"/>
      <c r="E279" s="53"/>
      <c r="F279" s="51"/>
      <c r="G279" s="51"/>
      <c r="H279" s="51"/>
      <c r="I279" s="51"/>
      <c r="J279" s="59"/>
      <c r="K279" s="60"/>
      <c r="L279" s="61"/>
      <c r="M279" s="62"/>
      <c r="N279" s="63" t="str">
        <f t="shared" si="52"/>
        <v/>
      </c>
      <c r="O279" s="64" t="str">
        <f t="shared" si="53"/>
        <v/>
      </c>
      <c r="P279" s="65" t="str">
        <f t="shared" si="54"/>
        <v/>
      </c>
      <c r="Q279" s="66" t="str">
        <f t="shared" si="60"/>
        <v/>
      </c>
      <c r="R279" s="51"/>
      <c r="S279" s="60"/>
      <c r="T279" s="52" t="str">
        <f t="shared" si="55"/>
        <v/>
      </c>
      <c r="U279" s="51"/>
      <c r="V279" s="56" t="str">
        <f t="shared" si="56"/>
        <v/>
      </c>
      <c r="X279" s="57" t="str">
        <f t="shared" si="57"/>
        <v/>
      </c>
      <c r="Y279" s="57">
        <f t="shared" si="58"/>
        <v>0</v>
      </c>
      <c r="Z279" s="57">
        <f t="shared" si="61"/>
        <v>59990</v>
      </c>
      <c r="AA279" s="57">
        <f t="shared" si="62"/>
        <v>0</v>
      </c>
      <c r="AB279" s="57">
        <f t="shared" si="59"/>
        <v>0.2</v>
      </c>
      <c r="AC279" s="57" t="str">
        <f t="shared" si="63"/>
        <v/>
      </c>
      <c r="AD279" s="57" t="str">
        <f t="shared" si="64"/>
        <v/>
      </c>
      <c r="AE279" s="57" t="str">
        <f>IF(AND($D279=RelConducteur,$S279="Oui",ISNUMBER($C279),$C279&gt;=RelDebut,$C279&lt;=RelFin),COUNTIFS($D$9:$D279,RelConducteur,$S$9:$S279,"Oui",$C$9:$C279,"&gt;="&amp;RelDebut,$C$9:$C279,"&lt;="&amp;RelFin),"")</f>
        <v/>
      </c>
    </row>
    <row r="280" spans="2:31" ht="18" customHeight="1" x14ac:dyDescent="0.25">
      <c r="B280" s="48" t="str">
        <f>IF(C280="","",COUNT($C$9:C280))</f>
        <v/>
      </c>
      <c r="C280" s="49"/>
      <c r="D280" s="51"/>
      <c r="E280" s="53"/>
      <c r="F280" s="51"/>
      <c r="G280" s="51"/>
      <c r="H280" s="51"/>
      <c r="I280" s="51"/>
      <c r="J280" s="59"/>
      <c r="K280" s="60"/>
      <c r="L280" s="61"/>
      <c r="M280" s="62"/>
      <c r="N280" s="63" t="str">
        <f t="shared" si="52"/>
        <v/>
      </c>
      <c r="O280" s="64" t="str">
        <f t="shared" si="53"/>
        <v/>
      </c>
      <c r="P280" s="65" t="str">
        <f t="shared" si="54"/>
        <v/>
      </c>
      <c r="Q280" s="66" t="str">
        <f t="shared" si="60"/>
        <v/>
      </c>
      <c r="R280" s="51"/>
      <c r="S280" s="60"/>
      <c r="T280" s="52" t="str">
        <f t="shared" si="55"/>
        <v/>
      </c>
      <c r="U280" s="51"/>
      <c r="V280" s="56" t="str">
        <f t="shared" si="56"/>
        <v/>
      </c>
      <c r="X280" s="57" t="str">
        <f t="shared" si="57"/>
        <v/>
      </c>
      <c r="Y280" s="57">
        <f t="shared" si="58"/>
        <v>0</v>
      </c>
      <c r="Z280" s="57">
        <f t="shared" si="61"/>
        <v>59990</v>
      </c>
      <c r="AA280" s="57">
        <f t="shared" si="62"/>
        <v>0</v>
      </c>
      <c r="AB280" s="57">
        <f t="shared" si="59"/>
        <v>0.2</v>
      </c>
      <c r="AC280" s="57" t="str">
        <f t="shared" si="63"/>
        <v/>
      </c>
      <c r="AD280" s="57" t="str">
        <f t="shared" si="64"/>
        <v/>
      </c>
      <c r="AE280" s="57" t="str">
        <f>IF(AND($D280=RelConducteur,$S280="Oui",ISNUMBER($C280),$C280&gt;=RelDebut,$C280&lt;=RelFin),COUNTIFS($D$9:$D280,RelConducteur,$S$9:$S280,"Oui",$C$9:$C280,"&gt;="&amp;RelDebut,$C$9:$C280,"&lt;="&amp;RelFin),"")</f>
        <v/>
      </c>
    </row>
    <row r="281" spans="2:31" ht="18" customHeight="1" x14ac:dyDescent="0.25">
      <c r="B281" s="48" t="str">
        <f>IF(C281="","",COUNT($C$9:C281))</f>
        <v/>
      </c>
      <c r="C281" s="49"/>
      <c r="D281" s="51"/>
      <c r="E281" s="53"/>
      <c r="F281" s="51"/>
      <c r="G281" s="51"/>
      <c r="H281" s="51"/>
      <c r="I281" s="51"/>
      <c r="J281" s="59"/>
      <c r="K281" s="60"/>
      <c r="L281" s="61"/>
      <c r="M281" s="62"/>
      <c r="N281" s="63" t="str">
        <f t="shared" si="52"/>
        <v/>
      </c>
      <c r="O281" s="64" t="str">
        <f t="shared" si="53"/>
        <v/>
      </c>
      <c r="P281" s="65" t="str">
        <f t="shared" si="54"/>
        <v/>
      </c>
      <c r="Q281" s="66" t="str">
        <f t="shared" si="60"/>
        <v/>
      </c>
      <c r="R281" s="51"/>
      <c r="S281" s="60"/>
      <c r="T281" s="52" t="str">
        <f t="shared" si="55"/>
        <v/>
      </c>
      <c r="U281" s="51"/>
      <c r="V281" s="56" t="str">
        <f t="shared" si="56"/>
        <v/>
      </c>
      <c r="X281" s="57" t="str">
        <f t="shared" si="57"/>
        <v/>
      </c>
      <c r="Y281" s="57">
        <f t="shared" si="58"/>
        <v>0</v>
      </c>
      <c r="Z281" s="57">
        <f t="shared" si="61"/>
        <v>59990</v>
      </c>
      <c r="AA281" s="57">
        <f t="shared" si="62"/>
        <v>0</v>
      </c>
      <c r="AB281" s="57">
        <f t="shared" si="59"/>
        <v>0.2</v>
      </c>
      <c r="AC281" s="57" t="str">
        <f t="shared" si="63"/>
        <v/>
      </c>
      <c r="AD281" s="57" t="str">
        <f t="shared" si="64"/>
        <v/>
      </c>
      <c r="AE281" s="57" t="str">
        <f>IF(AND($D281=RelConducteur,$S281="Oui",ISNUMBER($C281),$C281&gt;=RelDebut,$C281&lt;=RelFin),COUNTIFS($D$9:$D281,RelConducteur,$S$9:$S281,"Oui",$C$9:$C281,"&gt;="&amp;RelDebut,$C$9:$C281,"&lt;="&amp;RelFin),"")</f>
        <v/>
      </c>
    </row>
    <row r="282" spans="2:31" ht="18" customHeight="1" x14ac:dyDescent="0.25">
      <c r="B282" s="48" t="str">
        <f>IF(C282="","",COUNT($C$9:C282))</f>
        <v/>
      </c>
      <c r="C282" s="49"/>
      <c r="D282" s="51"/>
      <c r="E282" s="53"/>
      <c r="F282" s="51"/>
      <c r="G282" s="51"/>
      <c r="H282" s="51"/>
      <c r="I282" s="51"/>
      <c r="J282" s="59"/>
      <c r="K282" s="60"/>
      <c r="L282" s="61"/>
      <c r="M282" s="62"/>
      <c r="N282" s="63" t="str">
        <f t="shared" si="52"/>
        <v/>
      </c>
      <c r="O282" s="64" t="str">
        <f t="shared" si="53"/>
        <v/>
      </c>
      <c r="P282" s="65" t="str">
        <f t="shared" si="54"/>
        <v/>
      </c>
      <c r="Q282" s="66" t="str">
        <f t="shared" si="60"/>
        <v/>
      </c>
      <c r="R282" s="51"/>
      <c r="S282" s="60"/>
      <c r="T282" s="52" t="str">
        <f t="shared" si="55"/>
        <v/>
      </c>
      <c r="U282" s="51"/>
      <c r="V282" s="56" t="str">
        <f t="shared" si="56"/>
        <v/>
      </c>
      <c r="X282" s="57" t="str">
        <f t="shared" si="57"/>
        <v/>
      </c>
      <c r="Y282" s="57">
        <f t="shared" si="58"/>
        <v>0</v>
      </c>
      <c r="Z282" s="57">
        <f t="shared" si="61"/>
        <v>59990</v>
      </c>
      <c r="AA282" s="57">
        <f t="shared" si="62"/>
        <v>0</v>
      </c>
      <c r="AB282" s="57">
        <f t="shared" si="59"/>
        <v>0.2</v>
      </c>
      <c r="AC282" s="57" t="str">
        <f t="shared" si="63"/>
        <v/>
      </c>
      <c r="AD282" s="57" t="str">
        <f t="shared" si="64"/>
        <v/>
      </c>
      <c r="AE282" s="57" t="str">
        <f>IF(AND($D282=RelConducteur,$S282="Oui",ISNUMBER($C282),$C282&gt;=RelDebut,$C282&lt;=RelFin),COUNTIFS($D$9:$D282,RelConducteur,$S$9:$S282,"Oui",$C$9:$C282,"&gt;="&amp;RelDebut,$C$9:$C282,"&lt;="&amp;RelFin),"")</f>
        <v/>
      </c>
    </row>
    <row r="283" spans="2:31" ht="18" customHeight="1" x14ac:dyDescent="0.25">
      <c r="B283" s="48" t="str">
        <f>IF(C283="","",COUNT($C$9:C283))</f>
        <v/>
      </c>
      <c r="C283" s="49"/>
      <c r="D283" s="51"/>
      <c r="E283" s="53"/>
      <c r="F283" s="51"/>
      <c r="G283" s="51"/>
      <c r="H283" s="51"/>
      <c r="I283" s="51"/>
      <c r="J283" s="59"/>
      <c r="K283" s="60"/>
      <c r="L283" s="61"/>
      <c r="M283" s="62"/>
      <c r="N283" s="63" t="str">
        <f t="shared" si="52"/>
        <v/>
      </c>
      <c r="O283" s="64" t="str">
        <f t="shared" si="53"/>
        <v/>
      </c>
      <c r="P283" s="65" t="str">
        <f t="shared" si="54"/>
        <v/>
      </c>
      <c r="Q283" s="66" t="str">
        <f t="shared" si="60"/>
        <v/>
      </c>
      <c r="R283" s="51"/>
      <c r="S283" s="60"/>
      <c r="T283" s="52" t="str">
        <f t="shared" si="55"/>
        <v/>
      </c>
      <c r="U283" s="51"/>
      <c r="V283" s="56" t="str">
        <f t="shared" si="56"/>
        <v/>
      </c>
      <c r="X283" s="57" t="str">
        <f t="shared" si="57"/>
        <v/>
      </c>
      <c r="Y283" s="57">
        <f t="shared" si="58"/>
        <v>0</v>
      </c>
      <c r="Z283" s="57">
        <f t="shared" si="61"/>
        <v>59990</v>
      </c>
      <c r="AA283" s="57">
        <f t="shared" si="62"/>
        <v>0</v>
      </c>
      <c r="AB283" s="57">
        <f t="shared" si="59"/>
        <v>0.2</v>
      </c>
      <c r="AC283" s="57" t="str">
        <f t="shared" si="63"/>
        <v/>
      </c>
      <c r="AD283" s="57" t="str">
        <f t="shared" si="64"/>
        <v/>
      </c>
      <c r="AE283" s="57" t="str">
        <f>IF(AND($D283=RelConducteur,$S283="Oui",ISNUMBER($C283),$C283&gt;=RelDebut,$C283&lt;=RelFin),COUNTIFS($D$9:$D283,RelConducteur,$S$9:$S283,"Oui",$C$9:$C283,"&gt;="&amp;RelDebut,$C$9:$C283,"&lt;="&amp;RelFin),"")</f>
        <v/>
      </c>
    </row>
    <row r="284" spans="2:31" ht="18" customHeight="1" x14ac:dyDescent="0.25">
      <c r="B284" s="48" t="str">
        <f>IF(C284="","",COUNT($C$9:C284))</f>
        <v/>
      </c>
      <c r="C284" s="49"/>
      <c r="D284" s="51"/>
      <c r="E284" s="53"/>
      <c r="F284" s="51"/>
      <c r="G284" s="51"/>
      <c r="H284" s="51"/>
      <c r="I284" s="51"/>
      <c r="J284" s="59"/>
      <c r="K284" s="60"/>
      <c r="L284" s="61"/>
      <c r="M284" s="62"/>
      <c r="N284" s="63" t="str">
        <f t="shared" si="52"/>
        <v/>
      </c>
      <c r="O284" s="64" t="str">
        <f t="shared" si="53"/>
        <v/>
      </c>
      <c r="P284" s="65" t="str">
        <f t="shared" si="54"/>
        <v/>
      </c>
      <c r="Q284" s="66" t="str">
        <f t="shared" si="60"/>
        <v/>
      </c>
      <c r="R284" s="51"/>
      <c r="S284" s="60"/>
      <c r="T284" s="52" t="str">
        <f t="shared" si="55"/>
        <v/>
      </c>
      <c r="U284" s="51"/>
      <c r="V284" s="56" t="str">
        <f t="shared" si="56"/>
        <v/>
      </c>
      <c r="X284" s="57" t="str">
        <f t="shared" si="57"/>
        <v/>
      </c>
      <c r="Y284" s="57">
        <f t="shared" si="58"/>
        <v>0</v>
      </c>
      <c r="Z284" s="57">
        <f t="shared" si="61"/>
        <v>59990</v>
      </c>
      <c r="AA284" s="57">
        <f t="shared" si="62"/>
        <v>0</v>
      </c>
      <c r="AB284" s="57">
        <f t="shared" si="59"/>
        <v>0.2</v>
      </c>
      <c r="AC284" s="57" t="str">
        <f t="shared" si="63"/>
        <v/>
      </c>
      <c r="AD284" s="57" t="str">
        <f t="shared" si="64"/>
        <v/>
      </c>
      <c r="AE284" s="57" t="str">
        <f>IF(AND($D284=RelConducteur,$S284="Oui",ISNUMBER($C284),$C284&gt;=RelDebut,$C284&lt;=RelFin),COUNTIFS($D$9:$D284,RelConducteur,$S$9:$S284,"Oui",$C$9:$C284,"&gt;="&amp;RelDebut,$C$9:$C284,"&lt;="&amp;RelFin),"")</f>
        <v/>
      </c>
    </row>
    <row r="285" spans="2:31" ht="18" customHeight="1" x14ac:dyDescent="0.25">
      <c r="B285" s="48" t="str">
        <f>IF(C285="","",COUNT($C$9:C285))</f>
        <v/>
      </c>
      <c r="C285" s="49"/>
      <c r="D285" s="51"/>
      <c r="E285" s="53"/>
      <c r="F285" s="51"/>
      <c r="G285" s="51"/>
      <c r="H285" s="51"/>
      <c r="I285" s="51"/>
      <c r="J285" s="59"/>
      <c r="K285" s="60"/>
      <c r="L285" s="61"/>
      <c r="M285" s="62"/>
      <c r="N285" s="63" t="str">
        <f t="shared" si="52"/>
        <v/>
      </c>
      <c r="O285" s="64" t="str">
        <f t="shared" si="53"/>
        <v/>
      </c>
      <c r="P285" s="65" t="str">
        <f t="shared" si="54"/>
        <v/>
      </c>
      <c r="Q285" s="66" t="str">
        <f t="shared" si="60"/>
        <v/>
      </c>
      <c r="R285" s="51"/>
      <c r="S285" s="60"/>
      <c r="T285" s="52" t="str">
        <f t="shared" si="55"/>
        <v/>
      </c>
      <c r="U285" s="51"/>
      <c r="V285" s="56" t="str">
        <f t="shared" si="56"/>
        <v/>
      </c>
      <c r="X285" s="57" t="str">
        <f t="shared" si="57"/>
        <v/>
      </c>
      <c r="Y285" s="57">
        <f t="shared" si="58"/>
        <v>0</v>
      </c>
      <c r="Z285" s="57">
        <f t="shared" si="61"/>
        <v>59990</v>
      </c>
      <c r="AA285" s="57">
        <f t="shared" si="62"/>
        <v>0</v>
      </c>
      <c r="AB285" s="57">
        <f t="shared" si="59"/>
        <v>0.2</v>
      </c>
      <c r="AC285" s="57" t="str">
        <f t="shared" si="63"/>
        <v/>
      </c>
      <c r="AD285" s="57" t="str">
        <f t="shared" si="64"/>
        <v/>
      </c>
      <c r="AE285" s="57" t="str">
        <f>IF(AND($D285=RelConducteur,$S285="Oui",ISNUMBER($C285),$C285&gt;=RelDebut,$C285&lt;=RelFin),COUNTIFS($D$9:$D285,RelConducteur,$S$9:$S285,"Oui",$C$9:$C285,"&gt;="&amp;RelDebut,$C$9:$C285,"&lt;="&amp;RelFin),"")</f>
        <v/>
      </c>
    </row>
    <row r="286" spans="2:31" ht="18" customHeight="1" x14ac:dyDescent="0.25">
      <c r="B286" s="48" t="str">
        <f>IF(C286="","",COUNT($C$9:C286))</f>
        <v/>
      </c>
      <c r="C286" s="49"/>
      <c r="D286" s="51"/>
      <c r="E286" s="53"/>
      <c r="F286" s="51"/>
      <c r="G286" s="51"/>
      <c r="H286" s="51"/>
      <c r="I286" s="51"/>
      <c r="J286" s="59"/>
      <c r="K286" s="60"/>
      <c r="L286" s="61"/>
      <c r="M286" s="62"/>
      <c r="N286" s="63" t="str">
        <f t="shared" si="52"/>
        <v/>
      </c>
      <c r="O286" s="64" t="str">
        <f t="shared" si="53"/>
        <v/>
      </c>
      <c r="P286" s="65" t="str">
        <f t="shared" si="54"/>
        <v/>
      </c>
      <c r="Q286" s="66" t="str">
        <f t="shared" si="60"/>
        <v/>
      </c>
      <c r="R286" s="51"/>
      <c r="S286" s="60"/>
      <c r="T286" s="52" t="str">
        <f t="shared" si="55"/>
        <v/>
      </c>
      <c r="U286" s="51"/>
      <c r="V286" s="56" t="str">
        <f t="shared" si="56"/>
        <v/>
      </c>
      <c r="X286" s="57" t="str">
        <f t="shared" si="57"/>
        <v/>
      </c>
      <c r="Y286" s="57">
        <f t="shared" si="58"/>
        <v>0</v>
      </c>
      <c r="Z286" s="57">
        <f t="shared" si="61"/>
        <v>59990</v>
      </c>
      <c r="AA286" s="57">
        <f t="shared" si="62"/>
        <v>0</v>
      </c>
      <c r="AB286" s="57">
        <f t="shared" si="59"/>
        <v>0.2</v>
      </c>
      <c r="AC286" s="57" t="str">
        <f t="shared" si="63"/>
        <v/>
      </c>
      <c r="AD286" s="57" t="str">
        <f t="shared" si="64"/>
        <v/>
      </c>
      <c r="AE286" s="57" t="str">
        <f>IF(AND($D286=RelConducteur,$S286="Oui",ISNUMBER($C286),$C286&gt;=RelDebut,$C286&lt;=RelFin),COUNTIFS($D$9:$D286,RelConducteur,$S$9:$S286,"Oui",$C$9:$C286,"&gt;="&amp;RelDebut,$C$9:$C286,"&lt;="&amp;RelFin),"")</f>
        <v/>
      </c>
    </row>
    <row r="287" spans="2:31" ht="18" customHeight="1" x14ac:dyDescent="0.25">
      <c r="B287" s="48" t="str">
        <f>IF(C287="","",COUNT($C$9:C287))</f>
        <v/>
      </c>
      <c r="C287" s="49"/>
      <c r="D287" s="51"/>
      <c r="E287" s="53"/>
      <c r="F287" s="51"/>
      <c r="G287" s="51"/>
      <c r="H287" s="51"/>
      <c r="I287" s="51"/>
      <c r="J287" s="59"/>
      <c r="K287" s="60"/>
      <c r="L287" s="61"/>
      <c r="M287" s="62"/>
      <c r="N287" s="63" t="str">
        <f t="shared" si="52"/>
        <v/>
      </c>
      <c r="O287" s="64" t="str">
        <f t="shared" si="53"/>
        <v/>
      </c>
      <c r="P287" s="65" t="str">
        <f t="shared" si="54"/>
        <v/>
      </c>
      <c r="Q287" s="66" t="str">
        <f t="shared" si="60"/>
        <v/>
      </c>
      <c r="R287" s="51"/>
      <c r="S287" s="60"/>
      <c r="T287" s="52" t="str">
        <f t="shared" si="55"/>
        <v/>
      </c>
      <c r="U287" s="51"/>
      <c r="V287" s="56" t="str">
        <f t="shared" si="56"/>
        <v/>
      </c>
      <c r="X287" s="57" t="str">
        <f t="shared" si="57"/>
        <v/>
      </c>
      <c r="Y287" s="57">
        <f t="shared" si="58"/>
        <v>0</v>
      </c>
      <c r="Z287" s="57">
        <f t="shared" si="61"/>
        <v>59990</v>
      </c>
      <c r="AA287" s="57">
        <f t="shared" si="62"/>
        <v>0</v>
      </c>
      <c r="AB287" s="57">
        <f t="shared" si="59"/>
        <v>0.2</v>
      </c>
      <c r="AC287" s="57" t="str">
        <f t="shared" si="63"/>
        <v/>
      </c>
      <c r="AD287" s="57" t="str">
        <f t="shared" si="64"/>
        <v/>
      </c>
      <c r="AE287" s="57" t="str">
        <f>IF(AND($D287=RelConducteur,$S287="Oui",ISNUMBER($C287),$C287&gt;=RelDebut,$C287&lt;=RelFin),COUNTIFS($D$9:$D287,RelConducteur,$S$9:$S287,"Oui",$C$9:$C287,"&gt;="&amp;RelDebut,$C$9:$C287,"&lt;="&amp;RelFin),"")</f>
        <v/>
      </c>
    </row>
    <row r="288" spans="2:31" ht="18" customHeight="1" x14ac:dyDescent="0.25">
      <c r="B288" s="48" t="str">
        <f>IF(C288="","",COUNT($C$9:C288))</f>
        <v/>
      </c>
      <c r="C288" s="49"/>
      <c r="D288" s="51"/>
      <c r="E288" s="53"/>
      <c r="F288" s="51"/>
      <c r="G288" s="51"/>
      <c r="H288" s="51"/>
      <c r="I288" s="51"/>
      <c r="J288" s="59"/>
      <c r="K288" s="60"/>
      <c r="L288" s="61"/>
      <c r="M288" s="62"/>
      <c r="N288" s="63" t="str">
        <f t="shared" si="52"/>
        <v/>
      </c>
      <c r="O288" s="64" t="str">
        <f t="shared" si="53"/>
        <v/>
      </c>
      <c r="P288" s="65" t="str">
        <f t="shared" si="54"/>
        <v/>
      </c>
      <c r="Q288" s="66" t="str">
        <f t="shared" si="60"/>
        <v/>
      </c>
      <c r="R288" s="51"/>
      <c r="S288" s="60"/>
      <c r="T288" s="52" t="str">
        <f t="shared" si="55"/>
        <v/>
      </c>
      <c r="U288" s="51"/>
      <c r="V288" s="56" t="str">
        <f t="shared" si="56"/>
        <v/>
      </c>
      <c r="X288" s="57" t="str">
        <f t="shared" si="57"/>
        <v/>
      </c>
      <c r="Y288" s="57">
        <f t="shared" si="58"/>
        <v>0</v>
      </c>
      <c r="Z288" s="57">
        <f t="shared" si="61"/>
        <v>59990</v>
      </c>
      <c r="AA288" s="57">
        <f t="shared" si="62"/>
        <v>0</v>
      </c>
      <c r="AB288" s="57">
        <f t="shared" si="59"/>
        <v>0.2</v>
      </c>
      <c r="AC288" s="57" t="str">
        <f t="shared" si="63"/>
        <v/>
      </c>
      <c r="AD288" s="57" t="str">
        <f t="shared" si="64"/>
        <v/>
      </c>
      <c r="AE288" s="57" t="str">
        <f>IF(AND($D288=RelConducteur,$S288="Oui",ISNUMBER($C288),$C288&gt;=RelDebut,$C288&lt;=RelFin),COUNTIFS($D$9:$D288,RelConducteur,$S$9:$S288,"Oui",$C$9:$C288,"&gt;="&amp;RelDebut,$C$9:$C288,"&lt;="&amp;RelFin),"")</f>
        <v/>
      </c>
    </row>
    <row r="289" spans="2:31" ht="18" customHeight="1" x14ac:dyDescent="0.25">
      <c r="B289" s="48" t="str">
        <f>IF(C289="","",COUNT($C$9:C289))</f>
        <v/>
      </c>
      <c r="C289" s="49"/>
      <c r="D289" s="51"/>
      <c r="E289" s="53"/>
      <c r="F289" s="51"/>
      <c r="G289" s="51"/>
      <c r="H289" s="51"/>
      <c r="I289" s="51"/>
      <c r="J289" s="59"/>
      <c r="K289" s="60"/>
      <c r="L289" s="61"/>
      <c r="M289" s="62"/>
      <c r="N289" s="63" t="str">
        <f t="shared" si="52"/>
        <v/>
      </c>
      <c r="O289" s="64" t="str">
        <f t="shared" si="53"/>
        <v/>
      </c>
      <c r="P289" s="65" t="str">
        <f t="shared" si="54"/>
        <v/>
      </c>
      <c r="Q289" s="66" t="str">
        <f t="shared" si="60"/>
        <v/>
      </c>
      <c r="R289" s="51"/>
      <c r="S289" s="60"/>
      <c r="T289" s="52" t="str">
        <f t="shared" si="55"/>
        <v/>
      </c>
      <c r="U289" s="51"/>
      <c r="V289" s="56" t="str">
        <f t="shared" si="56"/>
        <v/>
      </c>
      <c r="X289" s="57" t="str">
        <f t="shared" si="57"/>
        <v/>
      </c>
      <c r="Y289" s="57">
        <f t="shared" si="58"/>
        <v>0</v>
      </c>
      <c r="Z289" s="57">
        <f t="shared" si="61"/>
        <v>59990</v>
      </c>
      <c r="AA289" s="57">
        <f t="shared" si="62"/>
        <v>0</v>
      </c>
      <c r="AB289" s="57">
        <f t="shared" si="59"/>
        <v>0.2</v>
      </c>
      <c r="AC289" s="57" t="str">
        <f t="shared" si="63"/>
        <v/>
      </c>
      <c r="AD289" s="57" t="str">
        <f t="shared" si="64"/>
        <v/>
      </c>
      <c r="AE289" s="57" t="str">
        <f>IF(AND($D289=RelConducteur,$S289="Oui",ISNUMBER($C289),$C289&gt;=RelDebut,$C289&lt;=RelFin),COUNTIFS($D$9:$D289,RelConducteur,$S$9:$S289,"Oui",$C$9:$C289,"&gt;="&amp;RelDebut,$C$9:$C289,"&lt;="&amp;RelFin),"")</f>
        <v/>
      </c>
    </row>
    <row r="290" spans="2:31" ht="18" customHeight="1" x14ac:dyDescent="0.25">
      <c r="B290" s="48" t="str">
        <f>IF(C290="","",COUNT($C$9:C290))</f>
        <v/>
      </c>
      <c r="C290" s="49"/>
      <c r="D290" s="51"/>
      <c r="E290" s="53"/>
      <c r="F290" s="51"/>
      <c r="G290" s="51"/>
      <c r="H290" s="51"/>
      <c r="I290" s="51"/>
      <c r="J290" s="59"/>
      <c r="K290" s="60"/>
      <c r="L290" s="61"/>
      <c r="M290" s="62"/>
      <c r="N290" s="63" t="str">
        <f t="shared" si="52"/>
        <v/>
      </c>
      <c r="O290" s="64" t="str">
        <f t="shared" si="53"/>
        <v/>
      </c>
      <c r="P290" s="65" t="str">
        <f t="shared" si="54"/>
        <v/>
      </c>
      <c r="Q290" s="66" t="str">
        <f t="shared" si="60"/>
        <v/>
      </c>
      <c r="R290" s="51"/>
      <c r="S290" s="60"/>
      <c r="T290" s="52" t="str">
        <f t="shared" si="55"/>
        <v/>
      </c>
      <c r="U290" s="51"/>
      <c r="V290" s="56" t="str">
        <f t="shared" si="56"/>
        <v/>
      </c>
      <c r="X290" s="57" t="str">
        <f t="shared" si="57"/>
        <v/>
      </c>
      <c r="Y290" s="57">
        <f t="shared" si="58"/>
        <v>0</v>
      </c>
      <c r="Z290" s="57">
        <f t="shared" si="61"/>
        <v>59990</v>
      </c>
      <c r="AA290" s="57">
        <f t="shared" si="62"/>
        <v>0</v>
      </c>
      <c r="AB290" s="57">
        <f t="shared" si="59"/>
        <v>0.2</v>
      </c>
      <c r="AC290" s="57" t="str">
        <f t="shared" si="63"/>
        <v/>
      </c>
      <c r="AD290" s="57" t="str">
        <f t="shared" si="64"/>
        <v/>
      </c>
      <c r="AE290" s="57" t="str">
        <f>IF(AND($D290=RelConducteur,$S290="Oui",ISNUMBER($C290),$C290&gt;=RelDebut,$C290&lt;=RelFin),COUNTIFS($D$9:$D290,RelConducteur,$S$9:$S290,"Oui",$C$9:$C290,"&gt;="&amp;RelDebut,$C$9:$C290,"&lt;="&amp;RelFin),"")</f>
        <v/>
      </c>
    </row>
    <row r="291" spans="2:31" ht="18" customHeight="1" x14ac:dyDescent="0.25">
      <c r="B291" s="48" t="str">
        <f>IF(C291="","",COUNT($C$9:C291))</f>
        <v/>
      </c>
      <c r="C291" s="49"/>
      <c r="D291" s="51"/>
      <c r="E291" s="53"/>
      <c r="F291" s="51"/>
      <c r="G291" s="51"/>
      <c r="H291" s="51"/>
      <c r="I291" s="51"/>
      <c r="J291" s="59"/>
      <c r="K291" s="60"/>
      <c r="L291" s="61"/>
      <c r="M291" s="62"/>
      <c r="N291" s="63" t="str">
        <f t="shared" si="52"/>
        <v/>
      </c>
      <c r="O291" s="64" t="str">
        <f t="shared" si="53"/>
        <v/>
      </c>
      <c r="P291" s="65" t="str">
        <f t="shared" si="54"/>
        <v/>
      </c>
      <c r="Q291" s="66" t="str">
        <f t="shared" si="60"/>
        <v/>
      </c>
      <c r="R291" s="51"/>
      <c r="S291" s="60"/>
      <c r="T291" s="52" t="str">
        <f t="shared" si="55"/>
        <v/>
      </c>
      <c r="U291" s="51"/>
      <c r="V291" s="56" t="str">
        <f t="shared" si="56"/>
        <v/>
      </c>
      <c r="X291" s="57" t="str">
        <f t="shared" si="57"/>
        <v/>
      </c>
      <c r="Y291" s="57">
        <f t="shared" si="58"/>
        <v>0</v>
      </c>
      <c r="Z291" s="57">
        <f t="shared" si="61"/>
        <v>59990</v>
      </c>
      <c r="AA291" s="57">
        <f t="shared" si="62"/>
        <v>0</v>
      </c>
      <c r="AB291" s="57">
        <f t="shared" si="59"/>
        <v>0.2</v>
      </c>
      <c r="AC291" s="57" t="str">
        <f t="shared" si="63"/>
        <v/>
      </c>
      <c r="AD291" s="57" t="str">
        <f t="shared" si="64"/>
        <v/>
      </c>
      <c r="AE291" s="57" t="str">
        <f>IF(AND($D291=RelConducteur,$S291="Oui",ISNUMBER($C291),$C291&gt;=RelDebut,$C291&lt;=RelFin),COUNTIFS($D$9:$D291,RelConducteur,$S$9:$S291,"Oui",$C$9:$C291,"&gt;="&amp;RelDebut,$C$9:$C291,"&lt;="&amp;RelFin),"")</f>
        <v/>
      </c>
    </row>
    <row r="292" spans="2:31" ht="18" customHeight="1" x14ac:dyDescent="0.25">
      <c r="B292" s="48" t="str">
        <f>IF(C292="","",COUNT($C$9:C292))</f>
        <v/>
      </c>
      <c r="C292" s="49"/>
      <c r="D292" s="51"/>
      <c r="E292" s="53"/>
      <c r="F292" s="51"/>
      <c r="G292" s="51"/>
      <c r="H292" s="51"/>
      <c r="I292" s="51"/>
      <c r="J292" s="59"/>
      <c r="K292" s="60"/>
      <c r="L292" s="61"/>
      <c r="M292" s="62"/>
      <c r="N292" s="63" t="str">
        <f t="shared" si="52"/>
        <v/>
      </c>
      <c r="O292" s="64" t="str">
        <f t="shared" si="53"/>
        <v/>
      </c>
      <c r="P292" s="65" t="str">
        <f t="shared" si="54"/>
        <v/>
      </c>
      <c r="Q292" s="66" t="str">
        <f t="shared" si="60"/>
        <v/>
      </c>
      <c r="R292" s="51"/>
      <c r="S292" s="60"/>
      <c r="T292" s="52" t="str">
        <f t="shared" si="55"/>
        <v/>
      </c>
      <c r="U292" s="51"/>
      <c r="V292" s="56" t="str">
        <f t="shared" si="56"/>
        <v/>
      </c>
      <c r="X292" s="57" t="str">
        <f t="shared" si="57"/>
        <v/>
      </c>
      <c r="Y292" s="57">
        <f t="shared" si="58"/>
        <v>0</v>
      </c>
      <c r="Z292" s="57">
        <f t="shared" si="61"/>
        <v>59990</v>
      </c>
      <c r="AA292" s="57">
        <f t="shared" si="62"/>
        <v>0</v>
      </c>
      <c r="AB292" s="57">
        <f t="shared" si="59"/>
        <v>0.2</v>
      </c>
      <c r="AC292" s="57" t="str">
        <f t="shared" si="63"/>
        <v/>
      </c>
      <c r="AD292" s="57" t="str">
        <f t="shared" si="64"/>
        <v/>
      </c>
      <c r="AE292" s="57" t="str">
        <f>IF(AND($D292=RelConducteur,$S292="Oui",ISNUMBER($C292),$C292&gt;=RelDebut,$C292&lt;=RelFin),COUNTIFS($D$9:$D292,RelConducteur,$S$9:$S292,"Oui",$C$9:$C292,"&gt;="&amp;RelDebut,$C$9:$C292,"&lt;="&amp;RelFin),"")</f>
        <v/>
      </c>
    </row>
    <row r="293" spans="2:31" ht="18" customHeight="1" x14ac:dyDescent="0.25">
      <c r="B293" s="48" t="str">
        <f>IF(C293="","",COUNT($C$9:C293))</f>
        <v/>
      </c>
      <c r="C293" s="49"/>
      <c r="D293" s="51"/>
      <c r="E293" s="53"/>
      <c r="F293" s="51"/>
      <c r="G293" s="51"/>
      <c r="H293" s="51"/>
      <c r="I293" s="51"/>
      <c r="J293" s="59"/>
      <c r="K293" s="60"/>
      <c r="L293" s="61"/>
      <c r="M293" s="62"/>
      <c r="N293" s="63" t="str">
        <f t="shared" si="52"/>
        <v/>
      </c>
      <c r="O293" s="64" t="str">
        <f t="shared" si="53"/>
        <v/>
      </c>
      <c r="P293" s="65" t="str">
        <f t="shared" si="54"/>
        <v/>
      </c>
      <c r="Q293" s="66" t="str">
        <f t="shared" si="60"/>
        <v/>
      </c>
      <c r="R293" s="51"/>
      <c r="S293" s="60"/>
      <c r="T293" s="52" t="str">
        <f t="shared" si="55"/>
        <v/>
      </c>
      <c r="U293" s="51"/>
      <c r="V293" s="56" t="str">
        <f t="shared" si="56"/>
        <v/>
      </c>
      <c r="X293" s="57" t="str">
        <f t="shared" si="57"/>
        <v/>
      </c>
      <c r="Y293" s="57">
        <f t="shared" si="58"/>
        <v>0</v>
      </c>
      <c r="Z293" s="57">
        <f t="shared" si="61"/>
        <v>59990</v>
      </c>
      <c r="AA293" s="57">
        <f t="shared" si="62"/>
        <v>0</v>
      </c>
      <c r="AB293" s="57">
        <f t="shared" si="59"/>
        <v>0.2</v>
      </c>
      <c r="AC293" s="57" t="str">
        <f t="shared" si="63"/>
        <v/>
      </c>
      <c r="AD293" s="57" t="str">
        <f t="shared" si="64"/>
        <v/>
      </c>
      <c r="AE293" s="57" t="str">
        <f>IF(AND($D293=RelConducteur,$S293="Oui",ISNUMBER($C293),$C293&gt;=RelDebut,$C293&lt;=RelFin),COUNTIFS($D$9:$D293,RelConducteur,$S$9:$S293,"Oui",$C$9:$C293,"&gt;="&amp;RelDebut,$C$9:$C293,"&lt;="&amp;RelFin),"")</f>
        <v/>
      </c>
    </row>
    <row r="294" spans="2:31" ht="18" customHeight="1" x14ac:dyDescent="0.25">
      <c r="B294" s="48" t="str">
        <f>IF(C294="","",COUNT($C$9:C294))</f>
        <v/>
      </c>
      <c r="C294" s="49"/>
      <c r="D294" s="51"/>
      <c r="E294" s="53"/>
      <c r="F294" s="51"/>
      <c r="G294" s="51"/>
      <c r="H294" s="51"/>
      <c r="I294" s="51"/>
      <c r="J294" s="59"/>
      <c r="K294" s="60"/>
      <c r="L294" s="61"/>
      <c r="M294" s="62"/>
      <c r="N294" s="63" t="str">
        <f t="shared" si="52"/>
        <v/>
      </c>
      <c r="O294" s="64" t="str">
        <f t="shared" si="53"/>
        <v/>
      </c>
      <c r="P294" s="65" t="str">
        <f t="shared" si="54"/>
        <v/>
      </c>
      <c r="Q294" s="66" t="str">
        <f t="shared" si="60"/>
        <v/>
      </c>
      <c r="R294" s="51"/>
      <c r="S294" s="60"/>
      <c r="T294" s="52" t="str">
        <f t="shared" si="55"/>
        <v/>
      </c>
      <c r="U294" s="51"/>
      <c r="V294" s="56" t="str">
        <f t="shared" si="56"/>
        <v/>
      </c>
      <c r="X294" s="57" t="str">
        <f t="shared" si="57"/>
        <v/>
      </c>
      <c r="Y294" s="57">
        <f t="shared" si="58"/>
        <v>0</v>
      </c>
      <c r="Z294" s="57">
        <f t="shared" si="61"/>
        <v>59990</v>
      </c>
      <c r="AA294" s="57">
        <f t="shared" si="62"/>
        <v>0</v>
      </c>
      <c r="AB294" s="57">
        <f t="shared" si="59"/>
        <v>0.2</v>
      </c>
      <c r="AC294" s="57" t="str">
        <f t="shared" si="63"/>
        <v/>
      </c>
      <c r="AD294" s="57" t="str">
        <f t="shared" si="64"/>
        <v/>
      </c>
      <c r="AE294" s="57" t="str">
        <f>IF(AND($D294=RelConducteur,$S294="Oui",ISNUMBER($C294),$C294&gt;=RelDebut,$C294&lt;=RelFin),COUNTIFS($D$9:$D294,RelConducteur,$S$9:$S294,"Oui",$C$9:$C294,"&gt;="&amp;RelDebut,$C$9:$C294,"&lt;="&amp;RelFin),"")</f>
        <v/>
      </c>
    </row>
    <row r="295" spans="2:31" ht="18" customHeight="1" x14ac:dyDescent="0.25">
      <c r="B295" s="48" t="str">
        <f>IF(C295="","",COUNT($C$9:C295))</f>
        <v/>
      </c>
      <c r="C295" s="49"/>
      <c r="D295" s="51"/>
      <c r="E295" s="53"/>
      <c r="F295" s="51"/>
      <c r="G295" s="51"/>
      <c r="H295" s="51"/>
      <c r="I295" s="51"/>
      <c r="J295" s="59"/>
      <c r="K295" s="60"/>
      <c r="L295" s="61"/>
      <c r="M295" s="62"/>
      <c r="N295" s="63" t="str">
        <f t="shared" si="52"/>
        <v/>
      </c>
      <c r="O295" s="64" t="str">
        <f t="shared" si="53"/>
        <v/>
      </c>
      <c r="P295" s="65" t="str">
        <f t="shared" si="54"/>
        <v/>
      </c>
      <c r="Q295" s="66" t="str">
        <f t="shared" si="60"/>
        <v/>
      </c>
      <c r="R295" s="51"/>
      <c r="S295" s="60"/>
      <c r="T295" s="52" t="str">
        <f t="shared" si="55"/>
        <v/>
      </c>
      <c r="U295" s="51"/>
      <c r="V295" s="56" t="str">
        <f t="shared" si="56"/>
        <v/>
      </c>
      <c r="X295" s="57" t="str">
        <f t="shared" si="57"/>
        <v/>
      </c>
      <c r="Y295" s="57">
        <f t="shared" si="58"/>
        <v>0</v>
      </c>
      <c r="Z295" s="57">
        <f t="shared" si="61"/>
        <v>59990</v>
      </c>
      <c r="AA295" s="57">
        <f t="shared" si="62"/>
        <v>0</v>
      </c>
      <c r="AB295" s="57">
        <f t="shared" si="59"/>
        <v>0.2</v>
      </c>
      <c r="AC295" s="57" t="str">
        <f t="shared" si="63"/>
        <v/>
      </c>
      <c r="AD295" s="57" t="str">
        <f t="shared" si="64"/>
        <v/>
      </c>
      <c r="AE295" s="57" t="str">
        <f>IF(AND($D295=RelConducteur,$S295="Oui",ISNUMBER($C295),$C295&gt;=RelDebut,$C295&lt;=RelFin),COUNTIFS($D$9:$D295,RelConducteur,$S$9:$S295,"Oui",$C$9:$C295,"&gt;="&amp;RelDebut,$C$9:$C295,"&lt;="&amp;RelFin),"")</f>
        <v/>
      </c>
    </row>
    <row r="296" spans="2:31" ht="18" customHeight="1" x14ac:dyDescent="0.25">
      <c r="B296" s="48" t="str">
        <f>IF(C296="","",COUNT($C$9:C296))</f>
        <v/>
      </c>
      <c r="C296" s="49"/>
      <c r="D296" s="51"/>
      <c r="E296" s="53"/>
      <c r="F296" s="51"/>
      <c r="G296" s="51"/>
      <c r="H296" s="51"/>
      <c r="I296" s="51"/>
      <c r="J296" s="59"/>
      <c r="K296" s="60"/>
      <c r="L296" s="61"/>
      <c r="M296" s="62"/>
      <c r="N296" s="63" t="str">
        <f t="shared" si="52"/>
        <v/>
      </c>
      <c r="O296" s="64" t="str">
        <f t="shared" si="53"/>
        <v/>
      </c>
      <c r="P296" s="65" t="str">
        <f t="shared" si="54"/>
        <v/>
      </c>
      <c r="Q296" s="66" t="str">
        <f t="shared" si="60"/>
        <v/>
      </c>
      <c r="R296" s="51"/>
      <c r="S296" s="60"/>
      <c r="T296" s="52" t="str">
        <f t="shared" si="55"/>
        <v/>
      </c>
      <c r="U296" s="51"/>
      <c r="V296" s="56" t="str">
        <f t="shared" si="56"/>
        <v/>
      </c>
      <c r="X296" s="57" t="str">
        <f t="shared" si="57"/>
        <v/>
      </c>
      <c r="Y296" s="57">
        <f t="shared" si="58"/>
        <v>0</v>
      </c>
      <c r="Z296" s="57">
        <f t="shared" si="61"/>
        <v>59990</v>
      </c>
      <c r="AA296" s="57">
        <f t="shared" si="62"/>
        <v>0</v>
      </c>
      <c r="AB296" s="57">
        <f t="shared" si="59"/>
        <v>0.2</v>
      </c>
      <c r="AC296" s="57" t="str">
        <f t="shared" si="63"/>
        <v/>
      </c>
      <c r="AD296" s="57" t="str">
        <f t="shared" si="64"/>
        <v/>
      </c>
      <c r="AE296" s="57" t="str">
        <f>IF(AND($D296=RelConducteur,$S296="Oui",ISNUMBER($C296),$C296&gt;=RelDebut,$C296&lt;=RelFin),COUNTIFS($D$9:$D296,RelConducteur,$S$9:$S296,"Oui",$C$9:$C296,"&gt;="&amp;RelDebut,$C$9:$C296,"&lt;="&amp;RelFin),"")</f>
        <v/>
      </c>
    </row>
    <row r="297" spans="2:31" ht="18" customHeight="1" x14ac:dyDescent="0.25">
      <c r="B297" s="48" t="str">
        <f>IF(C297="","",COUNT($C$9:C297))</f>
        <v/>
      </c>
      <c r="C297" s="49"/>
      <c r="D297" s="51"/>
      <c r="E297" s="53"/>
      <c r="F297" s="51"/>
      <c r="G297" s="51"/>
      <c r="H297" s="51"/>
      <c r="I297" s="51"/>
      <c r="J297" s="59"/>
      <c r="K297" s="60"/>
      <c r="L297" s="61"/>
      <c r="M297" s="62"/>
      <c r="N297" s="63" t="str">
        <f t="shared" si="52"/>
        <v/>
      </c>
      <c r="O297" s="64" t="str">
        <f t="shared" si="53"/>
        <v/>
      </c>
      <c r="P297" s="65" t="str">
        <f t="shared" si="54"/>
        <v/>
      </c>
      <c r="Q297" s="66" t="str">
        <f t="shared" si="60"/>
        <v/>
      </c>
      <c r="R297" s="51"/>
      <c r="S297" s="60"/>
      <c r="T297" s="52" t="str">
        <f t="shared" si="55"/>
        <v/>
      </c>
      <c r="U297" s="51"/>
      <c r="V297" s="56" t="str">
        <f t="shared" si="56"/>
        <v/>
      </c>
      <c r="X297" s="57" t="str">
        <f t="shared" si="57"/>
        <v/>
      </c>
      <c r="Y297" s="57">
        <f t="shared" si="58"/>
        <v>0</v>
      </c>
      <c r="Z297" s="57">
        <f t="shared" si="61"/>
        <v>59990</v>
      </c>
      <c r="AA297" s="57">
        <f t="shared" si="62"/>
        <v>0</v>
      </c>
      <c r="AB297" s="57">
        <f t="shared" si="59"/>
        <v>0.2</v>
      </c>
      <c r="AC297" s="57" t="str">
        <f t="shared" si="63"/>
        <v/>
      </c>
      <c r="AD297" s="57" t="str">
        <f t="shared" si="64"/>
        <v/>
      </c>
      <c r="AE297" s="57" t="str">
        <f>IF(AND($D297=RelConducteur,$S297="Oui",ISNUMBER($C297),$C297&gt;=RelDebut,$C297&lt;=RelFin),COUNTIFS($D$9:$D297,RelConducteur,$S$9:$S297,"Oui",$C$9:$C297,"&gt;="&amp;RelDebut,$C$9:$C297,"&lt;="&amp;RelFin),"")</f>
        <v/>
      </c>
    </row>
    <row r="298" spans="2:31" ht="18" customHeight="1" x14ac:dyDescent="0.25">
      <c r="B298" s="48" t="str">
        <f>IF(C298="","",COUNT($C$9:C298))</f>
        <v/>
      </c>
      <c r="C298" s="49"/>
      <c r="D298" s="51"/>
      <c r="E298" s="53"/>
      <c r="F298" s="51"/>
      <c r="G298" s="51"/>
      <c r="H298" s="51"/>
      <c r="I298" s="51"/>
      <c r="J298" s="59"/>
      <c r="K298" s="60"/>
      <c r="L298" s="61"/>
      <c r="M298" s="62"/>
      <c r="N298" s="63" t="str">
        <f t="shared" si="52"/>
        <v/>
      </c>
      <c r="O298" s="64" t="str">
        <f t="shared" si="53"/>
        <v/>
      </c>
      <c r="P298" s="65" t="str">
        <f t="shared" si="54"/>
        <v/>
      </c>
      <c r="Q298" s="66" t="str">
        <f t="shared" si="60"/>
        <v/>
      </c>
      <c r="R298" s="51"/>
      <c r="S298" s="60"/>
      <c r="T298" s="52" t="str">
        <f t="shared" si="55"/>
        <v/>
      </c>
      <c r="U298" s="51"/>
      <c r="V298" s="56" t="str">
        <f t="shared" si="56"/>
        <v/>
      </c>
      <c r="X298" s="57" t="str">
        <f t="shared" si="57"/>
        <v/>
      </c>
      <c r="Y298" s="57">
        <f t="shared" si="58"/>
        <v>0</v>
      </c>
      <c r="Z298" s="57">
        <f t="shared" si="61"/>
        <v>59990</v>
      </c>
      <c r="AA298" s="57">
        <f t="shared" si="62"/>
        <v>0</v>
      </c>
      <c r="AB298" s="57">
        <f t="shared" si="59"/>
        <v>0.2</v>
      </c>
      <c r="AC298" s="57" t="str">
        <f t="shared" si="63"/>
        <v/>
      </c>
      <c r="AD298" s="57" t="str">
        <f t="shared" si="64"/>
        <v/>
      </c>
      <c r="AE298" s="57" t="str">
        <f>IF(AND($D298=RelConducteur,$S298="Oui",ISNUMBER($C298),$C298&gt;=RelDebut,$C298&lt;=RelFin),COUNTIFS($D$9:$D298,RelConducteur,$S$9:$S298,"Oui",$C$9:$C298,"&gt;="&amp;RelDebut,$C$9:$C298,"&lt;="&amp;RelFin),"")</f>
        <v/>
      </c>
    </row>
    <row r="299" spans="2:31" ht="18" customHeight="1" x14ac:dyDescent="0.25">
      <c r="B299" s="48" t="str">
        <f>IF(C299="","",COUNT($C$9:C299))</f>
        <v/>
      </c>
      <c r="C299" s="49"/>
      <c r="D299" s="51"/>
      <c r="E299" s="53"/>
      <c r="F299" s="51"/>
      <c r="G299" s="51"/>
      <c r="H299" s="51"/>
      <c r="I299" s="51"/>
      <c r="J299" s="59"/>
      <c r="K299" s="60"/>
      <c r="L299" s="61"/>
      <c r="M299" s="62"/>
      <c r="N299" s="63" t="str">
        <f t="shared" si="52"/>
        <v/>
      </c>
      <c r="O299" s="64" t="str">
        <f t="shared" si="53"/>
        <v/>
      </c>
      <c r="P299" s="65" t="str">
        <f t="shared" si="54"/>
        <v/>
      </c>
      <c r="Q299" s="66" t="str">
        <f t="shared" si="60"/>
        <v/>
      </c>
      <c r="R299" s="51"/>
      <c r="S299" s="60"/>
      <c r="T299" s="52" t="str">
        <f t="shared" si="55"/>
        <v/>
      </c>
      <c r="U299" s="51"/>
      <c r="V299" s="56" t="str">
        <f t="shared" si="56"/>
        <v/>
      </c>
      <c r="X299" s="57" t="str">
        <f t="shared" si="57"/>
        <v/>
      </c>
      <c r="Y299" s="57">
        <f t="shared" si="58"/>
        <v>0</v>
      </c>
      <c r="Z299" s="57">
        <f t="shared" si="61"/>
        <v>59990</v>
      </c>
      <c r="AA299" s="57">
        <f t="shared" si="62"/>
        <v>0</v>
      </c>
      <c r="AB299" s="57">
        <f t="shared" si="59"/>
        <v>0.2</v>
      </c>
      <c r="AC299" s="57" t="str">
        <f t="shared" si="63"/>
        <v/>
      </c>
      <c r="AD299" s="57" t="str">
        <f t="shared" si="64"/>
        <v/>
      </c>
      <c r="AE299" s="57" t="str">
        <f>IF(AND($D299=RelConducteur,$S299="Oui",ISNUMBER($C299),$C299&gt;=RelDebut,$C299&lt;=RelFin),COUNTIFS($D$9:$D299,RelConducteur,$S$9:$S299,"Oui",$C$9:$C299,"&gt;="&amp;RelDebut,$C$9:$C299,"&lt;="&amp;RelFin),"")</f>
        <v/>
      </c>
    </row>
    <row r="300" spans="2:31" ht="18" customHeight="1" x14ac:dyDescent="0.25">
      <c r="B300" s="48" t="str">
        <f>IF(C300="","",COUNT($C$9:C300))</f>
        <v/>
      </c>
      <c r="C300" s="49"/>
      <c r="D300" s="51"/>
      <c r="E300" s="53"/>
      <c r="F300" s="51"/>
      <c r="G300" s="51"/>
      <c r="H300" s="51"/>
      <c r="I300" s="51"/>
      <c r="J300" s="59"/>
      <c r="K300" s="60"/>
      <c r="L300" s="61"/>
      <c r="M300" s="62"/>
      <c r="N300" s="63" t="str">
        <f t="shared" si="52"/>
        <v/>
      </c>
      <c r="O300" s="64" t="str">
        <f t="shared" si="53"/>
        <v/>
      </c>
      <c r="P300" s="65" t="str">
        <f t="shared" si="54"/>
        <v/>
      </c>
      <c r="Q300" s="66" t="str">
        <f t="shared" si="60"/>
        <v/>
      </c>
      <c r="R300" s="51"/>
      <c r="S300" s="60"/>
      <c r="T300" s="52" t="str">
        <f t="shared" si="55"/>
        <v/>
      </c>
      <c r="U300" s="51"/>
      <c r="V300" s="56" t="str">
        <f t="shared" si="56"/>
        <v/>
      </c>
      <c r="X300" s="57" t="str">
        <f t="shared" si="57"/>
        <v/>
      </c>
      <c r="Y300" s="57">
        <f t="shared" si="58"/>
        <v>0</v>
      </c>
      <c r="Z300" s="57">
        <f t="shared" si="61"/>
        <v>59990</v>
      </c>
      <c r="AA300" s="57">
        <f t="shared" si="62"/>
        <v>0</v>
      </c>
      <c r="AB300" s="57">
        <f t="shared" si="59"/>
        <v>0.2</v>
      </c>
      <c r="AC300" s="57" t="str">
        <f t="shared" si="63"/>
        <v/>
      </c>
      <c r="AD300" s="57" t="str">
        <f t="shared" si="64"/>
        <v/>
      </c>
      <c r="AE300" s="57" t="str">
        <f>IF(AND($D300=RelConducteur,$S300="Oui",ISNUMBER($C300),$C300&gt;=RelDebut,$C300&lt;=RelFin),COUNTIFS($D$9:$D300,RelConducteur,$S$9:$S300,"Oui",$C$9:$C300,"&gt;="&amp;RelDebut,$C$9:$C300,"&lt;="&amp;RelFin),"")</f>
        <v/>
      </c>
    </row>
    <row r="301" spans="2:31" ht="18" customHeight="1" x14ac:dyDescent="0.25">
      <c r="B301" s="48" t="str">
        <f>IF(C301="","",COUNT($C$9:C301))</f>
        <v/>
      </c>
      <c r="C301" s="49"/>
      <c r="D301" s="51"/>
      <c r="E301" s="53"/>
      <c r="F301" s="51"/>
      <c r="G301" s="51"/>
      <c r="H301" s="51"/>
      <c r="I301" s="51"/>
      <c r="J301" s="59"/>
      <c r="K301" s="60"/>
      <c r="L301" s="61"/>
      <c r="M301" s="62"/>
      <c r="N301" s="63" t="str">
        <f t="shared" si="52"/>
        <v/>
      </c>
      <c r="O301" s="64" t="str">
        <f t="shared" si="53"/>
        <v/>
      </c>
      <c r="P301" s="65" t="str">
        <f t="shared" si="54"/>
        <v/>
      </c>
      <c r="Q301" s="66" t="str">
        <f t="shared" si="60"/>
        <v/>
      </c>
      <c r="R301" s="51"/>
      <c r="S301" s="60"/>
      <c r="T301" s="52" t="str">
        <f t="shared" si="55"/>
        <v/>
      </c>
      <c r="U301" s="51"/>
      <c r="V301" s="56" t="str">
        <f t="shared" si="56"/>
        <v/>
      </c>
      <c r="X301" s="57" t="str">
        <f t="shared" si="57"/>
        <v/>
      </c>
      <c r="Y301" s="57">
        <f t="shared" si="58"/>
        <v>0</v>
      </c>
      <c r="Z301" s="57">
        <f t="shared" si="61"/>
        <v>59990</v>
      </c>
      <c r="AA301" s="57">
        <f t="shared" si="62"/>
        <v>0</v>
      </c>
      <c r="AB301" s="57">
        <f t="shared" si="59"/>
        <v>0.2</v>
      </c>
      <c r="AC301" s="57" t="str">
        <f t="shared" si="63"/>
        <v/>
      </c>
      <c r="AD301" s="57" t="str">
        <f t="shared" si="64"/>
        <v/>
      </c>
      <c r="AE301" s="57" t="str">
        <f>IF(AND($D301=RelConducteur,$S301="Oui",ISNUMBER($C301),$C301&gt;=RelDebut,$C301&lt;=RelFin),COUNTIFS($D$9:$D301,RelConducteur,$S$9:$S301,"Oui",$C$9:$C301,"&gt;="&amp;RelDebut,$C$9:$C301,"&lt;="&amp;RelFin),"")</f>
        <v/>
      </c>
    </row>
    <row r="302" spans="2:31" ht="18" customHeight="1" x14ac:dyDescent="0.25">
      <c r="B302" s="48" t="str">
        <f>IF(C302="","",COUNT($C$9:C302))</f>
        <v/>
      </c>
      <c r="C302" s="49"/>
      <c r="D302" s="51"/>
      <c r="E302" s="53"/>
      <c r="F302" s="51"/>
      <c r="G302" s="51"/>
      <c r="H302" s="51"/>
      <c r="I302" s="51"/>
      <c r="J302" s="59"/>
      <c r="K302" s="60"/>
      <c r="L302" s="61"/>
      <c r="M302" s="62"/>
      <c r="N302" s="63" t="str">
        <f t="shared" si="52"/>
        <v/>
      </c>
      <c r="O302" s="64" t="str">
        <f t="shared" si="53"/>
        <v/>
      </c>
      <c r="P302" s="65" t="str">
        <f t="shared" si="54"/>
        <v/>
      </c>
      <c r="Q302" s="66" t="str">
        <f t="shared" si="60"/>
        <v/>
      </c>
      <c r="R302" s="51"/>
      <c r="S302" s="60"/>
      <c r="T302" s="52" t="str">
        <f t="shared" si="55"/>
        <v/>
      </c>
      <c r="U302" s="51"/>
      <c r="V302" s="56" t="str">
        <f t="shared" si="56"/>
        <v/>
      </c>
      <c r="X302" s="57" t="str">
        <f t="shared" si="57"/>
        <v/>
      </c>
      <c r="Y302" s="57">
        <f t="shared" si="58"/>
        <v>0</v>
      </c>
      <c r="Z302" s="57">
        <f t="shared" si="61"/>
        <v>59990</v>
      </c>
      <c r="AA302" s="57">
        <f t="shared" si="62"/>
        <v>0</v>
      </c>
      <c r="AB302" s="57">
        <f t="shared" si="59"/>
        <v>0.2</v>
      </c>
      <c r="AC302" s="57" t="str">
        <f t="shared" si="63"/>
        <v/>
      </c>
      <c r="AD302" s="57" t="str">
        <f t="shared" si="64"/>
        <v/>
      </c>
      <c r="AE302" s="57" t="str">
        <f>IF(AND($D302=RelConducteur,$S302="Oui",ISNUMBER($C302),$C302&gt;=RelDebut,$C302&lt;=RelFin),COUNTIFS($D$9:$D302,RelConducteur,$S$9:$S302,"Oui",$C$9:$C302,"&gt;="&amp;RelDebut,$C$9:$C302,"&lt;="&amp;RelFin),"")</f>
        <v/>
      </c>
    </row>
    <row r="303" spans="2:31" ht="18" customHeight="1" x14ac:dyDescent="0.25">
      <c r="B303" s="48" t="str">
        <f>IF(C303="","",COUNT($C$9:C303))</f>
        <v/>
      </c>
      <c r="C303" s="49"/>
      <c r="D303" s="51"/>
      <c r="E303" s="53"/>
      <c r="F303" s="51"/>
      <c r="G303" s="51"/>
      <c r="H303" s="51"/>
      <c r="I303" s="51"/>
      <c r="J303" s="59"/>
      <c r="K303" s="60"/>
      <c r="L303" s="61"/>
      <c r="M303" s="62"/>
      <c r="N303" s="63" t="str">
        <f t="shared" si="52"/>
        <v/>
      </c>
      <c r="O303" s="64" t="str">
        <f t="shared" si="53"/>
        <v/>
      </c>
      <c r="P303" s="65" t="str">
        <f t="shared" si="54"/>
        <v/>
      </c>
      <c r="Q303" s="66" t="str">
        <f t="shared" si="60"/>
        <v/>
      </c>
      <c r="R303" s="51"/>
      <c r="S303" s="60"/>
      <c r="T303" s="52" t="str">
        <f t="shared" si="55"/>
        <v/>
      </c>
      <c r="U303" s="51"/>
      <c r="V303" s="56" t="str">
        <f t="shared" si="56"/>
        <v/>
      </c>
      <c r="X303" s="57" t="str">
        <f t="shared" si="57"/>
        <v/>
      </c>
      <c r="Y303" s="57">
        <f t="shared" si="58"/>
        <v>0</v>
      </c>
      <c r="Z303" s="57">
        <f t="shared" si="61"/>
        <v>59990</v>
      </c>
      <c r="AA303" s="57">
        <f t="shared" si="62"/>
        <v>0</v>
      </c>
      <c r="AB303" s="57">
        <f t="shared" si="59"/>
        <v>0.2</v>
      </c>
      <c r="AC303" s="57" t="str">
        <f t="shared" si="63"/>
        <v/>
      </c>
      <c r="AD303" s="57" t="str">
        <f t="shared" si="64"/>
        <v/>
      </c>
      <c r="AE303" s="57" t="str">
        <f>IF(AND($D303=RelConducteur,$S303="Oui",ISNUMBER($C303),$C303&gt;=RelDebut,$C303&lt;=RelFin),COUNTIFS($D$9:$D303,RelConducteur,$S$9:$S303,"Oui",$C$9:$C303,"&gt;="&amp;RelDebut,$C$9:$C303,"&lt;="&amp;RelFin),"")</f>
        <v/>
      </c>
    </row>
    <row r="304" spans="2:31" ht="18" customHeight="1" x14ac:dyDescent="0.25">
      <c r="B304" s="48" t="str">
        <f>IF(C304="","",COUNT($C$9:C304))</f>
        <v/>
      </c>
      <c r="C304" s="49"/>
      <c r="D304" s="51"/>
      <c r="E304" s="53"/>
      <c r="F304" s="51"/>
      <c r="G304" s="51"/>
      <c r="H304" s="51"/>
      <c r="I304" s="51"/>
      <c r="J304" s="59"/>
      <c r="K304" s="60"/>
      <c r="L304" s="61"/>
      <c r="M304" s="62"/>
      <c r="N304" s="63" t="str">
        <f t="shared" si="52"/>
        <v/>
      </c>
      <c r="O304" s="64" t="str">
        <f t="shared" si="53"/>
        <v/>
      </c>
      <c r="P304" s="65" t="str">
        <f t="shared" si="54"/>
        <v/>
      </c>
      <c r="Q304" s="66" t="str">
        <f t="shared" si="60"/>
        <v/>
      </c>
      <c r="R304" s="51"/>
      <c r="S304" s="60"/>
      <c r="T304" s="52" t="str">
        <f t="shared" si="55"/>
        <v/>
      </c>
      <c r="U304" s="51"/>
      <c r="V304" s="56" t="str">
        <f t="shared" si="56"/>
        <v/>
      </c>
      <c r="X304" s="57" t="str">
        <f t="shared" si="57"/>
        <v/>
      </c>
      <c r="Y304" s="57">
        <f t="shared" si="58"/>
        <v>0</v>
      </c>
      <c r="Z304" s="57">
        <f t="shared" si="61"/>
        <v>59990</v>
      </c>
      <c r="AA304" s="57">
        <f t="shared" si="62"/>
        <v>0</v>
      </c>
      <c r="AB304" s="57">
        <f t="shared" si="59"/>
        <v>0.2</v>
      </c>
      <c r="AC304" s="57" t="str">
        <f t="shared" si="63"/>
        <v/>
      </c>
      <c r="AD304" s="57" t="str">
        <f t="shared" si="64"/>
        <v/>
      </c>
      <c r="AE304" s="57" t="str">
        <f>IF(AND($D304=RelConducteur,$S304="Oui",ISNUMBER($C304),$C304&gt;=RelDebut,$C304&lt;=RelFin),COUNTIFS($D$9:$D304,RelConducteur,$S$9:$S304,"Oui",$C$9:$C304,"&gt;="&amp;RelDebut,$C$9:$C304,"&lt;="&amp;RelFin),"")</f>
        <v/>
      </c>
    </row>
    <row r="305" spans="2:31" ht="18" customHeight="1" x14ac:dyDescent="0.25">
      <c r="B305" s="48" t="str">
        <f>IF(C305="","",COUNT($C$9:C305))</f>
        <v/>
      </c>
      <c r="C305" s="49"/>
      <c r="D305" s="51"/>
      <c r="E305" s="53"/>
      <c r="F305" s="51"/>
      <c r="G305" s="51"/>
      <c r="H305" s="51"/>
      <c r="I305" s="51"/>
      <c r="J305" s="59"/>
      <c r="K305" s="60"/>
      <c r="L305" s="61"/>
      <c r="M305" s="62"/>
      <c r="N305" s="63" t="str">
        <f t="shared" si="52"/>
        <v/>
      </c>
      <c r="O305" s="64" t="str">
        <f t="shared" si="53"/>
        <v/>
      </c>
      <c r="P305" s="65" t="str">
        <f t="shared" si="54"/>
        <v/>
      </c>
      <c r="Q305" s="66" t="str">
        <f t="shared" si="60"/>
        <v/>
      </c>
      <c r="R305" s="51"/>
      <c r="S305" s="60"/>
      <c r="T305" s="52" t="str">
        <f t="shared" si="55"/>
        <v/>
      </c>
      <c r="U305" s="51"/>
      <c r="V305" s="56" t="str">
        <f t="shared" si="56"/>
        <v/>
      </c>
      <c r="X305" s="57" t="str">
        <f t="shared" si="57"/>
        <v/>
      </c>
      <c r="Y305" s="57">
        <f t="shared" si="58"/>
        <v>0</v>
      </c>
      <c r="Z305" s="57">
        <f t="shared" si="61"/>
        <v>59990</v>
      </c>
      <c r="AA305" s="57">
        <f t="shared" si="62"/>
        <v>0</v>
      </c>
      <c r="AB305" s="57">
        <f t="shared" si="59"/>
        <v>0.2</v>
      </c>
      <c r="AC305" s="57" t="str">
        <f t="shared" si="63"/>
        <v/>
      </c>
      <c r="AD305" s="57" t="str">
        <f t="shared" si="64"/>
        <v/>
      </c>
      <c r="AE305" s="57" t="str">
        <f>IF(AND($D305=RelConducteur,$S305="Oui",ISNUMBER($C305),$C305&gt;=RelDebut,$C305&lt;=RelFin),COUNTIFS($D$9:$D305,RelConducteur,$S$9:$S305,"Oui",$C$9:$C305,"&gt;="&amp;RelDebut,$C$9:$C305,"&lt;="&amp;RelFin),"")</f>
        <v/>
      </c>
    </row>
    <row r="306" spans="2:31" ht="18" customHeight="1" x14ac:dyDescent="0.25">
      <c r="B306" s="48" t="str">
        <f>IF(C306="","",COUNT($C$9:C306))</f>
        <v/>
      </c>
      <c r="C306" s="49"/>
      <c r="D306" s="51"/>
      <c r="E306" s="53"/>
      <c r="F306" s="51"/>
      <c r="G306" s="51"/>
      <c r="H306" s="51"/>
      <c r="I306" s="51"/>
      <c r="J306" s="59"/>
      <c r="K306" s="60"/>
      <c r="L306" s="61"/>
      <c r="M306" s="62"/>
      <c r="N306" s="63" t="str">
        <f t="shared" si="52"/>
        <v/>
      </c>
      <c r="O306" s="64" t="str">
        <f t="shared" si="53"/>
        <v/>
      </c>
      <c r="P306" s="65" t="str">
        <f t="shared" si="54"/>
        <v/>
      </c>
      <c r="Q306" s="66" t="str">
        <f t="shared" si="60"/>
        <v/>
      </c>
      <c r="R306" s="51"/>
      <c r="S306" s="60"/>
      <c r="T306" s="52" t="str">
        <f t="shared" si="55"/>
        <v/>
      </c>
      <c r="U306" s="51"/>
      <c r="V306" s="56" t="str">
        <f t="shared" si="56"/>
        <v/>
      </c>
      <c r="X306" s="57" t="str">
        <f t="shared" si="57"/>
        <v/>
      </c>
      <c r="Y306" s="57">
        <f t="shared" si="58"/>
        <v>0</v>
      </c>
      <c r="Z306" s="57">
        <f t="shared" si="61"/>
        <v>59990</v>
      </c>
      <c r="AA306" s="57">
        <f t="shared" si="62"/>
        <v>0</v>
      </c>
      <c r="AB306" s="57">
        <f t="shared" si="59"/>
        <v>0.2</v>
      </c>
      <c r="AC306" s="57" t="str">
        <f t="shared" si="63"/>
        <v/>
      </c>
      <c r="AD306" s="57" t="str">
        <f t="shared" si="64"/>
        <v/>
      </c>
      <c r="AE306" s="57" t="str">
        <f>IF(AND($D306=RelConducteur,$S306="Oui",ISNUMBER($C306),$C306&gt;=RelDebut,$C306&lt;=RelFin),COUNTIFS($D$9:$D306,RelConducteur,$S$9:$S306,"Oui",$C$9:$C306,"&gt;="&amp;RelDebut,$C$9:$C306,"&lt;="&amp;RelFin),"")</f>
        <v/>
      </c>
    </row>
    <row r="307" spans="2:31" ht="18" customHeight="1" x14ac:dyDescent="0.25">
      <c r="B307" s="48" t="str">
        <f>IF(C307="","",COUNT($C$9:C307))</f>
        <v/>
      </c>
      <c r="C307" s="49"/>
      <c r="D307" s="51"/>
      <c r="E307" s="53"/>
      <c r="F307" s="51"/>
      <c r="G307" s="51"/>
      <c r="H307" s="51"/>
      <c r="I307" s="51"/>
      <c r="J307" s="59"/>
      <c r="K307" s="60"/>
      <c r="L307" s="61"/>
      <c r="M307" s="62"/>
      <c r="N307" s="63" t="str">
        <f t="shared" si="52"/>
        <v/>
      </c>
      <c r="O307" s="64" t="str">
        <f t="shared" si="53"/>
        <v/>
      </c>
      <c r="P307" s="65" t="str">
        <f t="shared" si="54"/>
        <v/>
      </c>
      <c r="Q307" s="66" t="str">
        <f t="shared" si="60"/>
        <v/>
      </c>
      <c r="R307" s="51"/>
      <c r="S307" s="60"/>
      <c r="T307" s="52" t="str">
        <f t="shared" si="55"/>
        <v/>
      </c>
      <c r="U307" s="51"/>
      <c r="V307" s="56" t="str">
        <f t="shared" si="56"/>
        <v/>
      </c>
      <c r="X307" s="57" t="str">
        <f t="shared" si="57"/>
        <v/>
      </c>
      <c r="Y307" s="57">
        <f t="shared" si="58"/>
        <v>0</v>
      </c>
      <c r="Z307" s="57">
        <f t="shared" si="61"/>
        <v>59990</v>
      </c>
      <c r="AA307" s="57">
        <f t="shared" si="62"/>
        <v>0</v>
      </c>
      <c r="AB307" s="57">
        <f t="shared" si="59"/>
        <v>0.2</v>
      </c>
      <c r="AC307" s="57" t="str">
        <f t="shared" si="63"/>
        <v/>
      </c>
      <c r="AD307" s="57" t="str">
        <f t="shared" si="64"/>
        <v/>
      </c>
      <c r="AE307" s="57" t="str">
        <f>IF(AND($D307=RelConducteur,$S307="Oui",ISNUMBER($C307),$C307&gt;=RelDebut,$C307&lt;=RelFin),COUNTIFS($D$9:$D307,RelConducteur,$S$9:$S307,"Oui",$C$9:$C307,"&gt;="&amp;RelDebut,$C$9:$C307,"&lt;="&amp;RelFin),"")</f>
        <v/>
      </c>
    </row>
    <row r="308" spans="2:31" ht="18" customHeight="1" x14ac:dyDescent="0.25">
      <c r="B308" s="48" t="str">
        <f>IF(C308="","",COUNT($C$9:C308))</f>
        <v/>
      </c>
      <c r="C308" s="49"/>
      <c r="D308" s="51"/>
      <c r="E308" s="53"/>
      <c r="F308" s="51"/>
      <c r="G308" s="51"/>
      <c r="H308" s="51"/>
      <c r="I308" s="51"/>
      <c r="J308" s="59"/>
      <c r="K308" s="60"/>
      <c r="L308" s="61"/>
      <c r="M308" s="62"/>
      <c r="N308" s="63" t="str">
        <f t="shared" si="52"/>
        <v/>
      </c>
      <c r="O308" s="64" t="str">
        <f t="shared" si="53"/>
        <v/>
      </c>
      <c r="P308" s="65" t="str">
        <f t="shared" si="54"/>
        <v/>
      </c>
      <c r="Q308" s="66" t="str">
        <f t="shared" si="60"/>
        <v/>
      </c>
      <c r="R308" s="51"/>
      <c r="S308" s="60"/>
      <c r="T308" s="52" t="str">
        <f t="shared" si="55"/>
        <v/>
      </c>
      <c r="U308" s="51"/>
      <c r="V308" s="56" t="str">
        <f t="shared" si="56"/>
        <v/>
      </c>
      <c r="X308" s="57" t="str">
        <f t="shared" si="57"/>
        <v/>
      </c>
      <c r="Y308" s="57">
        <f t="shared" si="58"/>
        <v>0</v>
      </c>
      <c r="Z308" s="57">
        <f t="shared" si="61"/>
        <v>59990</v>
      </c>
      <c r="AA308" s="57">
        <f t="shared" si="62"/>
        <v>0</v>
      </c>
      <c r="AB308" s="57">
        <f t="shared" si="59"/>
        <v>0.2</v>
      </c>
      <c r="AC308" s="57" t="str">
        <f t="shared" si="63"/>
        <v/>
      </c>
      <c r="AD308" s="57" t="str">
        <f t="shared" si="64"/>
        <v/>
      </c>
      <c r="AE308" s="57" t="str">
        <f>IF(AND($D308=RelConducteur,$S308="Oui",ISNUMBER($C308),$C308&gt;=RelDebut,$C308&lt;=RelFin),COUNTIFS($D$9:$D308,RelConducteur,$S$9:$S308,"Oui",$C$9:$C308,"&gt;="&amp;RelDebut,$C$9:$C308,"&lt;="&amp;RelFin),"")</f>
        <v/>
      </c>
    </row>
    <row r="309" spans="2:31" ht="18" customHeight="1" x14ac:dyDescent="0.25">
      <c r="B309" s="48" t="str">
        <f>IF(C309="","",COUNT($C$9:C309))</f>
        <v/>
      </c>
      <c r="C309" s="49"/>
      <c r="D309" s="51"/>
      <c r="E309" s="53"/>
      <c r="F309" s="51"/>
      <c r="G309" s="51"/>
      <c r="H309" s="51"/>
      <c r="I309" s="51"/>
      <c r="J309" s="59"/>
      <c r="K309" s="60"/>
      <c r="L309" s="61"/>
      <c r="M309" s="62"/>
      <c r="N309" s="63" t="str">
        <f t="shared" si="52"/>
        <v/>
      </c>
      <c r="O309" s="64" t="str">
        <f t="shared" si="53"/>
        <v/>
      </c>
      <c r="P309" s="65" t="str">
        <f t="shared" si="54"/>
        <v/>
      </c>
      <c r="Q309" s="66" t="str">
        <f t="shared" si="60"/>
        <v/>
      </c>
      <c r="R309" s="51"/>
      <c r="S309" s="60"/>
      <c r="T309" s="52" t="str">
        <f t="shared" si="55"/>
        <v/>
      </c>
      <c r="U309" s="51"/>
      <c r="V309" s="56" t="str">
        <f t="shared" si="56"/>
        <v/>
      </c>
      <c r="X309" s="57" t="str">
        <f t="shared" si="57"/>
        <v/>
      </c>
      <c r="Y309" s="57">
        <f t="shared" si="58"/>
        <v>0</v>
      </c>
      <c r="Z309" s="57">
        <f t="shared" si="61"/>
        <v>59990</v>
      </c>
      <c r="AA309" s="57">
        <f t="shared" si="62"/>
        <v>0</v>
      </c>
      <c r="AB309" s="57">
        <f t="shared" si="59"/>
        <v>0.2</v>
      </c>
      <c r="AC309" s="57" t="str">
        <f t="shared" si="63"/>
        <v/>
      </c>
      <c r="AD309" s="57" t="str">
        <f t="shared" si="64"/>
        <v/>
      </c>
      <c r="AE309" s="57" t="str">
        <f>IF(AND($D309=RelConducteur,$S309="Oui",ISNUMBER($C309),$C309&gt;=RelDebut,$C309&lt;=RelFin),COUNTIFS($D$9:$D309,RelConducteur,$S$9:$S309,"Oui",$C$9:$C309,"&gt;="&amp;RelDebut,$C$9:$C309,"&lt;="&amp;RelFin),"")</f>
        <v/>
      </c>
    </row>
    <row r="310" spans="2:31" ht="18" customHeight="1" x14ac:dyDescent="0.25">
      <c r="B310" s="48" t="str">
        <f>IF(C310="","",COUNT($C$9:C310))</f>
        <v/>
      </c>
      <c r="C310" s="49"/>
      <c r="D310" s="51"/>
      <c r="E310" s="53"/>
      <c r="F310" s="51"/>
      <c r="G310" s="51"/>
      <c r="H310" s="51"/>
      <c r="I310" s="51"/>
      <c r="J310" s="59"/>
      <c r="K310" s="60"/>
      <c r="L310" s="61"/>
      <c r="M310" s="62"/>
      <c r="N310" s="63" t="str">
        <f t="shared" si="52"/>
        <v/>
      </c>
      <c r="O310" s="64" t="str">
        <f t="shared" si="53"/>
        <v/>
      </c>
      <c r="P310" s="65" t="str">
        <f t="shared" si="54"/>
        <v/>
      </c>
      <c r="Q310" s="66" t="str">
        <f t="shared" si="60"/>
        <v/>
      </c>
      <c r="R310" s="51"/>
      <c r="S310" s="60"/>
      <c r="T310" s="52" t="str">
        <f t="shared" si="55"/>
        <v/>
      </c>
      <c r="U310" s="51"/>
      <c r="V310" s="56" t="str">
        <f t="shared" si="56"/>
        <v/>
      </c>
      <c r="X310" s="57" t="str">
        <f t="shared" si="57"/>
        <v/>
      </c>
      <c r="Y310" s="57">
        <f t="shared" si="58"/>
        <v>0</v>
      </c>
      <c r="Z310" s="57">
        <f t="shared" si="61"/>
        <v>59990</v>
      </c>
      <c r="AA310" s="57">
        <f t="shared" si="62"/>
        <v>0</v>
      </c>
      <c r="AB310" s="57">
        <f t="shared" si="59"/>
        <v>0.2</v>
      </c>
      <c r="AC310" s="57" t="str">
        <f t="shared" si="63"/>
        <v/>
      </c>
      <c r="AD310" s="57" t="str">
        <f t="shared" si="64"/>
        <v/>
      </c>
      <c r="AE310" s="57" t="str">
        <f>IF(AND($D310=RelConducteur,$S310="Oui",ISNUMBER($C310),$C310&gt;=RelDebut,$C310&lt;=RelFin),COUNTIFS($D$9:$D310,RelConducteur,$S$9:$S310,"Oui",$C$9:$C310,"&gt;="&amp;RelDebut,$C$9:$C310,"&lt;="&amp;RelFin),"")</f>
        <v/>
      </c>
    </row>
    <row r="311" spans="2:31" ht="18" customHeight="1" x14ac:dyDescent="0.25">
      <c r="B311" s="48" t="str">
        <f>IF(C311="","",COUNT($C$9:C311))</f>
        <v/>
      </c>
      <c r="C311" s="49"/>
      <c r="D311" s="51"/>
      <c r="E311" s="53"/>
      <c r="F311" s="51"/>
      <c r="G311" s="51"/>
      <c r="H311" s="51"/>
      <c r="I311" s="51"/>
      <c r="J311" s="59"/>
      <c r="K311" s="60"/>
      <c r="L311" s="61"/>
      <c r="M311" s="62"/>
      <c r="N311" s="63" t="str">
        <f t="shared" si="52"/>
        <v/>
      </c>
      <c r="O311" s="64" t="str">
        <f t="shared" si="53"/>
        <v/>
      </c>
      <c r="P311" s="65" t="str">
        <f t="shared" si="54"/>
        <v/>
      </c>
      <c r="Q311" s="66" t="str">
        <f t="shared" si="60"/>
        <v/>
      </c>
      <c r="R311" s="51"/>
      <c r="S311" s="60"/>
      <c r="T311" s="52" t="str">
        <f t="shared" si="55"/>
        <v/>
      </c>
      <c r="U311" s="51"/>
      <c r="V311" s="56" t="str">
        <f t="shared" si="56"/>
        <v/>
      </c>
      <c r="X311" s="57" t="str">
        <f t="shared" si="57"/>
        <v/>
      </c>
      <c r="Y311" s="57">
        <f t="shared" si="58"/>
        <v>0</v>
      </c>
      <c r="Z311" s="57">
        <f t="shared" si="61"/>
        <v>59990</v>
      </c>
      <c r="AA311" s="57">
        <f t="shared" si="62"/>
        <v>0</v>
      </c>
      <c r="AB311" s="57">
        <f t="shared" si="59"/>
        <v>0.2</v>
      </c>
      <c r="AC311" s="57" t="str">
        <f t="shared" si="63"/>
        <v/>
      </c>
      <c r="AD311" s="57" t="str">
        <f t="shared" si="64"/>
        <v/>
      </c>
      <c r="AE311" s="57" t="str">
        <f>IF(AND($D311=RelConducteur,$S311="Oui",ISNUMBER($C311),$C311&gt;=RelDebut,$C311&lt;=RelFin),COUNTIFS($D$9:$D311,RelConducteur,$S$9:$S311,"Oui",$C$9:$C311,"&gt;="&amp;RelDebut,$C$9:$C311,"&lt;="&amp;RelFin),"")</f>
        <v/>
      </c>
    </row>
    <row r="312" spans="2:31" ht="18" customHeight="1" x14ac:dyDescent="0.25">
      <c r="B312" s="48" t="str">
        <f>IF(C312="","",COUNT($C$9:C312))</f>
        <v/>
      </c>
      <c r="C312" s="49"/>
      <c r="D312" s="51"/>
      <c r="E312" s="53"/>
      <c r="F312" s="51"/>
      <c r="G312" s="51"/>
      <c r="H312" s="51"/>
      <c r="I312" s="51"/>
      <c r="J312" s="59"/>
      <c r="K312" s="60"/>
      <c r="L312" s="61"/>
      <c r="M312" s="62"/>
      <c r="N312" s="63" t="str">
        <f t="shared" si="52"/>
        <v/>
      </c>
      <c r="O312" s="64" t="str">
        <f t="shared" si="53"/>
        <v/>
      </c>
      <c r="P312" s="65" t="str">
        <f t="shared" si="54"/>
        <v/>
      </c>
      <c r="Q312" s="66" t="str">
        <f t="shared" si="60"/>
        <v/>
      </c>
      <c r="R312" s="51"/>
      <c r="S312" s="60"/>
      <c r="T312" s="52" t="str">
        <f t="shared" si="55"/>
        <v/>
      </c>
      <c r="U312" s="51"/>
      <c r="V312" s="56" t="str">
        <f t="shared" si="56"/>
        <v/>
      </c>
      <c r="X312" s="57" t="str">
        <f t="shared" si="57"/>
        <v/>
      </c>
      <c r="Y312" s="57">
        <f t="shared" si="58"/>
        <v>0</v>
      </c>
      <c r="Z312" s="57">
        <f t="shared" si="61"/>
        <v>59990</v>
      </c>
      <c r="AA312" s="57">
        <f t="shared" si="62"/>
        <v>0</v>
      </c>
      <c r="AB312" s="57">
        <f t="shared" si="59"/>
        <v>0.2</v>
      </c>
      <c r="AC312" s="57" t="str">
        <f t="shared" si="63"/>
        <v/>
      </c>
      <c r="AD312" s="57" t="str">
        <f t="shared" si="64"/>
        <v/>
      </c>
      <c r="AE312" s="57" t="str">
        <f>IF(AND($D312=RelConducteur,$S312="Oui",ISNUMBER($C312),$C312&gt;=RelDebut,$C312&lt;=RelFin),COUNTIFS($D$9:$D312,RelConducteur,$S$9:$S312,"Oui",$C$9:$C312,"&gt;="&amp;RelDebut,$C$9:$C312,"&lt;="&amp;RelFin),"")</f>
        <v/>
      </c>
    </row>
    <row r="313" spans="2:31" ht="18" customHeight="1" x14ac:dyDescent="0.25">
      <c r="B313" s="48" t="str">
        <f>IF(C313="","",COUNT($C$9:C313))</f>
        <v/>
      </c>
      <c r="C313" s="49"/>
      <c r="D313" s="51"/>
      <c r="E313" s="53"/>
      <c r="F313" s="51"/>
      <c r="G313" s="51"/>
      <c r="H313" s="51"/>
      <c r="I313" s="51"/>
      <c r="J313" s="59"/>
      <c r="K313" s="60"/>
      <c r="L313" s="61"/>
      <c r="M313" s="62"/>
      <c r="N313" s="63" t="str">
        <f t="shared" si="52"/>
        <v/>
      </c>
      <c r="O313" s="64" t="str">
        <f t="shared" si="53"/>
        <v/>
      </c>
      <c r="P313" s="65" t="str">
        <f t="shared" si="54"/>
        <v/>
      </c>
      <c r="Q313" s="66" t="str">
        <f t="shared" si="60"/>
        <v/>
      </c>
      <c r="R313" s="51"/>
      <c r="S313" s="60"/>
      <c r="T313" s="52" t="str">
        <f t="shared" si="55"/>
        <v/>
      </c>
      <c r="U313" s="51"/>
      <c r="V313" s="56" t="str">
        <f t="shared" si="56"/>
        <v/>
      </c>
      <c r="X313" s="57" t="str">
        <f t="shared" si="57"/>
        <v/>
      </c>
      <c r="Y313" s="57">
        <f t="shared" si="58"/>
        <v>0</v>
      </c>
      <c r="Z313" s="57">
        <f t="shared" si="61"/>
        <v>59990</v>
      </c>
      <c r="AA313" s="57">
        <f t="shared" si="62"/>
        <v>0</v>
      </c>
      <c r="AB313" s="57">
        <f t="shared" si="59"/>
        <v>0.2</v>
      </c>
      <c r="AC313" s="57" t="str">
        <f t="shared" si="63"/>
        <v/>
      </c>
      <c r="AD313" s="57" t="str">
        <f t="shared" si="64"/>
        <v/>
      </c>
      <c r="AE313" s="57" t="str">
        <f>IF(AND($D313=RelConducteur,$S313="Oui",ISNUMBER($C313),$C313&gt;=RelDebut,$C313&lt;=RelFin),COUNTIFS($D$9:$D313,RelConducteur,$S$9:$S313,"Oui",$C$9:$C313,"&gt;="&amp;RelDebut,$C$9:$C313,"&lt;="&amp;RelFin),"")</f>
        <v/>
      </c>
    </row>
    <row r="314" spans="2:31" ht="18" customHeight="1" x14ac:dyDescent="0.25">
      <c r="B314" s="48" t="str">
        <f>IF(C314="","",COUNT($C$9:C314))</f>
        <v/>
      </c>
      <c r="C314" s="49"/>
      <c r="D314" s="51"/>
      <c r="E314" s="53"/>
      <c r="F314" s="51"/>
      <c r="G314" s="51"/>
      <c r="H314" s="51"/>
      <c r="I314" s="51"/>
      <c r="J314" s="59"/>
      <c r="K314" s="60"/>
      <c r="L314" s="61"/>
      <c r="M314" s="62"/>
      <c r="N314" s="63" t="str">
        <f t="shared" si="52"/>
        <v/>
      </c>
      <c r="O314" s="64" t="str">
        <f t="shared" si="53"/>
        <v/>
      </c>
      <c r="P314" s="65" t="str">
        <f t="shared" si="54"/>
        <v/>
      </c>
      <c r="Q314" s="66" t="str">
        <f t="shared" si="60"/>
        <v/>
      </c>
      <c r="R314" s="51"/>
      <c r="S314" s="60"/>
      <c r="T314" s="52" t="str">
        <f t="shared" si="55"/>
        <v/>
      </c>
      <c r="U314" s="51"/>
      <c r="V314" s="56" t="str">
        <f t="shared" si="56"/>
        <v/>
      </c>
      <c r="X314" s="57" t="str">
        <f t="shared" si="57"/>
        <v/>
      </c>
      <c r="Y314" s="57">
        <f t="shared" si="58"/>
        <v>0</v>
      </c>
      <c r="Z314" s="57">
        <f t="shared" si="61"/>
        <v>59990</v>
      </c>
      <c r="AA314" s="57">
        <f t="shared" si="62"/>
        <v>0</v>
      </c>
      <c r="AB314" s="57">
        <f t="shared" si="59"/>
        <v>0.2</v>
      </c>
      <c r="AC314" s="57" t="str">
        <f t="shared" si="63"/>
        <v/>
      </c>
      <c r="AD314" s="57" t="str">
        <f t="shared" si="64"/>
        <v/>
      </c>
      <c r="AE314" s="57" t="str">
        <f>IF(AND($D314=RelConducteur,$S314="Oui",ISNUMBER($C314),$C314&gt;=RelDebut,$C314&lt;=RelFin),COUNTIFS($D$9:$D314,RelConducteur,$S$9:$S314,"Oui",$C$9:$C314,"&gt;="&amp;RelDebut,$C$9:$C314,"&lt;="&amp;RelFin),"")</f>
        <v/>
      </c>
    </row>
    <row r="315" spans="2:31" ht="18" customHeight="1" x14ac:dyDescent="0.25">
      <c r="B315" s="48" t="str">
        <f>IF(C315="","",COUNT($C$9:C315))</f>
        <v/>
      </c>
      <c r="C315" s="49"/>
      <c r="D315" s="51"/>
      <c r="E315" s="53"/>
      <c r="F315" s="51"/>
      <c r="G315" s="51"/>
      <c r="H315" s="51"/>
      <c r="I315" s="51"/>
      <c r="J315" s="59"/>
      <c r="K315" s="60"/>
      <c r="L315" s="61"/>
      <c r="M315" s="62"/>
      <c r="N315" s="63" t="str">
        <f t="shared" si="52"/>
        <v/>
      </c>
      <c r="O315" s="64" t="str">
        <f t="shared" si="53"/>
        <v/>
      </c>
      <c r="P315" s="65" t="str">
        <f t="shared" si="54"/>
        <v/>
      </c>
      <c r="Q315" s="66" t="str">
        <f t="shared" si="60"/>
        <v/>
      </c>
      <c r="R315" s="51"/>
      <c r="S315" s="60"/>
      <c r="T315" s="52" t="str">
        <f t="shared" si="55"/>
        <v/>
      </c>
      <c r="U315" s="51"/>
      <c r="V315" s="56" t="str">
        <f t="shared" si="56"/>
        <v/>
      </c>
      <c r="X315" s="57" t="str">
        <f t="shared" si="57"/>
        <v/>
      </c>
      <c r="Y315" s="57">
        <f t="shared" si="58"/>
        <v>0</v>
      </c>
      <c r="Z315" s="57">
        <f t="shared" si="61"/>
        <v>59990</v>
      </c>
      <c r="AA315" s="57">
        <f t="shared" si="62"/>
        <v>0</v>
      </c>
      <c r="AB315" s="57">
        <f t="shared" si="59"/>
        <v>0.2</v>
      </c>
      <c r="AC315" s="57" t="str">
        <f t="shared" si="63"/>
        <v/>
      </c>
      <c r="AD315" s="57" t="str">
        <f t="shared" si="64"/>
        <v/>
      </c>
      <c r="AE315" s="57" t="str">
        <f>IF(AND($D315=RelConducteur,$S315="Oui",ISNUMBER($C315),$C315&gt;=RelDebut,$C315&lt;=RelFin),COUNTIFS($D$9:$D315,RelConducteur,$S$9:$S315,"Oui",$C$9:$C315,"&gt;="&amp;RelDebut,$C$9:$C315,"&lt;="&amp;RelFin),"")</f>
        <v/>
      </c>
    </row>
    <row r="316" spans="2:31" ht="18" customHeight="1" x14ac:dyDescent="0.25">
      <c r="B316" s="48" t="str">
        <f>IF(C316="","",COUNT($C$9:C316))</f>
        <v/>
      </c>
      <c r="C316" s="49"/>
      <c r="D316" s="51"/>
      <c r="E316" s="53"/>
      <c r="F316" s="51"/>
      <c r="G316" s="51"/>
      <c r="H316" s="51"/>
      <c r="I316" s="51"/>
      <c r="J316" s="59"/>
      <c r="K316" s="60"/>
      <c r="L316" s="61"/>
      <c r="M316" s="62"/>
      <c r="N316" s="63" t="str">
        <f t="shared" si="52"/>
        <v/>
      </c>
      <c r="O316" s="64" t="str">
        <f t="shared" si="53"/>
        <v/>
      </c>
      <c r="P316" s="65" t="str">
        <f t="shared" si="54"/>
        <v/>
      </c>
      <c r="Q316" s="66" t="str">
        <f t="shared" si="60"/>
        <v/>
      </c>
      <c r="R316" s="51"/>
      <c r="S316" s="60"/>
      <c r="T316" s="52" t="str">
        <f t="shared" si="55"/>
        <v/>
      </c>
      <c r="U316" s="51"/>
      <c r="V316" s="56" t="str">
        <f t="shared" si="56"/>
        <v/>
      </c>
      <c r="X316" s="57" t="str">
        <f t="shared" si="57"/>
        <v/>
      </c>
      <c r="Y316" s="57">
        <f t="shared" si="58"/>
        <v>0</v>
      </c>
      <c r="Z316" s="57">
        <f t="shared" si="61"/>
        <v>59990</v>
      </c>
      <c r="AA316" s="57">
        <f t="shared" si="62"/>
        <v>0</v>
      </c>
      <c r="AB316" s="57">
        <f t="shared" si="59"/>
        <v>0.2</v>
      </c>
      <c r="AC316" s="57" t="str">
        <f t="shared" si="63"/>
        <v/>
      </c>
      <c r="AD316" s="57" t="str">
        <f t="shared" si="64"/>
        <v/>
      </c>
      <c r="AE316" s="57" t="str">
        <f>IF(AND($D316=RelConducteur,$S316="Oui",ISNUMBER($C316),$C316&gt;=RelDebut,$C316&lt;=RelFin),COUNTIFS($D$9:$D316,RelConducteur,$S$9:$S316,"Oui",$C$9:$C316,"&gt;="&amp;RelDebut,$C$9:$C316,"&lt;="&amp;RelFin),"")</f>
        <v/>
      </c>
    </row>
    <row r="317" spans="2:31" ht="18" customHeight="1" x14ac:dyDescent="0.25">
      <c r="B317" s="48" t="str">
        <f>IF(C317="","",COUNT($C$9:C317))</f>
        <v/>
      </c>
      <c r="C317" s="49"/>
      <c r="D317" s="51"/>
      <c r="E317" s="53"/>
      <c r="F317" s="51"/>
      <c r="G317" s="51"/>
      <c r="H317" s="51"/>
      <c r="I317" s="51"/>
      <c r="J317" s="59"/>
      <c r="K317" s="60"/>
      <c r="L317" s="61"/>
      <c r="M317" s="62"/>
      <c r="N317" s="63" t="str">
        <f t="shared" si="52"/>
        <v/>
      </c>
      <c r="O317" s="64" t="str">
        <f t="shared" si="53"/>
        <v/>
      </c>
      <c r="P317" s="65" t="str">
        <f t="shared" si="54"/>
        <v/>
      </c>
      <c r="Q317" s="66" t="str">
        <f t="shared" si="60"/>
        <v/>
      </c>
      <c r="R317" s="51"/>
      <c r="S317" s="60"/>
      <c r="T317" s="52" t="str">
        <f t="shared" si="55"/>
        <v/>
      </c>
      <c r="U317" s="51"/>
      <c r="V317" s="56" t="str">
        <f t="shared" si="56"/>
        <v/>
      </c>
      <c r="X317" s="57" t="str">
        <f t="shared" si="57"/>
        <v/>
      </c>
      <c r="Y317" s="57">
        <f t="shared" si="58"/>
        <v>0</v>
      </c>
      <c r="Z317" s="57">
        <f t="shared" si="61"/>
        <v>59990</v>
      </c>
      <c r="AA317" s="57">
        <f t="shared" si="62"/>
        <v>0</v>
      </c>
      <c r="AB317" s="57">
        <f t="shared" si="59"/>
        <v>0.2</v>
      </c>
      <c r="AC317" s="57" t="str">
        <f t="shared" si="63"/>
        <v/>
      </c>
      <c r="AD317" s="57" t="str">
        <f t="shared" si="64"/>
        <v/>
      </c>
      <c r="AE317" s="57" t="str">
        <f>IF(AND($D317=RelConducteur,$S317="Oui",ISNUMBER($C317),$C317&gt;=RelDebut,$C317&lt;=RelFin),COUNTIFS($D$9:$D317,RelConducteur,$S$9:$S317,"Oui",$C$9:$C317,"&gt;="&amp;RelDebut,$C$9:$C317,"&lt;="&amp;RelFin),"")</f>
        <v/>
      </c>
    </row>
    <row r="318" spans="2:31" ht="18" customHeight="1" x14ac:dyDescent="0.25">
      <c r="B318" s="48" t="str">
        <f>IF(C318="","",COUNT($C$9:C318))</f>
        <v/>
      </c>
      <c r="C318" s="49"/>
      <c r="D318" s="51"/>
      <c r="E318" s="53"/>
      <c r="F318" s="51"/>
      <c r="G318" s="51"/>
      <c r="H318" s="51"/>
      <c r="I318" s="51"/>
      <c r="J318" s="59"/>
      <c r="K318" s="60"/>
      <c r="L318" s="61"/>
      <c r="M318" s="62"/>
      <c r="N318" s="63" t="str">
        <f t="shared" si="52"/>
        <v/>
      </c>
      <c r="O318" s="64" t="str">
        <f t="shared" si="53"/>
        <v/>
      </c>
      <c r="P318" s="65" t="str">
        <f t="shared" si="54"/>
        <v/>
      </c>
      <c r="Q318" s="66" t="str">
        <f t="shared" si="60"/>
        <v/>
      </c>
      <c r="R318" s="51"/>
      <c r="S318" s="60"/>
      <c r="T318" s="52" t="str">
        <f t="shared" si="55"/>
        <v/>
      </c>
      <c r="U318" s="51"/>
      <c r="V318" s="56" t="str">
        <f t="shared" si="56"/>
        <v/>
      </c>
      <c r="X318" s="57" t="str">
        <f t="shared" si="57"/>
        <v/>
      </c>
      <c r="Y318" s="57">
        <f t="shared" si="58"/>
        <v>0</v>
      </c>
      <c r="Z318" s="57">
        <f t="shared" si="61"/>
        <v>59990</v>
      </c>
      <c r="AA318" s="57">
        <f t="shared" si="62"/>
        <v>0</v>
      </c>
      <c r="AB318" s="57">
        <f t="shared" si="59"/>
        <v>0.2</v>
      </c>
      <c r="AC318" s="57" t="str">
        <f t="shared" si="63"/>
        <v/>
      </c>
      <c r="AD318" s="57" t="str">
        <f t="shared" si="64"/>
        <v/>
      </c>
      <c r="AE318" s="57" t="str">
        <f>IF(AND($D318=RelConducteur,$S318="Oui",ISNUMBER($C318),$C318&gt;=RelDebut,$C318&lt;=RelFin),COUNTIFS($D$9:$D318,RelConducteur,$S$9:$S318,"Oui",$C$9:$C318,"&gt;="&amp;RelDebut,$C$9:$C318,"&lt;="&amp;RelFin),"")</f>
        <v/>
      </c>
    </row>
    <row r="319" spans="2:31" ht="18" customHeight="1" x14ac:dyDescent="0.25">
      <c r="B319" s="48" t="str">
        <f>IF(C319="","",COUNT($C$9:C319))</f>
        <v/>
      </c>
      <c r="C319" s="49"/>
      <c r="D319" s="51"/>
      <c r="E319" s="53"/>
      <c r="F319" s="51"/>
      <c r="G319" s="51"/>
      <c r="H319" s="51"/>
      <c r="I319" s="51"/>
      <c r="J319" s="59"/>
      <c r="K319" s="60"/>
      <c r="L319" s="61"/>
      <c r="M319" s="62"/>
      <c r="N319" s="63" t="str">
        <f t="shared" si="52"/>
        <v/>
      </c>
      <c r="O319" s="64" t="str">
        <f t="shared" si="53"/>
        <v/>
      </c>
      <c r="P319" s="65" t="str">
        <f t="shared" si="54"/>
        <v/>
      </c>
      <c r="Q319" s="66" t="str">
        <f t="shared" si="60"/>
        <v/>
      </c>
      <c r="R319" s="51"/>
      <c r="S319" s="60"/>
      <c r="T319" s="52" t="str">
        <f t="shared" si="55"/>
        <v/>
      </c>
      <c r="U319" s="51"/>
      <c r="V319" s="56" t="str">
        <f t="shared" si="56"/>
        <v/>
      </c>
      <c r="X319" s="57" t="str">
        <f t="shared" si="57"/>
        <v/>
      </c>
      <c r="Y319" s="57">
        <f t="shared" si="58"/>
        <v>0</v>
      </c>
      <c r="Z319" s="57">
        <f t="shared" si="61"/>
        <v>59990</v>
      </c>
      <c r="AA319" s="57">
        <f t="shared" si="62"/>
        <v>0</v>
      </c>
      <c r="AB319" s="57">
        <f t="shared" si="59"/>
        <v>0.2</v>
      </c>
      <c r="AC319" s="57" t="str">
        <f t="shared" si="63"/>
        <v/>
      </c>
      <c r="AD319" s="57" t="str">
        <f t="shared" si="64"/>
        <v/>
      </c>
      <c r="AE319" s="57" t="str">
        <f>IF(AND($D319=RelConducteur,$S319="Oui",ISNUMBER($C319),$C319&gt;=RelDebut,$C319&lt;=RelFin),COUNTIFS($D$9:$D319,RelConducteur,$S$9:$S319,"Oui",$C$9:$C319,"&gt;="&amp;RelDebut,$C$9:$C319,"&lt;="&amp;RelFin),"")</f>
        <v/>
      </c>
    </row>
    <row r="320" spans="2:31" ht="18" customHeight="1" x14ac:dyDescent="0.25">
      <c r="B320" s="48" t="str">
        <f>IF(C320="","",COUNT($C$9:C320))</f>
        <v/>
      </c>
      <c r="C320" s="49"/>
      <c r="D320" s="51"/>
      <c r="E320" s="53"/>
      <c r="F320" s="51"/>
      <c r="G320" s="51"/>
      <c r="H320" s="51"/>
      <c r="I320" s="51"/>
      <c r="J320" s="59"/>
      <c r="K320" s="60"/>
      <c r="L320" s="61"/>
      <c r="M320" s="62"/>
      <c r="N320" s="63" t="str">
        <f t="shared" si="52"/>
        <v/>
      </c>
      <c r="O320" s="64" t="str">
        <f t="shared" si="53"/>
        <v/>
      </c>
      <c r="P320" s="65" t="str">
        <f t="shared" si="54"/>
        <v/>
      </c>
      <c r="Q320" s="66" t="str">
        <f t="shared" si="60"/>
        <v/>
      </c>
      <c r="R320" s="51"/>
      <c r="S320" s="60"/>
      <c r="T320" s="52" t="str">
        <f t="shared" si="55"/>
        <v/>
      </c>
      <c r="U320" s="51"/>
      <c r="V320" s="56" t="str">
        <f t="shared" si="56"/>
        <v/>
      </c>
      <c r="X320" s="57" t="str">
        <f t="shared" si="57"/>
        <v/>
      </c>
      <c r="Y320" s="57">
        <f t="shared" si="58"/>
        <v>0</v>
      </c>
      <c r="Z320" s="57">
        <f t="shared" si="61"/>
        <v>59990</v>
      </c>
      <c r="AA320" s="57">
        <f t="shared" si="62"/>
        <v>0</v>
      </c>
      <c r="AB320" s="57">
        <f t="shared" si="59"/>
        <v>0.2</v>
      </c>
      <c r="AC320" s="57" t="str">
        <f t="shared" si="63"/>
        <v/>
      </c>
      <c r="AD320" s="57" t="str">
        <f t="shared" si="64"/>
        <v/>
      </c>
      <c r="AE320" s="57" t="str">
        <f>IF(AND($D320=RelConducteur,$S320="Oui",ISNUMBER($C320),$C320&gt;=RelDebut,$C320&lt;=RelFin),COUNTIFS($D$9:$D320,RelConducteur,$S$9:$S320,"Oui",$C$9:$C320,"&gt;="&amp;RelDebut,$C$9:$C320,"&lt;="&amp;RelFin),"")</f>
        <v/>
      </c>
    </row>
    <row r="321" spans="2:31" ht="18" customHeight="1" x14ac:dyDescent="0.25">
      <c r="B321" s="48" t="str">
        <f>IF(C321="","",COUNT($C$9:C321))</f>
        <v/>
      </c>
      <c r="C321" s="49"/>
      <c r="D321" s="51"/>
      <c r="E321" s="53"/>
      <c r="F321" s="51"/>
      <c r="G321" s="51"/>
      <c r="H321" s="51"/>
      <c r="I321" s="51"/>
      <c r="J321" s="59"/>
      <c r="K321" s="60"/>
      <c r="L321" s="61"/>
      <c r="M321" s="62"/>
      <c r="N321" s="63" t="str">
        <f t="shared" si="52"/>
        <v/>
      </c>
      <c r="O321" s="64" t="str">
        <f t="shared" si="53"/>
        <v/>
      </c>
      <c r="P321" s="65" t="str">
        <f t="shared" si="54"/>
        <v/>
      </c>
      <c r="Q321" s="66" t="str">
        <f t="shared" si="60"/>
        <v/>
      </c>
      <c r="R321" s="51"/>
      <c r="S321" s="60"/>
      <c r="T321" s="52" t="str">
        <f t="shared" si="55"/>
        <v/>
      </c>
      <c r="U321" s="51"/>
      <c r="V321" s="56" t="str">
        <f t="shared" si="56"/>
        <v/>
      </c>
      <c r="X321" s="57" t="str">
        <f t="shared" si="57"/>
        <v/>
      </c>
      <c r="Y321" s="57">
        <f t="shared" si="58"/>
        <v>0</v>
      </c>
      <c r="Z321" s="57">
        <f t="shared" si="61"/>
        <v>59990</v>
      </c>
      <c r="AA321" s="57">
        <f t="shared" si="62"/>
        <v>0</v>
      </c>
      <c r="AB321" s="57">
        <f t="shared" si="59"/>
        <v>0.2</v>
      </c>
      <c r="AC321" s="57" t="str">
        <f t="shared" si="63"/>
        <v/>
      </c>
      <c r="AD321" s="57" t="str">
        <f t="shared" si="64"/>
        <v/>
      </c>
      <c r="AE321" s="57" t="str">
        <f>IF(AND($D321=RelConducteur,$S321="Oui",ISNUMBER($C321),$C321&gt;=RelDebut,$C321&lt;=RelFin),COUNTIFS($D$9:$D321,RelConducteur,$S$9:$S321,"Oui",$C$9:$C321,"&gt;="&amp;RelDebut,$C$9:$C321,"&lt;="&amp;RelFin),"")</f>
        <v/>
      </c>
    </row>
    <row r="322" spans="2:31" ht="18" customHeight="1" x14ac:dyDescent="0.25">
      <c r="B322" s="48" t="str">
        <f>IF(C322="","",COUNT($C$9:C322))</f>
        <v/>
      </c>
      <c r="C322" s="49"/>
      <c r="D322" s="51"/>
      <c r="E322" s="53"/>
      <c r="F322" s="51"/>
      <c r="G322" s="51"/>
      <c r="H322" s="51"/>
      <c r="I322" s="51"/>
      <c r="J322" s="59"/>
      <c r="K322" s="60"/>
      <c r="L322" s="61"/>
      <c r="M322" s="62"/>
      <c r="N322" s="63" t="str">
        <f t="shared" si="52"/>
        <v/>
      </c>
      <c r="O322" s="64" t="str">
        <f t="shared" si="53"/>
        <v/>
      </c>
      <c r="P322" s="65" t="str">
        <f t="shared" si="54"/>
        <v/>
      </c>
      <c r="Q322" s="66" t="str">
        <f t="shared" si="60"/>
        <v/>
      </c>
      <c r="R322" s="51"/>
      <c r="S322" s="60"/>
      <c r="T322" s="52" t="str">
        <f t="shared" si="55"/>
        <v/>
      </c>
      <c r="U322" s="51"/>
      <c r="V322" s="56" t="str">
        <f t="shared" si="56"/>
        <v/>
      </c>
      <c r="X322" s="57" t="str">
        <f t="shared" si="57"/>
        <v/>
      </c>
      <c r="Y322" s="57">
        <f t="shared" si="58"/>
        <v>0</v>
      </c>
      <c r="Z322" s="57">
        <f t="shared" si="61"/>
        <v>59990</v>
      </c>
      <c r="AA322" s="57">
        <f t="shared" si="62"/>
        <v>0</v>
      </c>
      <c r="AB322" s="57">
        <f t="shared" si="59"/>
        <v>0.2</v>
      </c>
      <c r="AC322" s="57" t="str">
        <f t="shared" si="63"/>
        <v/>
      </c>
      <c r="AD322" s="57" t="str">
        <f t="shared" si="64"/>
        <v/>
      </c>
      <c r="AE322" s="57" t="str">
        <f>IF(AND($D322=RelConducteur,$S322="Oui",ISNUMBER($C322),$C322&gt;=RelDebut,$C322&lt;=RelFin),COUNTIFS($D$9:$D322,RelConducteur,$S$9:$S322,"Oui",$C$9:$C322,"&gt;="&amp;RelDebut,$C$9:$C322,"&lt;="&amp;RelFin),"")</f>
        <v/>
      </c>
    </row>
    <row r="323" spans="2:31" ht="18" customHeight="1" x14ac:dyDescent="0.25">
      <c r="B323" s="48" t="str">
        <f>IF(C323="","",COUNT($C$9:C323))</f>
        <v/>
      </c>
      <c r="C323" s="49"/>
      <c r="D323" s="51"/>
      <c r="E323" s="53"/>
      <c r="F323" s="51"/>
      <c r="G323" s="51"/>
      <c r="H323" s="51"/>
      <c r="I323" s="51"/>
      <c r="J323" s="59"/>
      <c r="K323" s="60"/>
      <c r="L323" s="61"/>
      <c r="M323" s="62"/>
      <c r="N323" s="63" t="str">
        <f t="shared" si="52"/>
        <v/>
      </c>
      <c r="O323" s="64" t="str">
        <f t="shared" si="53"/>
        <v/>
      </c>
      <c r="P323" s="65" t="str">
        <f t="shared" si="54"/>
        <v/>
      </c>
      <c r="Q323" s="66" t="str">
        <f t="shared" si="60"/>
        <v/>
      </c>
      <c r="R323" s="51"/>
      <c r="S323" s="60"/>
      <c r="T323" s="52" t="str">
        <f t="shared" si="55"/>
        <v/>
      </c>
      <c r="U323" s="51"/>
      <c r="V323" s="56" t="str">
        <f t="shared" si="56"/>
        <v/>
      </c>
      <c r="X323" s="57" t="str">
        <f t="shared" si="57"/>
        <v/>
      </c>
      <c r="Y323" s="57">
        <f t="shared" si="58"/>
        <v>0</v>
      </c>
      <c r="Z323" s="57">
        <f t="shared" si="61"/>
        <v>59990</v>
      </c>
      <c r="AA323" s="57">
        <f t="shared" si="62"/>
        <v>0</v>
      </c>
      <c r="AB323" s="57">
        <f t="shared" si="59"/>
        <v>0.2</v>
      </c>
      <c r="AC323" s="57" t="str">
        <f t="shared" si="63"/>
        <v/>
      </c>
      <c r="AD323" s="57" t="str">
        <f t="shared" si="64"/>
        <v/>
      </c>
      <c r="AE323" s="57" t="str">
        <f>IF(AND($D323=RelConducteur,$S323="Oui",ISNUMBER($C323),$C323&gt;=RelDebut,$C323&lt;=RelFin),COUNTIFS($D$9:$D323,RelConducteur,$S$9:$S323,"Oui",$C$9:$C323,"&gt;="&amp;RelDebut,$C$9:$C323,"&lt;="&amp;RelFin),"")</f>
        <v/>
      </c>
    </row>
    <row r="324" spans="2:31" ht="18" customHeight="1" x14ac:dyDescent="0.25">
      <c r="B324" s="48" t="str">
        <f>IF(C324="","",COUNT($C$9:C324))</f>
        <v/>
      </c>
      <c r="C324" s="49"/>
      <c r="D324" s="51"/>
      <c r="E324" s="53"/>
      <c r="F324" s="51"/>
      <c r="G324" s="51"/>
      <c r="H324" s="51"/>
      <c r="I324" s="51"/>
      <c r="J324" s="59"/>
      <c r="K324" s="60"/>
      <c r="L324" s="61"/>
      <c r="M324" s="62"/>
      <c r="N324" s="63" t="str">
        <f t="shared" si="52"/>
        <v/>
      </c>
      <c r="O324" s="64" t="str">
        <f t="shared" si="53"/>
        <v/>
      </c>
      <c r="P324" s="65" t="str">
        <f t="shared" si="54"/>
        <v/>
      </c>
      <c r="Q324" s="66" t="str">
        <f t="shared" si="60"/>
        <v/>
      </c>
      <c r="R324" s="51"/>
      <c r="S324" s="60"/>
      <c r="T324" s="52" t="str">
        <f t="shared" si="55"/>
        <v/>
      </c>
      <c r="U324" s="51"/>
      <c r="V324" s="56" t="str">
        <f t="shared" si="56"/>
        <v/>
      </c>
      <c r="X324" s="57" t="str">
        <f t="shared" si="57"/>
        <v/>
      </c>
      <c r="Y324" s="57">
        <f t="shared" si="58"/>
        <v>0</v>
      </c>
      <c r="Z324" s="57">
        <f t="shared" si="61"/>
        <v>59990</v>
      </c>
      <c r="AA324" s="57">
        <f t="shared" si="62"/>
        <v>0</v>
      </c>
      <c r="AB324" s="57">
        <f t="shared" si="59"/>
        <v>0.2</v>
      </c>
      <c r="AC324" s="57" t="str">
        <f t="shared" si="63"/>
        <v/>
      </c>
      <c r="AD324" s="57" t="str">
        <f t="shared" si="64"/>
        <v/>
      </c>
      <c r="AE324" s="57" t="str">
        <f>IF(AND($D324=RelConducteur,$S324="Oui",ISNUMBER($C324),$C324&gt;=RelDebut,$C324&lt;=RelFin),COUNTIFS($D$9:$D324,RelConducteur,$S$9:$S324,"Oui",$C$9:$C324,"&gt;="&amp;RelDebut,$C$9:$C324,"&lt;="&amp;RelFin),"")</f>
        <v/>
      </c>
    </row>
    <row r="325" spans="2:31" ht="18" customHeight="1" x14ac:dyDescent="0.25">
      <c r="B325" s="48" t="str">
        <f>IF(C325="","",COUNT($C$9:C325))</f>
        <v/>
      </c>
      <c r="C325" s="49"/>
      <c r="D325" s="51"/>
      <c r="E325" s="53"/>
      <c r="F325" s="51"/>
      <c r="G325" s="51"/>
      <c r="H325" s="51"/>
      <c r="I325" s="51"/>
      <c r="J325" s="59"/>
      <c r="K325" s="60"/>
      <c r="L325" s="61"/>
      <c r="M325" s="62"/>
      <c r="N325" s="63" t="str">
        <f t="shared" si="52"/>
        <v/>
      </c>
      <c r="O325" s="64" t="str">
        <f t="shared" si="53"/>
        <v/>
      </c>
      <c r="P325" s="65" t="str">
        <f t="shared" si="54"/>
        <v/>
      </c>
      <c r="Q325" s="66" t="str">
        <f t="shared" si="60"/>
        <v/>
      </c>
      <c r="R325" s="51"/>
      <c r="S325" s="60"/>
      <c r="T325" s="52" t="str">
        <f t="shared" si="55"/>
        <v/>
      </c>
      <c r="U325" s="51"/>
      <c r="V325" s="56" t="str">
        <f t="shared" si="56"/>
        <v/>
      </c>
      <c r="X325" s="57" t="str">
        <f t="shared" si="57"/>
        <v/>
      </c>
      <c r="Y325" s="57">
        <f t="shared" si="58"/>
        <v>0</v>
      </c>
      <c r="Z325" s="57">
        <f t="shared" si="61"/>
        <v>59990</v>
      </c>
      <c r="AA325" s="57">
        <f t="shared" si="62"/>
        <v>0</v>
      </c>
      <c r="AB325" s="57">
        <f t="shared" si="59"/>
        <v>0.2</v>
      </c>
      <c r="AC325" s="57" t="str">
        <f t="shared" si="63"/>
        <v/>
      </c>
      <c r="AD325" s="57" t="str">
        <f t="shared" si="64"/>
        <v/>
      </c>
      <c r="AE325" s="57" t="str">
        <f>IF(AND($D325=RelConducteur,$S325="Oui",ISNUMBER($C325),$C325&gt;=RelDebut,$C325&lt;=RelFin),COUNTIFS($D$9:$D325,RelConducteur,$S$9:$S325,"Oui",$C$9:$C325,"&gt;="&amp;RelDebut,$C$9:$C325,"&lt;="&amp;RelFin),"")</f>
        <v/>
      </c>
    </row>
    <row r="326" spans="2:31" ht="18" customHeight="1" x14ac:dyDescent="0.25">
      <c r="B326" s="48" t="str">
        <f>IF(C326="","",COUNT($C$9:C326))</f>
        <v/>
      </c>
      <c r="C326" s="49"/>
      <c r="D326" s="51"/>
      <c r="E326" s="53"/>
      <c r="F326" s="51"/>
      <c r="G326" s="51"/>
      <c r="H326" s="51"/>
      <c r="I326" s="51"/>
      <c r="J326" s="59"/>
      <c r="K326" s="60"/>
      <c r="L326" s="61"/>
      <c r="M326" s="62"/>
      <c r="N326" s="63" t="str">
        <f t="shared" si="52"/>
        <v/>
      </c>
      <c r="O326" s="64" t="str">
        <f t="shared" si="53"/>
        <v/>
      </c>
      <c r="P326" s="65" t="str">
        <f t="shared" si="54"/>
        <v/>
      </c>
      <c r="Q326" s="66" t="str">
        <f t="shared" si="60"/>
        <v/>
      </c>
      <c r="R326" s="51"/>
      <c r="S326" s="60"/>
      <c r="T326" s="52" t="str">
        <f t="shared" si="55"/>
        <v/>
      </c>
      <c r="U326" s="51"/>
      <c r="V326" s="56" t="str">
        <f t="shared" si="56"/>
        <v/>
      </c>
      <c r="X326" s="57" t="str">
        <f t="shared" si="57"/>
        <v/>
      </c>
      <c r="Y326" s="57">
        <f t="shared" si="58"/>
        <v>0</v>
      </c>
      <c r="Z326" s="57">
        <f t="shared" si="61"/>
        <v>59990</v>
      </c>
      <c r="AA326" s="57">
        <f t="shared" si="62"/>
        <v>0</v>
      </c>
      <c r="AB326" s="57">
        <f t="shared" si="59"/>
        <v>0.2</v>
      </c>
      <c r="AC326" s="57" t="str">
        <f t="shared" si="63"/>
        <v/>
      </c>
      <c r="AD326" s="57" t="str">
        <f t="shared" si="64"/>
        <v/>
      </c>
      <c r="AE326" s="57" t="str">
        <f>IF(AND($D326=RelConducteur,$S326="Oui",ISNUMBER($C326),$C326&gt;=RelDebut,$C326&lt;=RelFin),COUNTIFS($D$9:$D326,RelConducteur,$S$9:$S326,"Oui",$C$9:$C326,"&gt;="&amp;RelDebut,$C$9:$C326,"&lt;="&amp;RelFin),"")</f>
        <v/>
      </c>
    </row>
    <row r="327" spans="2:31" ht="18" customHeight="1" x14ac:dyDescent="0.25">
      <c r="B327" s="48" t="str">
        <f>IF(C327="","",COUNT($C$9:C327))</f>
        <v/>
      </c>
      <c r="C327" s="49"/>
      <c r="D327" s="51"/>
      <c r="E327" s="53"/>
      <c r="F327" s="51"/>
      <c r="G327" s="51"/>
      <c r="H327" s="51"/>
      <c r="I327" s="51"/>
      <c r="J327" s="59"/>
      <c r="K327" s="60"/>
      <c r="L327" s="61"/>
      <c r="M327" s="62"/>
      <c r="N327" s="63" t="str">
        <f t="shared" si="52"/>
        <v/>
      </c>
      <c r="O327" s="64" t="str">
        <f t="shared" si="53"/>
        <v/>
      </c>
      <c r="P327" s="65" t="str">
        <f t="shared" si="54"/>
        <v/>
      </c>
      <c r="Q327" s="66" t="str">
        <f t="shared" si="60"/>
        <v/>
      </c>
      <c r="R327" s="51"/>
      <c r="S327" s="60"/>
      <c r="T327" s="52" t="str">
        <f t="shared" si="55"/>
        <v/>
      </c>
      <c r="U327" s="51"/>
      <c r="V327" s="56" t="str">
        <f t="shared" si="56"/>
        <v/>
      </c>
      <c r="X327" s="57" t="str">
        <f t="shared" si="57"/>
        <v/>
      </c>
      <c r="Y327" s="57">
        <f t="shared" si="58"/>
        <v>0</v>
      </c>
      <c r="Z327" s="57">
        <f t="shared" si="61"/>
        <v>59990</v>
      </c>
      <c r="AA327" s="57">
        <f t="shared" si="62"/>
        <v>0</v>
      </c>
      <c r="AB327" s="57">
        <f t="shared" si="59"/>
        <v>0.2</v>
      </c>
      <c r="AC327" s="57" t="str">
        <f t="shared" si="63"/>
        <v/>
      </c>
      <c r="AD327" s="57" t="str">
        <f t="shared" si="64"/>
        <v/>
      </c>
      <c r="AE327" s="57" t="str">
        <f>IF(AND($D327=RelConducteur,$S327="Oui",ISNUMBER($C327),$C327&gt;=RelDebut,$C327&lt;=RelFin),COUNTIFS($D$9:$D327,RelConducteur,$S$9:$S327,"Oui",$C$9:$C327,"&gt;="&amp;RelDebut,$C$9:$C327,"&lt;="&amp;RelFin),"")</f>
        <v/>
      </c>
    </row>
    <row r="328" spans="2:31" ht="18" customHeight="1" x14ac:dyDescent="0.25">
      <c r="B328" s="48" t="str">
        <f>IF(C328="","",COUNT($C$9:C328))</f>
        <v/>
      </c>
      <c r="C328" s="49"/>
      <c r="D328" s="51"/>
      <c r="E328" s="53"/>
      <c r="F328" s="51"/>
      <c r="G328" s="51"/>
      <c r="H328" s="51"/>
      <c r="I328" s="51"/>
      <c r="J328" s="59"/>
      <c r="K328" s="60"/>
      <c r="L328" s="61"/>
      <c r="M328" s="62"/>
      <c r="N328" s="63" t="str">
        <f t="shared" si="52"/>
        <v/>
      </c>
      <c r="O328" s="64" t="str">
        <f t="shared" si="53"/>
        <v/>
      </c>
      <c r="P328" s="65" t="str">
        <f t="shared" si="54"/>
        <v/>
      </c>
      <c r="Q328" s="66" t="str">
        <f t="shared" si="60"/>
        <v/>
      </c>
      <c r="R328" s="51"/>
      <c r="S328" s="60"/>
      <c r="T328" s="52" t="str">
        <f t="shared" si="55"/>
        <v/>
      </c>
      <c r="U328" s="51"/>
      <c r="V328" s="56" t="str">
        <f t="shared" si="56"/>
        <v/>
      </c>
      <c r="X328" s="57" t="str">
        <f t="shared" si="57"/>
        <v/>
      </c>
      <c r="Y328" s="57">
        <f t="shared" si="58"/>
        <v>0</v>
      </c>
      <c r="Z328" s="57">
        <f t="shared" si="61"/>
        <v>59990</v>
      </c>
      <c r="AA328" s="57">
        <f t="shared" si="62"/>
        <v>0</v>
      </c>
      <c r="AB328" s="57">
        <f t="shared" si="59"/>
        <v>0.2</v>
      </c>
      <c r="AC328" s="57" t="str">
        <f t="shared" si="63"/>
        <v/>
      </c>
      <c r="AD328" s="57" t="str">
        <f t="shared" si="64"/>
        <v/>
      </c>
      <c r="AE328" s="57" t="str">
        <f>IF(AND($D328=RelConducteur,$S328="Oui",ISNUMBER($C328),$C328&gt;=RelDebut,$C328&lt;=RelFin),COUNTIFS($D$9:$D328,RelConducteur,$S$9:$S328,"Oui",$C$9:$C328,"&gt;="&amp;RelDebut,$C$9:$C328,"&lt;="&amp;RelFin),"")</f>
        <v/>
      </c>
    </row>
    <row r="329" spans="2:31" ht="18" customHeight="1" x14ac:dyDescent="0.25">
      <c r="B329" s="48" t="str">
        <f>IF(C329="","",COUNT($C$9:C329))</f>
        <v/>
      </c>
      <c r="C329" s="49"/>
      <c r="D329" s="51"/>
      <c r="E329" s="53"/>
      <c r="F329" s="51"/>
      <c r="G329" s="51"/>
      <c r="H329" s="51"/>
      <c r="I329" s="51"/>
      <c r="J329" s="59"/>
      <c r="K329" s="60"/>
      <c r="L329" s="61"/>
      <c r="M329" s="62"/>
      <c r="N329" s="63" t="str">
        <f t="shared" ref="N329:N392" si="65">IF(L329="","",L329/(1+AB329))</f>
        <v/>
      </c>
      <c r="O329" s="64" t="str">
        <f t="shared" ref="O329:O392" si="66">IF(L329="","",L329-N329)</f>
        <v/>
      </c>
      <c r="P329" s="65" t="str">
        <f t="shared" ref="P329:P392" si="67">IF(AND(Y329=1,N(J329)&gt;0,ISNUMBER(L329)),L329/J329,"")</f>
        <v/>
      </c>
      <c r="Q329" s="66" t="str">
        <f t="shared" si="60"/>
        <v/>
      </c>
      <c r="R329" s="51"/>
      <c r="S329" s="60"/>
      <c r="T329" s="52" t="str">
        <f t="shared" ref="T329:T392" si="68">IF(C329="","",IF(D329="","Non affecté",IFERROR(INDEX(CondService,MATCH(D329,CondNoms,0))&amp;"","Non affecté")))</f>
        <v/>
      </c>
      <c r="U329" s="51"/>
      <c r="V329" s="56" t="str">
        <f t="shared" ref="V329:V392" si="69">IF(C329="","",IF(OR(F329="",L329=""),"Incomplet",IF(X329="Catégorie inconnue","Catégorie inconnue",IF(AND(Y329=1,OR(E329="",J329="",K329="")),"Plein incomplet",IF(AND(ISNUMBER(E329),E329&lt;N(KmOuverture)),"Compteur &lt; ouverture",IF(AND(Y329=1,N(Capacite)&gt;0,N(J329)&gt;Capacite*1.02),"Quantité &gt; réservoir",IF(ISNUMBER(Q329),IF(AND(ConsoRef&gt;0,ABS(Q329/MAX(ConsoRef,0.0001)-1)&gt;SeuilConso),"Conso. atypique","Conforme"),IF(AND(G329&lt;&gt;"",E329="",X329="Entretien et réparations"),"Compteur manquant","Conforme"))))))))</f>
        <v/>
      </c>
      <c r="X329" s="57" t="str">
        <f t="shared" ref="X329:X392" si="70">IF(F329="","",IFERROR(INDEX(CatGroupe,MATCH(F329,CatNoms,0))&amp;"","Catégorie inconnue"))</f>
        <v/>
      </c>
      <c r="Y329" s="57">
        <f t="shared" ref="Y329:Y392" si="71">IF(X329="Énergie",1,0)</f>
        <v>0</v>
      </c>
      <c r="Z329" s="57">
        <f t="shared" si="61"/>
        <v>59990</v>
      </c>
      <c r="AA329" s="57">
        <f t="shared" si="62"/>
        <v>0</v>
      </c>
      <c r="AB329" s="57">
        <f t="shared" ref="AB329:AB392" si="72">IF(ISNUMBER(M329),M329,IFERROR(INDEX(CatTVA,MATCH(F329,CatNoms,0))*1,0.2))</f>
        <v>0.2</v>
      </c>
      <c r="AC329" s="57" t="str">
        <f t="shared" si="63"/>
        <v/>
      </c>
      <c r="AD329" s="57" t="str">
        <f t="shared" si="64"/>
        <v/>
      </c>
      <c r="AE329" s="57" t="str">
        <f>IF(AND($D329=RelConducteur,$S329="Oui",ISNUMBER($C329),$C329&gt;=RelDebut,$C329&lt;=RelFin),COUNTIFS($D$9:$D329,RelConducteur,$S$9:$S329,"Oui",$C$9:$C329,"&gt;="&amp;RelDebut,$C$9:$C329,"&lt;="&amp;RelFin),"")</f>
        <v/>
      </c>
    </row>
    <row r="330" spans="2:31" ht="18" customHeight="1" x14ac:dyDescent="0.25">
      <c r="B330" s="48" t="str">
        <f>IF(C330="","",COUNT($C$9:C330))</f>
        <v/>
      </c>
      <c r="C330" s="49"/>
      <c r="D330" s="51"/>
      <c r="E330" s="53"/>
      <c r="F330" s="51"/>
      <c r="G330" s="51"/>
      <c r="H330" s="51"/>
      <c r="I330" s="51"/>
      <c r="J330" s="59"/>
      <c r="K330" s="60"/>
      <c r="L330" s="61"/>
      <c r="M330" s="62"/>
      <c r="N330" s="63" t="str">
        <f t="shared" si="65"/>
        <v/>
      </c>
      <c r="O330" s="64" t="str">
        <f t="shared" si="66"/>
        <v/>
      </c>
      <c r="P330" s="65" t="str">
        <f t="shared" si="67"/>
        <v/>
      </c>
      <c r="Q330" s="66" t="str">
        <f t="shared" ref="Q330:Q393" si="73">IF(AND(Y330=1,K330="Oui",ISNUMBER(E330),ISNUMBER(Z329),N(J330)&gt;0),IF(E330&gt;Z329,(N(AA329)+N(J330))/(E330-Z329)*100,""),"")</f>
        <v/>
      </c>
      <c r="R330" s="51"/>
      <c r="S330" s="60"/>
      <c r="T330" s="52" t="str">
        <f t="shared" si="68"/>
        <v/>
      </c>
      <c r="U330" s="51"/>
      <c r="V330" s="56" t="str">
        <f t="shared" si="69"/>
        <v/>
      </c>
      <c r="X330" s="57" t="str">
        <f t="shared" si="70"/>
        <v/>
      </c>
      <c r="Y330" s="57">
        <f t="shared" si="71"/>
        <v>0</v>
      </c>
      <c r="Z330" s="57">
        <f t="shared" ref="Z330:Z393" si="74">IF(AND(Y330=1,K330="Oui",ISNUMBER(E330)),E330,Z329)</f>
        <v>59990</v>
      </c>
      <c r="AA330" s="57">
        <f t="shared" ref="AA330:AA393" si="75">IF(Y330=1,IF(K330="Oui",0,N(AA329)+N(J330)),N(AA329))</f>
        <v>0</v>
      </c>
      <c r="AB330" s="57">
        <f t="shared" si="72"/>
        <v>0.2</v>
      </c>
      <c r="AC330" s="57" t="str">
        <f t="shared" ref="AC330:AC393" si="76">IF(Q330="","",E330-Z329)</f>
        <v/>
      </c>
      <c r="AD330" s="57" t="str">
        <f t="shared" ref="AD330:AD393" si="77">IF(Q330="","",N(AA329)+N(J330))</f>
        <v/>
      </c>
      <c r="AE330" s="57" t="str">
        <f>IF(AND($D330=RelConducteur,$S330="Oui",ISNUMBER($C330),$C330&gt;=RelDebut,$C330&lt;=RelFin),COUNTIFS($D$9:$D330,RelConducteur,$S$9:$S330,"Oui",$C$9:$C330,"&gt;="&amp;RelDebut,$C$9:$C330,"&lt;="&amp;RelFin),"")</f>
        <v/>
      </c>
    </row>
    <row r="331" spans="2:31" ht="18" customHeight="1" x14ac:dyDescent="0.25">
      <c r="B331" s="48" t="str">
        <f>IF(C331="","",COUNT($C$9:C331))</f>
        <v/>
      </c>
      <c r="C331" s="49"/>
      <c r="D331" s="51"/>
      <c r="E331" s="53"/>
      <c r="F331" s="51"/>
      <c r="G331" s="51"/>
      <c r="H331" s="51"/>
      <c r="I331" s="51"/>
      <c r="J331" s="59"/>
      <c r="K331" s="60"/>
      <c r="L331" s="61"/>
      <c r="M331" s="62"/>
      <c r="N331" s="63" t="str">
        <f t="shared" si="65"/>
        <v/>
      </c>
      <c r="O331" s="64" t="str">
        <f t="shared" si="66"/>
        <v/>
      </c>
      <c r="P331" s="65" t="str">
        <f t="shared" si="67"/>
        <v/>
      </c>
      <c r="Q331" s="66" t="str">
        <f t="shared" si="73"/>
        <v/>
      </c>
      <c r="R331" s="51"/>
      <c r="S331" s="60"/>
      <c r="T331" s="52" t="str">
        <f t="shared" si="68"/>
        <v/>
      </c>
      <c r="U331" s="51"/>
      <c r="V331" s="56" t="str">
        <f t="shared" si="69"/>
        <v/>
      </c>
      <c r="X331" s="57" t="str">
        <f t="shared" si="70"/>
        <v/>
      </c>
      <c r="Y331" s="57">
        <f t="shared" si="71"/>
        <v>0</v>
      </c>
      <c r="Z331" s="57">
        <f t="shared" si="74"/>
        <v>59990</v>
      </c>
      <c r="AA331" s="57">
        <f t="shared" si="75"/>
        <v>0</v>
      </c>
      <c r="AB331" s="57">
        <f t="shared" si="72"/>
        <v>0.2</v>
      </c>
      <c r="AC331" s="57" t="str">
        <f t="shared" si="76"/>
        <v/>
      </c>
      <c r="AD331" s="57" t="str">
        <f t="shared" si="77"/>
        <v/>
      </c>
      <c r="AE331" s="57" t="str">
        <f>IF(AND($D331=RelConducteur,$S331="Oui",ISNUMBER($C331),$C331&gt;=RelDebut,$C331&lt;=RelFin),COUNTIFS($D$9:$D331,RelConducteur,$S$9:$S331,"Oui",$C$9:$C331,"&gt;="&amp;RelDebut,$C$9:$C331,"&lt;="&amp;RelFin),"")</f>
        <v/>
      </c>
    </row>
    <row r="332" spans="2:31" ht="18" customHeight="1" x14ac:dyDescent="0.25">
      <c r="B332" s="48" t="str">
        <f>IF(C332="","",COUNT($C$9:C332))</f>
        <v/>
      </c>
      <c r="C332" s="49"/>
      <c r="D332" s="51"/>
      <c r="E332" s="53"/>
      <c r="F332" s="51"/>
      <c r="G332" s="51"/>
      <c r="H332" s="51"/>
      <c r="I332" s="51"/>
      <c r="J332" s="59"/>
      <c r="K332" s="60"/>
      <c r="L332" s="61"/>
      <c r="M332" s="62"/>
      <c r="N332" s="63" t="str">
        <f t="shared" si="65"/>
        <v/>
      </c>
      <c r="O332" s="64" t="str">
        <f t="shared" si="66"/>
        <v/>
      </c>
      <c r="P332" s="65" t="str">
        <f t="shared" si="67"/>
        <v/>
      </c>
      <c r="Q332" s="66" t="str">
        <f t="shared" si="73"/>
        <v/>
      </c>
      <c r="R332" s="51"/>
      <c r="S332" s="60"/>
      <c r="T332" s="52" t="str">
        <f t="shared" si="68"/>
        <v/>
      </c>
      <c r="U332" s="51"/>
      <c r="V332" s="56" t="str">
        <f t="shared" si="69"/>
        <v/>
      </c>
      <c r="X332" s="57" t="str">
        <f t="shared" si="70"/>
        <v/>
      </c>
      <c r="Y332" s="57">
        <f t="shared" si="71"/>
        <v>0</v>
      </c>
      <c r="Z332" s="57">
        <f t="shared" si="74"/>
        <v>59990</v>
      </c>
      <c r="AA332" s="57">
        <f t="shared" si="75"/>
        <v>0</v>
      </c>
      <c r="AB332" s="57">
        <f t="shared" si="72"/>
        <v>0.2</v>
      </c>
      <c r="AC332" s="57" t="str">
        <f t="shared" si="76"/>
        <v/>
      </c>
      <c r="AD332" s="57" t="str">
        <f t="shared" si="77"/>
        <v/>
      </c>
      <c r="AE332" s="57" t="str">
        <f>IF(AND($D332=RelConducteur,$S332="Oui",ISNUMBER($C332),$C332&gt;=RelDebut,$C332&lt;=RelFin),COUNTIFS($D$9:$D332,RelConducteur,$S$9:$S332,"Oui",$C$9:$C332,"&gt;="&amp;RelDebut,$C$9:$C332,"&lt;="&amp;RelFin),"")</f>
        <v/>
      </c>
    </row>
    <row r="333" spans="2:31" ht="18" customHeight="1" x14ac:dyDescent="0.25">
      <c r="B333" s="48" t="str">
        <f>IF(C333="","",COUNT($C$9:C333))</f>
        <v/>
      </c>
      <c r="C333" s="49"/>
      <c r="D333" s="51"/>
      <c r="E333" s="53"/>
      <c r="F333" s="51"/>
      <c r="G333" s="51"/>
      <c r="H333" s="51"/>
      <c r="I333" s="51"/>
      <c r="J333" s="59"/>
      <c r="K333" s="60"/>
      <c r="L333" s="61"/>
      <c r="M333" s="62"/>
      <c r="N333" s="63" t="str">
        <f t="shared" si="65"/>
        <v/>
      </c>
      <c r="O333" s="64" t="str">
        <f t="shared" si="66"/>
        <v/>
      </c>
      <c r="P333" s="65" t="str">
        <f t="shared" si="67"/>
        <v/>
      </c>
      <c r="Q333" s="66" t="str">
        <f t="shared" si="73"/>
        <v/>
      </c>
      <c r="R333" s="51"/>
      <c r="S333" s="60"/>
      <c r="T333" s="52" t="str">
        <f t="shared" si="68"/>
        <v/>
      </c>
      <c r="U333" s="51"/>
      <c r="V333" s="56" t="str">
        <f t="shared" si="69"/>
        <v/>
      </c>
      <c r="X333" s="57" t="str">
        <f t="shared" si="70"/>
        <v/>
      </c>
      <c r="Y333" s="57">
        <f t="shared" si="71"/>
        <v>0</v>
      </c>
      <c r="Z333" s="57">
        <f t="shared" si="74"/>
        <v>59990</v>
      </c>
      <c r="AA333" s="57">
        <f t="shared" si="75"/>
        <v>0</v>
      </c>
      <c r="AB333" s="57">
        <f t="shared" si="72"/>
        <v>0.2</v>
      </c>
      <c r="AC333" s="57" t="str">
        <f t="shared" si="76"/>
        <v/>
      </c>
      <c r="AD333" s="57" t="str">
        <f t="shared" si="77"/>
        <v/>
      </c>
      <c r="AE333" s="57" t="str">
        <f>IF(AND($D333=RelConducteur,$S333="Oui",ISNUMBER($C333),$C333&gt;=RelDebut,$C333&lt;=RelFin),COUNTIFS($D$9:$D333,RelConducteur,$S$9:$S333,"Oui",$C$9:$C333,"&gt;="&amp;RelDebut,$C$9:$C333,"&lt;="&amp;RelFin),"")</f>
        <v/>
      </c>
    </row>
    <row r="334" spans="2:31" ht="18" customHeight="1" x14ac:dyDescent="0.25">
      <c r="B334" s="48" t="str">
        <f>IF(C334="","",COUNT($C$9:C334))</f>
        <v/>
      </c>
      <c r="C334" s="49"/>
      <c r="D334" s="51"/>
      <c r="E334" s="53"/>
      <c r="F334" s="51"/>
      <c r="G334" s="51"/>
      <c r="H334" s="51"/>
      <c r="I334" s="51"/>
      <c r="J334" s="59"/>
      <c r="K334" s="60"/>
      <c r="L334" s="61"/>
      <c r="M334" s="62"/>
      <c r="N334" s="63" t="str">
        <f t="shared" si="65"/>
        <v/>
      </c>
      <c r="O334" s="64" t="str">
        <f t="shared" si="66"/>
        <v/>
      </c>
      <c r="P334" s="65" t="str">
        <f t="shared" si="67"/>
        <v/>
      </c>
      <c r="Q334" s="66" t="str">
        <f t="shared" si="73"/>
        <v/>
      </c>
      <c r="R334" s="51"/>
      <c r="S334" s="60"/>
      <c r="T334" s="52" t="str">
        <f t="shared" si="68"/>
        <v/>
      </c>
      <c r="U334" s="51"/>
      <c r="V334" s="56" t="str">
        <f t="shared" si="69"/>
        <v/>
      </c>
      <c r="X334" s="57" t="str">
        <f t="shared" si="70"/>
        <v/>
      </c>
      <c r="Y334" s="57">
        <f t="shared" si="71"/>
        <v>0</v>
      </c>
      <c r="Z334" s="57">
        <f t="shared" si="74"/>
        <v>59990</v>
      </c>
      <c r="AA334" s="57">
        <f t="shared" si="75"/>
        <v>0</v>
      </c>
      <c r="AB334" s="57">
        <f t="shared" si="72"/>
        <v>0.2</v>
      </c>
      <c r="AC334" s="57" t="str">
        <f t="shared" si="76"/>
        <v/>
      </c>
      <c r="AD334" s="57" t="str">
        <f t="shared" si="77"/>
        <v/>
      </c>
      <c r="AE334" s="57" t="str">
        <f>IF(AND($D334=RelConducteur,$S334="Oui",ISNUMBER($C334),$C334&gt;=RelDebut,$C334&lt;=RelFin),COUNTIFS($D$9:$D334,RelConducteur,$S$9:$S334,"Oui",$C$9:$C334,"&gt;="&amp;RelDebut,$C$9:$C334,"&lt;="&amp;RelFin),"")</f>
        <v/>
      </c>
    </row>
    <row r="335" spans="2:31" ht="18" customHeight="1" x14ac:dyDescent="0.25">
      <c r="B335" s="48" t="str">
        <f>IF(C335="","",COUNT($C$9:C335))</f>
        <v/>
      </c>
      <c r="C335" s="49"/>
      <c r="D335" s="51"/>
      <c r="E335" s="53"/>
      <c r="F335" s="51"/>
      <c r="G335" s="51"/>
      <c r="H335" s="51"/>
      <c r="I335" s="51"/>
      <c r="J335" s="59"/>
      <c r="K335" s="60"/>
      <c r="L335" s="61"/>
      <c r="M335" s="62"/>
      <c r="N335" s="63" t="str">
        <f t="shared" si="65"/>
        <v/>
      </c>
      <c r="O335" s="64" t="str">
        <f t="shared" si="66"/>
        <v/>
      </c>
      <c r="P335" s="65" t="str">
        <f t="shared" si="67"/>
        <v/>
      </c>
      <c r="Q335" s="66" t="str">
        <f t="shared" si="73"/>
        <v/>
      </c>
      <c r="R335" s="51"/>
      <c r="S335" s="60"/>
      <c r="T335" s="52" t="str">
        <f t="shared" si="68"/>
        <v/>
      </c>
      <c r="U335" s="51"/>
      <c r="V335" s="56" t="str">
        <f t="shared" si="69"/>
        <v/>
      </c>
      <c r="X335" s="57" t="str">
        <f t="shared" si="70"/>
        <v/>
      </c>
      <c r="Y335" s="57">
        <f t="shared" si="71"/>
        <v>0</v>
      </c>
      <c r="Z335" s="57">
        <f t="shared" si="74"/>
        <v>59990</v>
      </c>
      <c r="AA335" s="57">
        <f t="shared" si="75"/>
        <v>0</v>
      </c>
      <c r="AB335" s="57">
        <f t="shared" si="72"/>
        <v>0.2</v>
      </c>
      <c r="AC335" s="57" t="str">
        <f t="shared" si="76"/>
        <v/>
      </c>
      <c r="AD335" s="57" t="str">
        <f t="shared" si="77"/>
        <v/>
      </c>
      <c r="AE335" s="57" t="str">
        <f>IF(AND($D335=RelConducteur,$S335="Oui",ISNUMBER($C335),$C335&gt;=RelDebut,$C335&lt;=RelFin),COUNTIFS($D$9:$D335,RelConducteur,$S$9:$S335,"Oui",$C$9:$C335,"&gt;="&amp;RelDebut,$C$9:$C335,"&lt;="&amp;RelFin),"")</f>
        <v/>
      </c>
    </row>
    <row r="336" spans="2:31" ht="18" customHeight="1" x14ac:dyDescent="0.25">
      <c r="B336" s="48" t="str">
        <f>IF(C336="","",COUNT($C$9:C336))</f>
        <v/>
      </c>
      <c r="C336" s="49"/>
      <c r="D336" s="51"/>
      <c r="E336" s="53"/>
      <c r="F336" s="51"/>
      <c r="G336" s="51"/>
      <c r="H336" s="51"/>
      <c r="I336" s="51"/>
      <c r="J336" s="59"/>
      <c r="K336" s="60"/>
      <c r="L336" s="61"/>
      <c r="M336" s="62"/>
      <c r="N336" s="63" t="str">
        <f t="shared" si="65"/>
        <v/>
      </c>
      <c r="O336" s="64" t="str">
        <f t="shared" si="66"/>
        <v/>
      </c>
      <c r="P336" s="65" t="str">
        <f t="shared" si="67"/>
        <v/>
      </c>
      <c r="Q336" s="66" t="str">
        <f t="shared" si="73"/>
        <v/>
      </c>
      <c r="R336" s="51"/>
      <c r="S336" s="60"/>
      <c r="T336" s="52" t="str">
        <f t="shared" si="68"/>
        <v/>
      </c>
      <c r="U336" s="51"/>
      <c r="V336" s="56" t="str">
        <f t="shared" si="69"/>
        <v/>
      </c>
      <c r="X336" s="57" t="str">
        <f t="shared" si="70"/>
        <v/>
      </c>
      <c r="Y336" s="57">
        <f t="shared" si="71"/>
        <v>0</v>
      </c>
      <c r="Z336" s="57">
        <f t="shared" si="74"/>
        <v>59990</v>
      </c>
      <c r="AA336" s="57">
        <f t="shared" si="75"/>
        <v>0</v>
      </c>
      <c r="AB336" s="57">
        <f t="shared" si="72"/>
        <v>0.2</v>
      </c>
      <c r="AC336" s="57" t="str">
        <f t="shared" si="76"/>
        <v/>
      </c>
      <c r="AD336" s="57" t="str">
        <f t="shared" si="77"/>
        <v/>
      </c>
      <c r="AE336" s="57" t="str">
        <f>IF(AND($D336=RelConducteur,$S336="Oui",ISNUMBER($C336),$C336&gt;=RelDebut,$C336&lt;=RelFin),COUNTIFS($D$9:$D336,RelConducteur,$S$9:$S336,"Oui",$C$9:$C336,"&gt;="&amp;RelDebut,$C$9:$C336,"&lt;="&amp;RelFin),"")</f>
        <v/>
      </c>
    </row>
    <row r="337" spans="2:31" ht="18" customHeight="1" x14ac:dyDescent="0.25">
      <c r="B337" s="48" t="str">
        <f>IF(C337="","",COUNT($C$9:C337))</f>
        <v/>
      </c>
      <c r="C337" s="49"/>
      <c r="D337" s="51"/>
      <c r="E337" s="53"/>
      <c r="F337" s="51"/>
      <c r="G337" s="51"/>
      <c r="H337" s="51"/>
      <c r="I337" s="51"/>
      <c r="J337" s="59"/>
      <c r="K337" s="60"/>
      <c r="L337" s="61"/>
      <c r="M337" s="62"/>
      <c r="N337" s="63" t="str">
        <f t="shared" si="65"/>
        <v/>
      </c>
      <c r="O337" s="64" t="str">
        <f t="shared" si="66"/>
        <v/>
      </c>
      <c r="P337" s="65" t="str">
        <f t="shared" si="67"/>
        <v/>
      </c>
      <c r="Q337" s="66" t="str">
        <f t="shared" si="73"/>
        <v/>
      </c>
      <c r="R337" s="51"/>
      <c r="S337" s="60"/>
      <c r="T337" s="52" t="str">
        <f t="shared" si="68"/>
        <v/>
      </c>
      <c r="U337" s="51"/>
      <c r="V337" s="56" t="str">
        <f t="shared" si="69"/>
        <v/>
      </c>
      <c r="X337" s="57" t="str">
        <f t="shared" si="70"/>
        <v/>
      </c>
      <c r="Y337" s="57">
        <f t="shared" si="71"/>
        <v>0</v>
      </c>
      <c r="Z337" s="57">
        <f t="shared" si="74"/>
        <v>59990</v>
      </c>
      <c r="AA337" s="57">
        <f t="shared" si="75"/>
        <v>0</v>
      </c>
      <c r="AB337" s="57">
        <f t="shared" si="72"/>
        <v>0.2</v>
      </c>
      <c r="AC337" s="57" t="str">
        <f t="shared" si="76"/>
        <v/>
      </c>
      <c r="AD337" s="57" t="str">
        <f t="shared" si="77"/>
        <v/>
      </c>
      <c r="AE337" s="57" t="str">
        <f>IF(AND($D337=RelConducteur,$S337="Oui",ISNUMBER($C337),$C337&gt;=RelDebut,$C337&lt;=RelFin),COUNTIFS($D$9:$D337,RelConducteur,$S$9:$S337,"Oui",$C$9:$C337,"&gt;="&amp;RelDebut,$C$9:$C337,"&lt;="&amp;RelFin),"")</f>
        <v/>
      </c>
    </row>
    <row r="338" spans="2:31" ht="18" customHeight="1" x14ac:dyDescent="0.25">
      <c r="B338" s="48" t="str">
        <f>IF(C338="","",COUNT($C$9:C338))</f>
        <v/>
      </c>
      <c r="C338" s="49"/>
      <c r="D338" s="51"/>
      <c r="E338" s="53"/>
      <c r="F338" s="51"/>
      <c r="G338" s="51"/>
      <c r="H338" s="51"/>
      <c r="I338" s="51"/>
      <c r="J338" s="59"/>
      <c r="K338" s="60"/>
      <c r="L338" s="61"/>
      <c r="M338" s="62"/>
      <c r="N338" s="63" t="str">
        <f t="shared" si="65"/>
        <v/>
      </c>
      <c r="O338" s="64" t="str">
        <f t="shared" si="66"/>
        <v/>
      </c>
      <c r="P338" s="65" t="str">
        <f t="shared" si="67"/>
        <v/>
      </c>
      <c r="Q338" s="66" t="str">
        <f t="shared" si="73"/>
        <v/>
      </c>
      <c r="R338" s="51"/>
      <c r="S338" s="60"/>
      <c r="T338" s="52" t="str">
        <f t="shared" si="68"/>
        <v/>
      </c>
      <c r="U338" s="51"/>
      <c r="V338" s="56" t="str">
        <f t="shared" si="69"/>
        <v/>
      </c>
      <c r="X338" s="57" t="str">
        <f t="shared" si="70"/>
        <v/>
      </c>
      <c r="Y338" s="57">
        <f t="shared" si="71"/>
        <v>0</v>
      </c>
      <c r="Z338" s="57">
        <f t="shared" si="74"/>
        <v>59990</v>
      </c>
      <c r="AA338" s="57">
        <f t="shared" si="75"/>
        <v>0</v>
      </c>
      <c r="AB338" s="57">
        <f t="shared" si="72"/>
        <v>0.2</v>
      </c>
      <c r="AC338" s="57" t="str">
        <f t="shared" si="76"/>
        <v/>
      </c>
      <c r="AD338" s="57" t="str">
        <f t="shared" si="77"/>
        <v/>
      </c>
      <c r="AE338" s="57" t="str">
        <f>IF(AND($D338=RelConducteur,$S338="Oui",ISNUMBER($C338),$C338&gt;=RelDebut,$C338&lt;=RelFin),COUNTIFS($D$9:$D338,RelConducteur,$S$9:$S338,"Oui",$C$9:$C338,"&gt;="&amp;RelDebut,$C$9:$C338,"&lt;="&amp;RelFin),"")</f>
        <v/>
      </c>
    </row>
    <row r="339" spans="2:31" ht="18" customHeight="1" x14ac:dyDescent="0.25">
      <c r="B339" s="48" t="str">
        <f>IF(C339="","",COUNT($C$9:C339))</f>
        <v/>
      </c>
      <c r="C339" s="49"/>
      <c r="D339" s="51"/>
      <c r="E339" s="53"/>
      <c r="F339" s="51"/>
      <c r="G339" s="51"/>
      <c r="H339" s="51"/>
      <c r="I339" s="51"/>
      <c r="J339" s="59"/>
      <c r="K339" s="60"/>
      <c r="L339" s="61"/>
      <c r="M339" s="62"/>
      <c r="N339" s="63" t="str">
        <f t="shared" si="65"/>
        <v/>
      </c>
      <c r="O339" s="64" t="str">
        <f t="shared" si="66"/>
        <v/>
      </c>
      <c r="P339" s="65" t="str">
        <f t="shared" si="67"/>
        <v/>
      </c>
      <c r="Q339" s="66" t="str">
        <f t="shared" si="73"/>
        <v/>
      </c>
      <c r="R339" s="51"/>
      <c r="S339" s="60"/>
      <c r="T339" s="52" t="str">
        <f t="shared" si="68"/>
        <v/>
      </c>
      <c r="U339" s="51"/>
      <c r="V339" s="56" t="str">
        <f t="shared" si="69"/>
        <v/>
      </c>
      <c r="X339" s="57" t="str">
        <f t="shared" si="70"/>
        <v/>
      </c>
      <c r="Y339" s="57">
        <f t="shared" si="71"/>
        <v>0</v>
      </c>
      <c r="Z339" s="57">
        <f t="shared" si="74"/>
        <v>59990</v>
      </c>
      <c r="AA339" s="57">
        <f t="shared" si="75"/>
        <v>0</v>
      </c>
      <c r="AB339" s="57">
        <f t="shared" si="72"/>
        <v>0.2</v>
      </c>
      <c r="AC339" s="57" t="str">
        <f t="shared" si="76"/>
        <v/>
      </c>
      <c r="AD339" s="57" t="str">
        <f t="shared" si="77"/>
        <v/>
      </c>
      <c r="AE339" s="57" t="str">
        <f>IF(AND($D339=RelConducteur,$S339="Oui",ISNUMBER($C339),$C339&gt;=RelDebut,$C339&lt;=RelFin),COUNTIFS($D$9:$D339,RelConducteur,$S$9:$S339,"Oui",$C$9:$C339,"&gt;="&amp;RelDebut,$C$9:$C339,"&lt;="&amp;RelFin),"")</f>
        <v/>
      </c>
    </row>
    <row r="340" spans="2:31" ht="18" customHeight="1" x14ac:dyDescent="0.25">
      <c r="B340" s="48" t="str">
        <f>IF(C340="","",COUNT($C$9:C340))</f>
        <v/>
      </c>
      <c r="C340" s="49"/>
      <c r="D340" s="51"/>
      <c r="E340" s="53"/>
      <c r="F340" s="51"/>
      <c r="G340" s="51"/>
      <c r="H340" s="51"/>
      <c r="I340" s="51"/>
      <c r="J340" s="59"/>
      <c r="K340" s="60"/>
      <c r="L340" s="61"/>
      <c r="M340" s="62"/>
      <c r="N340" s="63" t="str">
        <f t="shared" si="65"/>
        <v/>
      </c>
      <c r="O340" s="64" t="str">
        <f t="shared" si="66"/>
        <v/>
      </c>
      <c r="P340" s="65" t="str">
        <f t="shared" si="67"/>
        <v/>
      </c>
      <c r="Q340" s="66" t="str">
        <f t="shared" si="73"/>
        <v/>
      </c>
      <c r="R340" s="51"/>
      <c r="S340" s="60"/>
      <c r="T340" s="52" t="str">
        <f t="shared" si="68"/>
        <v/>
      </c>
      <c r="U340" s="51"/>
      <c r="V340" s="56" t="str">
        <f t="shared" si="69"/>
        <v/>
      </c>
      <c r="X340" s="57" t="str">
        <f t="shared" si="70"/>
        <v/>
      </c>
      <c r="Y340" s="57">
        <f t="shared" si="71"/>
        <v>0</v>
      </c>
      <c r="Z340" s="57">
        <f t="shared" si="74"/>
        <v>59990</v>
      </c>
      <c r="AA340" s="57">
        <f t="shared" si="75"/>
        <v>0</v>
      </c>
      <c r="AB340" s="57">
        <f t="shared" si="72"/>
        <v>0.2</v>
      </c>
      <c r="AC340" s="57" t="str">
        <f t="shared" si="76"/>
        <v/>
      </c>
      <c r="AD340" s="57" t="str">
        <f t="shared" si="77"/>
        <v/>
      </c>
      <c r="AE340" s="57" t="str">
        <f>IF(AND($D340=RelConducteur,$S340="Oui",ISNUMBER($C340),$C340&gt;=RelDebut,$C340&lt;=RelFin),COUNTIFS($D$9:$D340,RelConducteur,$S$9:$S340,"Oui",$C$9:$C340,"&gt;="&amp;RelDebut,$C$9:$C340,"&lt;="&amp;RelFin),"")</f>
        <v/>
      </c>
    </row>
    <row r="341" spans="2:31" ht="18" customHeight="1" x14ac:dyDescent="0.25">
      <c r="B341" s="48" t="str">
        <f>IF(C341="","",COUNT($C$9:C341))</f>
        <v/>
      </c>
      <c r="C341" s="49"/>
      <c r="D341" s="51"/>
      <c r="E341" s="53"/>
      <c r="F341" s="51"/>
      <c r="G341" s="51"/>
      <c r="H341" s="51"/>
      <c r="I341" s="51"/>
      <c r="J341" s="59"/>
      <c r="K341" s="60"/>
      <c r="L341" s="61"/>
      <c r="M341" s="62"/>
      <c r="N341" s="63" t="str">
        <f t="shared" si="65"/>
        <v/>
      </c>
      <c r="O341" s="64" t="str">
        <f t="shared" si="66"/>
        <v/>
      </c>
      <c r="P341" s="65" t="str">
        <f t="shared" si="67"/>
        <v/>
      </c>
      <c r="Q341" s="66" t="str">
        <f t="shared" si="73"/>
        <v/>
      </c>
      <c r="R341" s="51"/>
      <c r="S341" s="60"/>
      <c r="T341" s="52" t="str">
        <f t="shared" si="68"/>
        <v/>
      </c>
      <c r="U341" s="51"/>
      <c r="V341" s="56" t="str">
        <f t="shared" si="69"/>
        <v/>
      </c>
      <c r="X341" s="57" t="str">
        <f t="shared" si="70"/>
        <v/>
      </c>
      <c r="Y341" s="57">
        <f t="shared" si="71"/>
        <v>0</v>
      </c>
      <c r="Z341" s="57">
        <f t="shared" si="74"/>
        <v>59990</v>
      </c>
      <c r="AA341" s="57">
        <f t="shared" si="75"/>
        <v>0</v>
      </c>
      <c r="AB341" s="57">
        <f t="shared" si="72"/>
        <v>0.2</v>
      </c>
      <c r="AC341" s="57" t="str">
        <f t="shared" si="76"/>
        <v/>
      </c>
      <c r="AD341" s="57" t="str">
        <f t="shared" si="77"/>
        <v/>
      </c>
      <c r="AE341" s="57" t="str">
        <f>IF(AND($D341=RelConducteur,$S341="Oui",ISNUMBER($C341),$C341&gt;=RelDebut,$C341&lt;=RelFin),COUNTIFS($D$9:$D341,RelConducteur,$S$9:$S341,"Oui",$C$9:$C341,"&gt;="&amp;RelDebut,$C$9:$C341,"&lt;="&amp;RelFin),"")</f>
        <v/>
      </c>
    </row>
    <row r="342" spans="2:31" ht="18" customHeight="1" x14ac:dyDescent="0.25">
      <c r="B342" s="48" t="str">
        <f>IF(C342="","",COUNT($C$9:C342))</f>
        <v/>
      </c>
      <c r="C342" s="49"/>
      <c r="D342" s="51"/>
      <c r="E342" s="53"/>
      <c r="F342" s="51"/>
      <c r="G342" s="51"/>
      <c r="H342" s="51"/>
      <c r="I342" s="51"/>
      <c r="J342" s="59"/>
      <c r="K342" s="60"/>
      <c r="L342" s="61"/>
      <c r="M342" s="62"/>
      <c r="N342" s="63" t="str">
        <f t="shared" si="65"/>
        <v/>
      </c>
      <c r="O342" s="64" t="str">
        <f t="shared" si="66"/>
        <v/>
      </c>
      <c r="P342" s="65" t="str">
        <f t="shared" si="67"/>
        <v/>
      </c>
      <c r="Q342" s="66" t="str">
        <f t="shared" si="73"/>
        <v/>
      </c>
      <c r="R342" s="51"/>
      <c r="S342" s="60"/>
      <c r="T342" s="52" t="str">
        <f t="shared" si="68"/>
        <v/>
      </c>
      <c r="U342" s="51"/>
      <c r="V342" s="56" t="str">
        <f t="shared" si="69"/>
        <v/>
      </c>
      <c r="X342" s="57" t="str">
        <f t="shared" si="70"/>
        <v/>
      </c>
      <c r="Y342" s="57">
        <f t="shared" si="71"/>
        <v>0</v>
      </c>
      <c r="Z342" s="57">
        <f t="shared" si="74"/>
        <v>59990</v>
      </c>
      <c r="AA342" s="57">
        <f t="shared" si="75"/>
        <v>0</v>
      </c>
      <c r="AB342" s="57">
        <f t="shared" si="72"/>
        <v>0.2</v>
      </c>
      <c r="AC342" s="57" t="str">
        <f t="shared" si="76"/>
        <v/>
      </c>
      <c r="AD342" s="57" t="str">
        <f t="shared" si="77"/>
        <v/>
      </c>
      <c r="AE342" s="57" t="str">
        <f>IF(AND($D342=RelConducteur,$S342="Oui",ISNUMBER($C342),$C342&gt;=RelDebut,$C342&lt;=RelFin),COUNTIFS($D$9:$D342,RelConducteur,$S$9:$S342,"Oui",$C$9:$C342,"&gt;="&amp;RelDebut,$C$9:$C342,"&lt;="&amp;RelFin),"")</f>
        <v/>
      </c>
    </row>
    <row r="343" spans="2:31" ht="18" customHeight="1" x14ac:dyDescent="0.25">
      <c r="B343" s="48" t="str">
        <f>IF(C343="","",COUNT($C$9:C343))</f>
        <v/>
      </c>
      <c r="C343" s="49"/>
      <c r="D343" s="51"/>
      <c r="E343" s="53"/>
      <c r="F343" s="51"/>
      <c r="G343" s="51"/>
      <c r="H343" s="51"/>
      <c r="I343" s="51"/>
      <c r="J343" s="59"/>
      <c r="K343" s="60"/>
      <c r="L343" s="61"/>
      <c r="M343" s="62"/>
      <c r="N343" s="63" t="str">
        <f t="shared" si="65"/>
        <v/>
      </c>
      <c r="O343" s="64" t="str">
        <f t="shared" si="66"/>
        <v/>
      </c>
      <c r="P343" s="65" t="str">
        <f t="shared" si="67"/>
        <v/>
      </c>
      <c r="Q343" s="66" t="str">
        <f t="shared" si="73"/>
        <v/>
      </c>
      <c r="R343" s="51"/>
      <c r="S343" s="60"/>
      <c r="T343" s="52" t="str">
        <f t="shared" si="68"/>
        <v/>
      </c>
      <c r="U343" s="51"/>
      <c r="V343" s="56" t="str">
        <f t="shared" si="69"/>
        <v/>
      </c>
      <c r="X343" s="57" t="str">
        <f t="shared" si="70"/>
        <v/>
      </c>
      <c r="Y343" s="57">
        <f t="shared" si="71"/>
        <v>0</v>
      </c>
      <c r="Z343" s="57">
        <f t="shared" si="74"/>
        <v>59990</v>
      </c>
      <c r="AA343" s="57">
        <f t="shared" si="75"/>
        <v>0</v>
      </c>
      <c r="AB343" s="57">
        <f t="shared" si="72"/>
        <v>0.2</v>
      </c>
      <c r="AC343" s="57" t="str">
        <f t="shared" si="76"/>
        <v/>
      </c>
      <c r="AD343" s="57" t="str">
        <f t="shared" si="77"/>
        <v/>
      </c>
      <c r="AE343" s="57" t="str">
        <f>IF(AND($D343=RelConducteur,$S343="Oui",ISNUMBER($C343),$C343&gt;=RelDebut,$C343&lt;=RelFin),COUNTIFS($D$9:$D343,RelConducteur,$S$9:$S343,"Oui",$C$9:$C343,"&gt;="&amp;RelDebut,$C$9:$C343,"&lt;="&amp;RelFin),"")</f>
        <v/>
      </c>
    </row>
    <row r="344" spans="2:31" ht="18" customHeight="1" x14ac:dyDescent="0.25">
      <c r="B344" s="48" t="str">
        <f>IF(C344="","",COUNT($C$9:C344))</f>
        <v/>
      </c>
      <c r="C344" s="49"/>
      <c r="D344" s="51"/>
      <c r="E344" s="53"/>
      <c r="F344" s="51"/>
      <c r="G344" s="51"/>
      <c r="H344" s="51"/>
      <c r="I344" s="51"/>
      <c r="J344" s="59"/>
      <c r="K344" s="60"/>
      <c r="L344" s="61"/>
      <c r="M344" s="62"/>
      <c r="N344" s="63" t="str">
        <f t="shared" si="65"/>
        <v/>
      </c>
      <c r="O344" s="64" t="str">
        <f t="shared" si="66"/>
        <v/>
      </c>
      <c r="P344" s="65" t="str">
        <f t="shared" si="67"/>
        <v/>
      </c>
      <c r="Q344" s="66" t="str">
        <f t="shared" si="73"/>
        <v/>
      </c>
      <c r="R344" s="51"/>
      <c r="S344" s="60"/>
      <c r="T344" s="52" t="str">
        <f t="shared" si="68"/>
        <v/>
      </c>
      <c r="U344" s="51"/>
      <c r="V344" s="56" t="str">
        <f t="shared" si="69"/>
        <v/>
      </c>
      <c r="X344" s="57" t="str">
        <f t="shared" si="70"/>
        <v/>
      </c>
      <c r="Y344" s="57">
        <f t="shared" si="71"/>
        <v>0</v>
      </c>
      <c r="Z344" s="57">
        <f t="shared" si="74"/>
        <v>59990</v>
      </c>
      <c r="AA344" s="57">
        <f t="shared" si="75"/>
        <v>0</v>
      </c>
      <c r="AB344" s="57">
        <f t="shared" si="72"/>
        <v>0.2</v>
      </c>
      <c r="AC344" s="57" t="str">
        <f t="shared" si="76"/>
        <v/>
      </c>
      <c r="AD344" s="57" t="str">
        <f t="shared" si="77"/>
        <v/>
      </c>
      <c r="AE344" s="57" t="str">
        <f>IF(AND($D344=RelConducteur,$S344="Oui",ISNUMBER($C344),$C344&gt;=RelDebut,$C344&lt;=RelFin),COUNTIFS($D$9:$D344,RelConducteur,$S$9:$S344,"Oui",$C$9:$C344,"&gt;="&amp;RelDebut,$C$9:$C344,"&lt;="&amp;RelFin),"")</f>
        <v/>
      </c>
    </row>
    <row r="345" spans="2:31" ht="18" customHeight="1" x14ac:dyDescent="0.25">
      <c r="B345" s="48" t="str">
        <f>IF(C345="","",COUNT($C$9:C345))</f>
        <v/>
      </c>
      <c r="C345" s="49"/>
      <c r="D345" s="51"/>
      <c r="E345" s="53"/>
      <c r="F345" s="51"/>
      <c r="G345" s="51"/>
      <c r="H345" s="51"/>
      <c r="I345" s="51"/>
      <c r="J345" s="59"/>
      <c r="K345" s="60"/>
      <c r="L345" s="61"/>
      <c r="M345" s="62"/>
      <c r="N345" s="63" t="str">
        <f t="shared" si="65"/>
        <v/>
      </c>
      <c r="O345" s="64" t="str">
        <f t="shared" si="66"/>
        <v/>
      </c>
      <c r="P345" s="65" t="str">
        <f t="shared" si="67"/>
        <v/>
      </c>
      <c r="Q345" s="66" t="str">
        <f t="shared" si="73"/>
        <v/>
      </c>
      <c r="R345" s="51"/>
      <c r="S345" s="60"/>
      <c r="T345" s="52" t="str">
        <f t="shared" si="68"/>
        <v/>
      </c>
      <c r="U345" s="51"/>
      <c r="V345" s="56" t="str">
        <f t="shared" si="69"/>
        <v/>
      </c>
      <c r="X345" s="57" t="str">
        <f t="shared" si="70"/>
        <v/>
      </c>
      <c r="Y345" s="57">
        <f t="shared" si="71"/>
        <v>0</v>
      </c>
      <c r="Z345" s="57">
        <f t="shared" si="74"/>
        <v>59990</v>
      </c>
      <c r="AA345" s="57">
        <f t="shared" si="75"/>
        <v>0</v>
      </c>
      <c r="AB345" s="57">
        <f t="shared" si="72"/>
        <v>0.2</v>
      </c>
      <c r="AC345" s="57" t="str">
        <f t="shared" si="76"/>
        <v/>
      </c>
      <c r="AD345" s="57" t="str">
        <f t="shared" si="77"/>
        <v/>
      </c>
      <c r="AE345" s="57" t="str">
        <f>IF(AND($D345=RelConducteur,$S345="Oui",ISNUMBER($C345),$C345&gt;=RelDebut,$C345&lt;=RelFin),COUNTIFS($D$9:$D345,RelConducteur,$S$9:$S345,"Oui",$C$9:$C345,"&gt;="&amp;RelDebut,$C$9:$C345,"&lt;="&amp;RelFin),"")</f>
        <v/>
      </c>
    </row>
    <row r="346" spans="2:31" ht="18" customHeight="1" x14ac:dyDescent="0.25">
      <c r="B346" s="48" t="str">
        <f>IF(C346="","",COUNT($C$9:C346))</f>
        <v/>
      </c>
      <c r="C346" s="49"/>
      <c r="D346" s="51"/>
      <c r="E346" s="53"/>
      <c r="F346" s="51"/>
      <c r="G346" s="51"/>
      <c r="H346" s="51"/>
      <c r="I346" s="51"/>
      <c r="J346" s="59"/>
      <c r="K346" s="60"/>
      <c r="L346" s="61"/>
      <c r="M346" s="62"/>
      <c r="N346" s="63" t="str">
        <f t="shared" si="65"/>
        <v/>
      </c>
      <c r="O346" s="64" t="str">
        <f t="shared" si="66"/>
        <v/>
      </c>
      <c r="P346" s="65" t="str">
        <f t="shared" si="67"/>
        <v/>
      </c>
      <c r="Q346" s="66" t="str">
        <f t="shared" si="73"/>
        <v/>
      </c>
      <c r="R346" s="51"/>
      <c r="S346" s="60"/>
      <c r="T346" s="52" t="str">
        <f t="shared" si="68"/>
        <v/>
      </c>
      <c r="U346" s="51"/>
      <c r="V346" s="56" t="str">
        <f t="shared" si="69"/>
        <v/>
      </c>
      <c r="X346" s="57" t="str">
        <f t="shared" si="70"/>
        <v/>
      </c>
      <c r="Y346" s="57">
        <f t="shared" si="71"/>
        <v>0</v>
      </c>
      <c r="Z346" s="57">
        <f t="shared" si="74"/>
        <v>59990</v>
      </c>
      <c r="AA346" s="57">
        <f t="shared" si="75"/>
        <v>0</v>
      </c>
      <c r="AB346" s="57">
        <f t="shared" si="72"/>
        <v>0.2</v>
      </c>
      <c r="AC346" s="57" t="str">
        <f t="shared" si="76"/>
        <v/>
      </c>
      <c r="AD346" s="57" t="str">
        <f t="shared" si="77"/>
        <v/>
      </c>
      <c r="AE346" s="57" t="str">
        <f>IF(AND($D346=RelConducteur,$S346="Oui",ISNUMBER($C346),$C346&gt;=RelDebut,$C346&lt;=RelFin),COUNTIFS($D$9:$D346,RelConducteur,$S$9:$S346,"Oui",$C$9:$C346,"&gt;="&amp;RelDebut,$C$9:$C346,"&lt;="&amp;RelFin),"")</f>
        <v/>
      </c>
    </row>
    <row r="347" spans="2:31" ht="18" customHeight="1" x14ac:dyDescent="0.25">
      <c r="B347" s="48" t="str">
        <f>IF(C347="","",COUNT($C$9:C347))</f>
        <v/>
      </c>
      <c r="C347" s="49"/>
      <c r="D347" s="51"/>
      <c r="E347" s="53"/>
      <c r="F347" s="51"/>
      <c r="G347" s="51"/>
      <c r="H347" s="51"/>
      <c r="I347" s="51"/>
      <c r="J347" s="59"/>
      <c r="K347" s="60"/>
      <c r="L347" s="61"/>
      <c r="M347" s="62"/>
      <c r="N347" s="63" t="str">
        <f t="shared" si="65"/>
        <v/>
      </c>
      <c r="O347" s="64" t="str">
        <f t="shared" si="66"/>
        <v/>
      </c>
      <c r="P347" s="65" t="str">
        <f t="shared" si="67"/>
        <v/>
      </c>
      <c r="Q347" s="66" t="str">
        <f t="shared" si="73"/>
        <v/>
      </c>
      <c r="R347" s="51"/>
      <c r="S347" s="60"/>
      <c r="T347" s="52" t="str">
        <f t="shared" si="68"/>
        <v/>
      </c>
      <c r="U347" s="51"/>
      <c r="V347" s="56" t="str">
        <f t="shared" si="69"/>
        <v/>
      </c>
      <c r="X347" s="57" t="str">
        <f t="shared" si="70"/>
        <v/>
      </c>
      <c r="Y347" s="57">
        <f t="shared" si="71"/>
        <v>0</v>
      </c>
      <c r="Z347" s="57">
        <f t="shared" si="74"/>
        <v>59990</v>
      </c>
      <c r="AA347" s="57">
        <f t="shared" si="75"/>
        <v>0</v>
      </c>
      <c r="AB347" s="57">
        <f t="shared" si="72"/>
        <v>0.2</v>
      </c>
      <c r="AC347" s="57" t="str">
        <f t="shared" si="76"/>
        <v/>
      </c>
      <c r="AD347" s="57" t="str">
        <f t="shared" si="77"/>
        <v/>
      </c>
      <c r="AE347" s="57" t="str">
        <f>IF(AND($D347=RelConducteur,$S347="Oui",ISNUMBER($C347),$C347&gt;=RelDebut,$C347&lt;=RelFin),COUNTIFS($D$9:$D347,RelConducteur,$S$9:$S347,"Oui",$C$9:$C347,"&gt;="&amp;RelDebut,$C$9:$C347,"&lt;="&amp;RelFin),"")</f>
        <v/>
      </c>
    </row>
    <row r="348" spans="2:31" ht="18" customHeight="1" x14ac:dyDescent="0.25">
      <c r="B348" s="48" t="str">
        <f>IF(C348="","",COUNT($C$9:C348))</f>
        <v/>
      </c>
      <c r="C348" s="49"/>
      <c r="D348" s="51"/>
      <c r="E348" s="53"/>
      <c r="F348" s="51"/>
      <c r="G348" s="51"/>
      <c r="H348" s="51"/>
      <c r="I348" s="51"/>
      <c r="J348" s="59"/>
      <c r="K348" s="60"/>
      <c r="L348" s="61"/>
      <c r="M348" s="62"/>
      <c r="N348" s="63" t="str">
        <f t="shared" si="65"/>
        <v/>
      </c>
      <c r="O348" s="64" t="str">
        <f t="shared" si="66"/>
        <v/>
      </c>
      <c r="P348" s="65" t="str">
        <f t="shared" si="67"/>
        <v/>
      </c>
      <c r="Q348" s="66" t="str">
        <f t="shared" si="73"/>
        <v/>
      </c>
      <c r="R348" s="51"/>
      <c r="S348" s="60"/>
      <c r="T348" s="52" t="str">
        <f t="shared" si="68"/>
        <v/>
      </c>
      <c r="U348" s="51"/>
      <c r="V348" s="56" t="str">
        <f t="shared" si="69"/>
        <v/>
      </c>
      <c r="X348" s="57" t="str">
        <f t="shared" si="70"/>
        <v/>
      </c>
      <c r="Y348" s="57">
        <f t="shared" si="71"/>
        <v>0</v>
      </c>
      <c r="Z348" s="57">
        <f t="shared" si="74"/>
        <v>59990</v>
      </c>
      <c r="AA348" s="57">
        <f t="shared" si="75"/>
        <v>0</v>
      </c>
      <c r="AB348" s="57">
        <f t="shared" si="72"/>
        <v>0.2</v>
      </c>
      <c r="AC348" s="57" t="str">
        <f t="shared" si="76"/>
        <v/>
      </c>
      <c r="AD348" s="57" t="str">
        <f t="shared" si="77"/>
        <v/>
      </c>
      <c r="AE348" s="57" t="str">
        <f>IF(AND($D348=RelConducteur,$S348="Oui",ISNUMBER($C348),$C348&gt;=RelDebut,$C348&lt;=RelFin),COUNTIFS($D$9:$D348,RelConducteur,$S$9:$S348,"Oui",$C$9:$C348,"&gt;="&amp;RelDebut,$C$9:$C348,"&lt;="&amp;RelFin),"")</f>
        <v/>
      </c>
    </row>
    <row r="349" spans="2:31" ht="18" customHeight="1" x14ac:dyDescent="0.25">
      <c r="B349" s="48" t="str">
        <f>IF(C349="","",COUNT($C$9:C349))</f>
        <v/>
      </c>
      <c r="C349" s="49"/>
      <c r="D349" s="51"/>
      <c r="E349" s="53"/>
      <c r="F349" s="51"/>
      <c r="G349" s="51"/>
      <c r="H349" s="51"/>
      <c r="I349" s="51"/>
      <c r="J349" s="59"/>
      <c r="K349" s="60"/>
      <c r="L349" s="61"/>
      <c r="M349" s="62"/>
      <c r="N349" s="63" t="str">
        <f t="shared" si="65"/>
        <v/>
      </c>
      <c r="O349" s="64" t="str">
        <f t="shared" si="66"/>
        <v/>
      </c>
      <c r="P349" s="65" t="str">
        <f t="shared" si="67"/>
        <v/>
      </c>
      <c r="Q349" s="66" t="str">
        <f t="shared" si="73"/>
        <v/>
      </c>
      <c r="R349" s="51"/>
      <c r="S349" s="60"/>
      <c r="T349" s="52" t="str">
        <f t="shared" si="68"/>
        <v/>
      </c>
      <c r="U349" s="51"/>
      <c r="V349" s="56" t="str">
        <f t="shared" si="69"/>
        <v/>
      </c>
      <c r="X349" s="57" t="str">
        <f t="shared" si="70"/>
        <v/>
      </c>
      <c r="Y349" s="57">
        <f t="shared" si="71"/>
        <v>0</v>
      </c>
      <c r="Z349" s="57">
        <f t="shared" si="74"/>
        <v>59990</v>
      </c>
      <c r="AA349" s="57">
        <f t="shared" si="75"/>
        <v>0</v>
      </c>
      <c r="AB349" s="57">
        <f t="shared" si="72"/>
        <v>0.2</v>
      </c>
      <c r="AC349" s="57" t="str">
        <f t="shared" si="76"/>
        <v/>
      </c>
      <c r="AD349" s="57" t="str">
        <f t="shared" si="77"/>
        <v/>
      </c>
      <c r="AE349" s="57" t="str">
        <f>IF(AND($D349=RelConducteur,$S349="Oui",ISNUMBER($C349),$C349&gt;=RelDebut,$C349&lt;=RelFin),COUNTIFS($D$9:$D349,RelConducteur,$S$9:$S349,"Oui",$C$9:$C349,"&gt;="&amp;RelDebut,$C$9:$C349,"&lt;="&amp;RelFin),"")</f>
        <v/>
      </c>
    </row>
    <row r="350" spans="2:31" ht="18" customHeight="1" x14ac:dyDescent="0.25">
      <c r="B350" s="48" t="str">
        <f>IF(C350="","",COUNT($C$9:C350))</f>
        <v/>
      </c>
      <c r="C350" s="49"/>
      <c r="D350" s="51"/>
      <c r="E350" s="53"/>
      <c r="F350" s="51"/>
      <c r="G350" s="51"/>
      <c r="H350" s="51"/>
      <c r="I350" s="51"/>
      <c r="J350" s="59"/>
      <c r="K350" s="60"/>
      <c r="L350" s="61"/>
      <c r="M350" s="62"/>
      <c r="N350" s="63" t="str">
        <f t="shared" si="65"/>
        <v/>
      </c>
      <c r="O350" s="64" t="str">
        <f t="shared" si="66"/>
        <v/>
      </c>
      <c r="P350" s="65" t="str">
        <f t="shared" si="67"/>
        <v/>
      </c>
      <c r="Q350" s="66" t="str">
        <f t="shared" si="73"/>
        <v/>
      </c>
      <c r="R350" s="51"/>
      <c r="S350" s="60"/>
      <c r="T350" s="52" t="str">
        <f t="shared" si="68"/>
        <v/>
      </c>
      <c r="U350" s="51"/>
      <c r="V350" s="56" t="str">
        <f t="shared" si="69"/>
        <v/>
      </c>
      <c r="X350" s="57" t="str">
        <f t="shared" si="70"/>
        <v/>
      </c>
      <c r="Y350" s="57">
        <f t="shared" si="71"/>
        <v>0</v>
      </c>
      <c r="Z350" s="57">
        <f t="shared" si="74"/>
        <v>59990</v>
      </c>
      <c r="AA350" s="57">
        <f t="shared" si="75"/>
        <v>0</v>
      </c>
      <c r="AB350" s="57">
        <f t="shared" si="72"/>
        <v>0.2</v>
      </c>
      <c r="AC350" s="57" t="str">
        <f t="shared" si="76"/>
        <v/>
      </c>
      <c r="AD350" s="57" t="str">
        <f t="shared" si="77"/>
        <v/>
      </c>
      <c r="AE350" s="57" t="str">
        <f>IF(AND($D350=RelConducteur,$S350="Oui",ISNUMBER($C350),$C350&gt;=RelDebut,$C350&lt;=RelFin),COUNTIFS($D$9:$D350,RelConducteur,$S$9:$S350,"Oui",$C$9:$C350,"&gt;="&amp;RelDebut,$C$9:$C350,"&lt;="&amp;RelFin),"")</f>
        <v/>
      </c>
    </row>
    <row r="351" spans="2:31" ht="18" customHeight="1" x14ac:dyDescent="0.25">
      <c r="B351" s="48" t="str">
        <f>IF(C351="","",COUNT($C$9:C351))</f>
        <v/>
      </c>
      <c r="C351" s="49"/>
      <c r="D351" s="51"/>
      <c r="E351" s="53"/>
      <c r="F351" s="51"/>
      <c r="G351" s="51"/>
      <c r="H351" s="51"/>
      <c r="I351" s="51"/>
      <c r="J351" s="59"/>
      <c r="K351" s="60"/>
      <c r="L351" s="61"/>
      <c r="M351" s="62"/>
      <c r="N351" s="63" t="str">
        <f t="shared" si="65"/>
        <v/>
      </c>
      <c r="O351" s="64" t="str">
        <f t="shared" si="66"/>
        <v/>
      </c>
      <c r="P351" s="65" t="str">
        <f t="shared" si="67"/>
        <v/>
      </c>
      <c r="Q351" s="66" t="str">
        <f t="shared" si="73"/>
        <v/>
      </c>
      <c r="R351" s="51"/>
      <c r="S351" s="60"/>
      <c r="T351" s="52" t="str">
        <f t="shared" si="68"/>
        <v/>
      </c>
      <c r="U351" s="51"/>
      <c r="V351" s="56" t="str">
        <f t="shared" si="69"/>
        <v/>
      </c>
      <c r="X351" s="57" t="str">
        <f t="shared" si="70"/>
        <v/>
      </c>
      <c r="Y351" s="57">
        <f t="shared" si="71"/>
        <v>0</v>
      </c>
      <c r="Z351" s="57">
        <f t="shared" si="74"/>
        <v>59990</v>
      </c>
      <c r="AA351" s="57">
        <f t="shared" si="75"/>
        <v>0</v>
      </c>
      <c r="AB351" s="57">
        <f t="shared" si="72"/>
        <v>0.2</v>
      </c>
      <c r="AC351" s="57" t="str">
        <f t="shared" si="76"/>
        <v/>
      </c>
      <c r="AD351" s="57" t="str">
        <f t="shared" si="77"/>
        <v/>
      </c>
      <c r="AE351" s="57" t="str">
        <f>IF(AND($D351=RelConducteur,$S351="Oui",ISNUMBER($C351),$C351&gt;=RelDebut,$C351&lt;=RelFin),COUNTIFS($D$9:$D351,RelConducteur,$S$9:$S351,"Oui",$C$9:$C351,"&gt;="&amp;RelDebut,$C$9:$C351,"&lt;="&amp;RelFin),"")</f>
        <v/>
      </c>
    </row>
    <row r="352" spans="2:31" ht="18" customHeight="1" x14ac:dyDescent="0.25">
      <c r="B352" s="48" t="str">
        <f>IF(C352="","",COUNT($C$9:C352))</f>
        <v/>
      </c>
      <c r="C352" s="49"/>
      <c r="D352" s="51"/>
      <c r="E352" s="53"/>
      <c r="F352" s="51"/>
      <c r="G352" s="51"/>
      <c r="H352" s="51"/>
      <c r="I352" s="51"/>
      <c r="J352" s="59"/>
      <c r="K352" s="60"/>
      <c r="L352" s="61"/>
      <c r="M352" s="62"/>
      <c r="N352" s="63" t="str">
        <f t="shared" si="65"/>
        <v/>
      </c>
      <c r="O352" s="64" t="str">
        <f t="shared" si="66"/>
        <v/>
      </c>
      <c r="P352" s="65" t="str">
        <f t="shared" si="67"/>
        <v/>
      </c>
      <c r="Q352" s="66" t="str">
        <f t="shared" si="73"/>
        <v/>
      </c>
      <c r="R352" s="51"/>
      <c r="S352" s="60"/>
      <c r="T352" s="52" t="str">
        <f t="shared" si="68"/>
        <v/>
      </c>
      <c r="U352" s="51"/>
      <c r="V352" s="56" t="str">
        <f t="shared" si="69"/>
        <v/>
      </c>
      <c r="X352" s="57" t="str">
        <f t="shared" si="70"/>
        <v/>
      </c>
      <c r="Y352" s="57">
        <f t="shared" si="71"/>
        <v>0</v>
      </c>
      <c r="Z352" s="57">
        <f t="shared" si="74"/>
        <v>59990</v>
      </c>
      <c r="AA352" s="57">
        <f t="shared" si="75"/>
        <v>0</v>
      </c>
      <c r="AB352" s="57">
        <f t="shared" si="72"/>
        <v>0.2</v>
      </c>
      <c r="AC352" s="57" t="str">
        <f t="shared" si="76"/>
        <v/>
      </c>
      <c r="AD352" s="57" t="str">
        <f t="shared" si="77"/>
        <v/>
      </c>
      <c r="AE352" s="57" t="str">
        <f>IF(AND($D352=RelConducteur,$S352="Oui",ISNUMBER($C352),$C352&gt;=RelDebut,$C352&lt;=RelFin),COUNTIFS($D$9:$D352,RelConducteur,$S$9:$S352,"Oui",$C$9:$C352,"&gt;="&amp;RelDebut,$C$9:$C352,"&lt;="&amp;RelFin),"")</f>
        <v/>
      </c>
    </row>
    <row r="353" spans="2:31" ht="18" customHeight="1" x14ac:dyDescent="0.25">
      <c r="B353" s="48" t="str">
        <f>IF(C353="","",COUNT($C$9:C353))</f>
        <v/>
      </c>
      <c r="C353" s="49"/>
      <c r="D353" s="51"/>
      <c r="E353" s="53"/>
      <c r="F353" s="51"/>
      <c r="G353" s="51"/>
      <c r="H353" s="51"/>
      <c r="I353" s="51"/>
      <c r="J353" s="59"/>
      <c r="K353" s="60"/>
      <c r="L353" s="61"/>
      <c r="M353" s="62"/>
      <c r="N353" s="63" t="str">
        <f t="shared" si="65"/>
        <v/>
      </c>
      <c r="O353" s="64" t="str">
        <f t="shared" si="66"/>
        <v/>
      </c>
      <c r="P353" s="65" t="str">
        <f t="shared" si="67"/>
        <v/>
      </c>
      <c r="Q353" s="66" t="str">
        <f t="shared" si="73"/>
        <v/>
      </c>
      <c r="R353" s="51"/>
      <c r="S353" s="60"/>
      <c r="T353" s="52" t="str">
        <f t="shared" si="68"/>
        <v/>
      </c>
      <c r="U353" s="51"/>
      <c r="V353" s="56" t="str">
        <f t="shared" si="69"/>
        <v/>
      </c>
      <c r="X353" s="57" t="str">
        <f t="shared" si="70"/>
        <v/>
      </c>
      <c r="Y353" s="57">
        <f t="shared" si="71"/>
        <v>0</v>
      </c>
      <c r="Z353" s="57">
        <f t="shared" si="74"/>
        <v>59990</v>
      </c>
      <c r="AA353" s="57">
        <f t="shared" si="75"/>
        <v>0</v>
      </c>
      <c r="AB353" s="57">
        <f t="shared" si="72"/>
        <v>0.2</v>
      </c>
      <c r="AC353" s="57" t="str">
        <f t="shared" si="76"/>
        <v/>
      </c>
      <c r="AD353" s="57" t="str">
        <f t="shared" si="77"/>
        <v/>
      </c>
      <c r="AE353" s="57" t="str">
        <f>IF(AND($D353=RelConducteur,$S353="Oui",ISNUMBER($C353),$C353&gt;=RelDebut,$C353&lt;=RelFin),COUNTIFS($D$9:$D353,RelConducteur,$S$9:$S353,"Oui",$C$9:$C353,"&gt;="&amp;RelDebut,$C$9:$C353,"&lt;="&amp;RelFin),"")</f>
        <v/>
      </c>
    </row>
    <row r="354" spans="2:31" ht="18" customHeight="1" x14ac:dyDescent="0.25">
      <c r="B354" s="48" t="str">
        <f>IF(C354="","",COUNT($C$9:C354))</f>
        <v/>
      </c>
      <c r="C354" s="49"/>
      <c r="D354" s="51"/>
      <c r="E354" s="53"/>
      <c r="F354" s="51"/>
      <c r="G354" s="51"/>
      <c r="H354" s="51"/>
      <c r="I354" s="51"/>
      <c r="J354" s="59"/>
      <c r="K354" s="60"/>
      <c r="L354" s="61"/>
      <c r="M354" s="62"/>
      <c r="N354" s="63" t="str">
        <f t="shared" si="65"/>
        <v/>
      </c>
      <c r="O354" s="64" t="str">
        <f t="shared" si="66"/>
        <v/>
      </c>
      <c r="P354" s="65" t="str">
        <f t="shared" si="67"/>
        <v/>
      </c>
      <c r="Q354" s="66" t="str">
        <f t="shared" si="73"/>
        <v/>
      </c>
      <c r="R354" s="51"/>
      <c r="S354" s="60"/>
      <c r="T354" s="52" t="str">
        <f t="shared" si="68"/>
        <v/>
      </c>
      <c r="U354" s="51"/>
      <c r="V354" s="56" t="str">
        <f t="shared" si="69"/>
        <v/>
      </c>
      <c r="X354" s="57" t="str">
        <f t="shared" si="70"/>
        <v/>
      </c>
      <c r="Y354" s="57">
        <f t="shared" si="71"/>
        <v>0</v>
      </c>
      <c r="Z354" s="57">
        <f t="shared" si="74"/>
        <v>59990</v>
      </c>
      <c r="AA354" s="57">
        <f t="shared" si="75"/>
        <v>0</v>
      </c>
      <c r="AB354" s="57">
        <f t="shared" si="72"/>
        <v>0.2</v>
      </c>
      <c r="AC354" s="57" t="str">
        <f t="shared" si="76"/>
        <v/>
      </c>
      <c r="AD354" s="57" t="str">
        <f t="shared" si="77"/>
        <v/>
      </c>
      <c r="AE354" s="57" t="str">
        <f>IF(AND($D354=RelConducteur,$S354="Oui",ISNUMBER($C354),$C354&gt;=RelDebut,$C354&lt;=RelFin),COUNTIFS($D$9:$D354,RelConducteur,$S$9:$S354,"Oui",$C$9:$C354,"&gt;="&amp;RelDebut,$C$9:$C354,"&lt;="&amp;RelFin),"")</f>
        <v/>
      </c>
    </row>
    <row r="355" spans="2:31" ht="18" customHeight="1" x14ac:dyDescent="0.25">
      <c r="B355" s="48" t="str">
        <f>IF(C355="","",COUNT($C$9:C355))</f>
        <v/>
      </c>
      <c r="C355" s="49"/>
      <c r="D355" s="51"/>
      <c r="E355" s="53"/>
      <c r="F355" s="51"/>
      <c r="G355" s="51"/>
      <c r="H355" s="51"/>
      <c r="I355" s="51"/>
      <c r="J355" s="59"/>
      <c r="K355" s="60"/>
      <c r="L355" s="61"/>
      <c r="M355" s="62"/>
      <c r="N355" s="63" t="str">
        <f t="shared" si="65"/>
        <v/>
      </c>
      <c r="O355" s="64" t="str">
        <f t="shared" si="66"/>
        <v/>
      </c>
      <c r="P355" s="65" t="str">
        <f t="shared" si="67"/>
        <v/>
      </c>
      <c r="Q355" s="66" t="str">
        <f t="shared" si="73"/>
        <v/>
      </c>
      <c r="R355" s="51"/>
      <c r="S355" s="60"/>
      <c r="T355" s="52" t="str">
        <f t="shared" si="68"/>
        <v/>
      </c>
      <c r="U355" s="51"/>
      <c r="V355" s="56" t="str">
        <f t="shared" si="69"/>
        <v/>
      </c>
      <c r="X355" s="57" t="str">
        <f t="shared" si="70"/>
        <v/>
      </c>
      <c r="Y355" s="57">
        <f t="shared" si="71"/>
        <v>0</v>
      </c>
      <c r="Z355" s="57">
        <f t="shared" si="74"/>
        <v>59990</v>
      </c>
      <c r="AA355" s="57">
        <f t="shared" si="75"/>
        <v>0</v>
      </c>
      <c r="AB355" s="57">
        <f t="shared" si="72"/>
        <v>0.2</v>
      </c>
      <c r="AC355" s="57" t="str">
        <f t="shared" si="76"/>
        <v/>
      </c>
      <c r="AD355" s="57" t="str">
        <f t="shared" si="77"/>
        <v/>
      </c>
      <c r="AE355" s="57" t="str">
        <f>IF(AND($D355=RelConducteur,$S355="Oui",ISNUMBER($C355),$C355&gt;=RelDebut,$C355&lt;=RelFin),COUNTIFS($D$9:$D355,RelConducteur,$S$9:$S355,"Oui",$C$9:$C355,"&gt;="&amp;RelDebut,$C$9:$C355,"&lt;="&amp;RelFin),"")</f>
        <v/>
      </c>
    </row>
    <row r="356" spans="2:31" ht="18" customHeight="1" x14ac:dyDescent="0.25">
      <c r="B356" s="48" t="str">
        <f>IF(C356="","",COUNT($C$9:C356))</f>
        <v/>
      </c>
      <c r="C356" s="49"/>
      <c r="D356" s="51"/>
      <c r="E356" s="53"/>
      <c r="F356" s="51"/>
      <c r="G356" s="51"/>
      <c r="H356" s="51"/>
      <c r="I356" s="51"/>
      <c r="J356" s="59"/>
      <c r="K356" s="60"/>
      <c r="L356" s="61"/>
      <c r="M356" s="62"/>
      <c r="N356" s="63" t="str">
        <f t="shared" si="65"/>
        <v/>
      </c>
      <c r="O356" s="64" t="str">
        <f t="shared" si="66"/>
        <v/>
      </c>
      <c r="P356" s="65" t="str">
        <f t="shared" si="67"/>
        <v/>
      </c>
      <c r="Q356" s="66" t="str">
        <f t="shared" si="73"/>
        <v/>
      </c>
      <c r="R356" s="51"/>
      <c r="S356" s="60"/>
      <c r="T356" s="52" t="str">
        <f t="shared" si="68"/>
        <v/>
      </c>
      <c r="U356" s="51"/>
      <c r="V356" s="56" t="str">
        <f t="shared" si="69"/>
        <v/>
      </c>
      <c r="X356" s="57" t="str">
        <f t="shared" si="70"/>
        <v/>
      </c>
      <c r="Y356" s="57">
        <f t="shared" si="71"/>
        <v>0</v>
      </c>
      <c r="Z356" s="57">
        <f t="shared" si="74"/>
        <v>59990</v>
      </c>
      <c r="AA356" s="57">
        <f t="shared" si="75"/>
        <v>0</v>
      </c>
      <c r="AB356" s="57">
        <f t="shared" si="72"/>
        <v>0.2</v>
      </c>
      <c r="AC356" s="57" t="str">
        <f t="shared" si="76"/>
        <v/>
      </c>
      <c r="AD356" s="57" t="str">
        <f t="shared" si="77"/>
        <v/>
      </c>
      <c r="AE356" s="57" t="str">
        <f>IF(AND($D356=RelConducteur,$S356="Oui",ISNUMBER($C356),$C356&gt;=RelDebut,$C356&lt;=RelFin),COUNTIFS($D$9:$D356,RelConducteur,$S$9:$S356,"Oui",$C$9:$C356,"&gt;="&amp;RelDebut,$C$9:$C356,"&lt;="&amp;RelFin),"")</f>
        <v/>
      </c>
    </row>
    <row r="357" spans="2:31" ht="18" customHeight="1" x14ac:dyDescent="0.25">
      <c r="B357" s="48" t="str">
        <f>IF(C357="","",COUNT($C$9:C357))</f>
        <v/>
      </c>
      <c r="C357" s="49"/>
      <c r="D357" s="51"/>
      <c r="E357" s="53"/>
      <c r="F357" s="51"/>
      <c r="G357" s="51"/>
      <c r="H357" s="51"/>
      <c r="I357" s="51"/>
      <c r="J357" s="59"/>
      <c r="K357" s="60"/>
      <c r="L357" s="61"/>
      <c r="M357" s="62"/>
      <c r="N357" s="63" t="str">
        <f t="shared" si="65"/>
        <v/>
      </c>
      <c r="O357" s="64" t="str">
        <f t="shared" si="66"/>
        <v/>
      </c>
      <c r="P357" s="65" t="str">
        <f t="shared" si="67"/>
        <v/>
      </c>
      <c r="Q357" s="66" t="str">
        <f t="shared" si="73"/>
        <v/>
      </c>
      <c r="R357" s="51"/>
      <c r="S357" s="60"/>
      <c r="T357" s="52" t="str">
        <f t="shared" si="68"/>
        <v/>
      </c>
      <c r="U357" s="51"/>
      <c r="V357" s="56" t="str">
        <f t="shared" si="69"/>
        <v/>
      </c>
      <c r="X357" s="57" t="str">
        <f t="shared" si="70"/>
        <v/>
      </c>
      <c r="Y357" s="57">
        <f t="shared" si="71"/>
        <v>0</v>
      </c>
      <c r="Z357" s="57">
        <f t="shared" si="74"/>
        <v>59990</v>
      </c>
      <c r="AA357" s="57">
        <f t="shared" si="75"/>
        <v>0</v>
      </c>
      <c r="AB357" s="57">
        <f t="shared" si="72"/>
        <v>0.2</v>
      </c>
      <c r="AC357" s="57" t="str">
        <f t="shared" si="76"/>
        <v/>
      </c>
      <c r="AD357" s="57" t="str">
        <f t="shared" si="77"/>
        <v/>
      </c>
      <c r="AE357" s="57" t="str">
        <f>IF(AND($D357=RelConducteur,$S357="Oui",ISNUMBER($C357),$C357&gt;=RelDebut,$C357&lt;=RelFin),COUNTIFS($D$9:$D357,RelConducteur,$S$9:$S357,"Oui",$C$9:$C357,"&gt;="&amp;RelDebut,$C$9:$C357,"&lt;="&amp;RelFin),"")</f>
        <v/>
      </c>
    </row>
    <row r="358" spans="2:31" ht="18" customHeight="1" x14ac:dyDescent="0.25">
      <c r="B358" s="48" t="str">
        <f>IF(C358="","",COUNT($C$9:C358))</f>
        <v/>
      </c>
      <c r="C358" s="49"/>
      <c r="D358" s="51"/>
      <c r="E358" s="53"/>
      <c r="F358" s="51"/>
      <c r="G358" s="51"/>
      <c r="H358" s="51"/>
      <c r="I358" s="51"/>
      <c r="J358" s="59"/>
      <c r="K358" s="60"/>
      <c r="L358" s="61"/>
      <c r="M358" s="62"/>
      <c r="N358" s="63" t="str">
        <f t="shared" si="65"/>
        <v/>
      </c>
      <c r="O358" s="64" t="str">
        <f t="shared" si="66"/>
        <v/>
      </c>
      <c r="P358" s="65" t="str">
        <f t="shared" si="67"/>
        <v/>
      </c>
      <c r="Q358" s="66" t="str">
        <f t="shared" si="73"/>
        <v/>
      </c>
      <c r="R358" s="51"/>
      <c r="S358" s="60"/>
      <c r="T358" s="52" t="str">
        <f t="shared" si="68"/>
        <v/>
      </c>
      <c r="U358" s="51"/>
      <c r="V358" s="56" t="str">
        <f t="shared" si="69"/>
        <v/>
      </c>
      <c r="X358" s="57" t="str">
        <f t="shared" si="70"/>
        <v/>
      </c>
      <c r="Y358" s="57">
        <f t="shared" si="71"/>
        <v>0</v>
      </c>
      <c r="Z358" s="57">
        <f t="shared" si="74"/>
        <v>59990</v>
      </c>
      <c r="AA358" s="57">
        <f t="shared" si="75"/>
        <v>0</v>
      </c>
      <c r="AB358" s="57">
        <f t="shared" si="72"/>
        <v>0.2</v>
      </c>
      <c r="AC358" s="57" t="str">
        <f t="shared" si="76"/>
        <v/>
      </c>
      <c r="AD358" s="57" t="str">
        <f t="shared" si="77"/>
        <v/>
      </c>
      <c r="AE358" s="57" t="str">
        <f>IF(AND($D358=RelConducteur,$S358="Oui",ISNUMBER($C358),$C358&gt;=RelDebut,$C358&lt;=RelFin),COUNTIFS($D$9:$D358,RelConducteur,$S$9:$S358,"Oui",$C$9:$C358,"&gt;="&amp;RelDebut,$C$9:$C358,"&lt;="&amp;RelFin),"")</f>
        <v/>
      </c>
    </row>
    <row r="359" spans="2:31" ht="18" customHeight="1" x14ac:dyDescent="0.25">
      <c r="B359" s="48" t="str">
        <f>IF(C359="","",COUNT($C$9:C359))</f>
        <v/>
      </c>
      <c r="C359" s="49"/>
      <c r="D359" s="51"/>
      <c r="E359" s="53"/>
      <c r="F359" s="51"/>
      <c r="G359" s="51"/>
      <c r="H359" s="51"/>
      <c r="I359" s="51"/>
      <c r="J359" s="59"/>
      <c r="K359" s="60"/>
      <c r="L359" s="61"/>
      <c r="M359" s="62"/>
      <c r="N359" s="63" t="str">
        <f t="shared" si="65"/>
        <v/>
      </c>
      <c r="O359" s="64" t="str">
        <f t="shared" si="66"/>
        <v/>
      </c>
      <c r="P359" s="65" t="str">
        <f t="shared" si="67"/>
        <v/>
      </c>
      <c r="Q359" s="66" t="str">
        <f t="shared" si="73"/>
        <v/>
      </c>
      <c r="R359" s="51"/>
      <c r="S359" s="60"/>
      <c r="T359" s="52" t="str">
        <f t="shared" si="68"/>
        <v/>
      </c>
      <c r="U359" s="51"/>
      <c r="V359" s="56" t="str">
        <f t="shared" si="69"/>
        <v/>
      </c>
      <c r="X359" s="57" t="str">
        <f t="shared" si="70"/>
        <v/>
      </c>
      <c r="Y359" s="57">
        <f t="shared" si="71"/>
        <v>0</v>
      </c>
      <c r="Z359" s="57">
        <f t="shared" si="74"/>
        <v>59990</v>
      </c>
      <c r="AA359" s="57">
        <f t="shared" si="75"/>
        <v>0</v>
      </c>
      <c r="AB359" s="57">
        <f t="shared" si="72"/>
        <v>0.2</v>
      </c>
      <c r="AC359" s="57" t="str">
        <f t="shared" si="76"/>
        <v/>
      </c>
      <c r="AD359" s="57" t="str">
        <f t="shared" si="77"/>
        <v/>
      </c>
      <c r="AE359" s="57" t="str">
        <f>IF(AND($D359=RelConducteur,$S359="Oui",ISNUMBER($C359),$C359&gt;=RelDebut,$C359&lt;=RelFin),COUNTIFS($D$9:$D359,RelConducteur,$S$9:$S359,"Oui",$C$9:$C359,"&gt;="&amp;RelDebut,$C$9:$C359,"&lt;="&amp;RelFin),"")</f>
        <v/>
      </c>
    </row>
    <row r="360" spans="2:31" ht="18" customHeight="1" x14ac:dyDescent="0.25">
      <c r="B360" s="48" t="str">
        <f>IF(C360="","",COUNT($C$9:C360))</f>
        <v/>
      </c>
      <c r="C360" s="49"/>
      <c r="D360" s="51"/>
      <c r="E360" s="53"/>
      <c r="F360" s="51"/>
      <c r="G360" s="51"/>
      <c r="H360" s="51"/>
      <c r="I360" s="51"/>
      <c r="J360" s="59"/>
      <c r="K360" s="60"/>
      <c r="L360" s="61"/>
      <c r="M360" s="62"/>
      <c r="N360" s="63" t="str">
        <f t="shared" si="65"/>
        <v/>
      </c>
      <c r="O360" s="64" t="str">
        <f t="shared" si="66"/>
        <v/>
      </c>
      <c r="P360" s="65" t="str">
        <f t="shared" si="67"/>
        <v/>
      </c>
      <c r="Q360" s="66" t="str">
        <f t="shared" si="73"/>
        <v/>
      </c>
      <c r="R360" s="51"/>
      <c r="S360" s="60"/>
      <c r="T360" s="52" t="str">
        <f t="shared" si="68"/>
        <v/>
      </c>
      <c r="U360" s="51"/>
      <c r="V360" s="56" t="str">
        <f t="shared" si="69"/>
        <v/>
      </c>
      <c r="X360" s="57" t="str">
        <f t="shared" si="70"/>
        <v/>
      </c>
      <c r="Y360" s="57">
        <f t="shared" si="71"/>
        <v>0</v>
      </c>
      <c r="Z360" s="57">
        <f t="shared" si="74"/>
        <v>59990</v>
      </c>
      <c r="AA360" s="57">
        <f t="shared" si="75"/>
        <v>0</v>
      </c>
      <c r="AB360" s="57">
        <f t="shared" si="72"/>
        <v>0.2</v>
      </c>
      <c r="AC360" s="57" t="str">
        <f t="shared" si="76"/>
        <v/>
      </c>
      <c r="AD360" s="57" t="str">
        <f t="shared" si="77"/>
        <v/>
      </c>
      <c r="AE360" s="57" t="str">
        <f>IF(AND($D360=RelConducteur,$S360="Oui",ISNUMBER($C360),$C360&gt;=RelDebut,$C360&lt;=RelFin),COUNTIFS($D$9:$D360,RelConducteur,$S$9:$S360,"Oui",$C$9:$C360,"&gt;="&amp;RelDebut,$C$9:$C360,"&lt;="&amp;RelFin),"")</f>
        <v/>
      </c>
    </row>
    <row r="361" spans="2:31" ht="18" customHeight="1" x14ac:dyDescent="0.25">
      <c r="B361" s="48" t="str">
        <f>IF(C361="","",COUNT($C$9:C361))</f>
        <v/>
      </c>
      <c r="C361" s="49"/>
      <c r="D361" s="51"/>
      <c r="E361" s="53"/>
      <c r="F361" s="51"/>
      <c r="G361" s="51"/>
      <c r="H361" s="51"/>
      <c r="I361" s="51"/>
      <c r="J361" s="59"/>
      <c r="K361" s="60"/>
      <c r="L361" s="61"/>
      <c r="M361" s="62"/>
      <c r="N361" s="63" t="str">
        <f t="shared" si="65"/>
        <v/>
      </c>
      <c r="O361" s="64" t="str">
        <f t="shared" si="66"/>
        <v/>
      </c>
      <c r="P361" s="65" t="str">
        <f t="shared" si="67"/>
        <v/>
      </c>
      <c r="Q361" s="66" t="str">
        <f t="shared" si="73"/>
        <v/>
      </c>
      <c r="R361" s="51"/>
      <c r="S361" s="60"/>
      <c r="T361" s="52" t="str">
        <f t="shared" si="68"/>
        <v/>
      </c>
      <c r="U361" s="51"/>
      <c r="V361" s="56" t="str">
        <f t="shared" si="69"/>
        <v/>
      </c>
      <c r="X361" s="57" t="str">
        <f t="shared" si="70"/>
        <v/>
      </c>
      <c r="Y361" s="57">
        <f t="shared" si="71"/>
        <v>0</v>
      </c>
      <c r="Z361" s="57">
        <f t="shared" si="74"/>
        <v>59990</v>
      </c>
      <c r="AA361" s="57">
        <f t="shared" si="75"/>
        <v>0</v>
      </c>
      <c r="AB361" s="57">
        <f t="shared" si="72"/>
        <v>0.2</v>
      </c>
      <c r="AC361" s="57" t="str">
        <f t="shared" si="76"/>
        <v/>
      </c>
      <c r="AD361" s="57" t="str">
        <f t="shared" si="77"/>
        <v/>
      </c>
      <c r="AE361" s="57" t="str">
        <f>IF(AND($D361=RelConducteur,$S361="Oui",ISNUMBER($C361),$C361&gt;=RelDebut,$C361&lt;=RelFin),COUNTIFS($D$9:$D361,RelConducteur,$S$9:$S361,"Oui",$C$9:$C361,"&gt;="&amp;RelDebut,$C$9:$C361,"&lt;="&amp;RelFin),"")</f>
        <v/>
      </c>
    </row>
    <row r="362" spans="2:31" ht="18" customHeight="1" x14ac:dyDescent="0.25">
      <c r="B362" s="48" t="str">
        <f>IF(C362="","",COUNT($C$9:C362))</f>
        <v/>
      </c>
      <c r="C362" s="49"/>
      <c r="D362" s="51"/>
      <c r="E362" s="53"/>
      <c r="F362" s="51"/>
      <c r="G362" s="51"/>
      <c r="H362" s="51"/>
      <c r="I362" s="51"/>
      <c r="J362" s="59"/>
      <c r="K362" s="60"/>
      <c r="L362" s="61"/>
      <c r="M362" s="62"/>
      <c r="N362" s="63" t="str">
        <f t="shared" si="65"/>
        <v/>
      </c>
      <c r="O362" s="64" t="str">
        <f t="shared" si="66"/>
        <v/>
      </c>
      <c r="P362" s="65" t="str">
        <f t="shared" si="67"/>
        <v/>
      </c>
      <c r="Q362" s="66" t="str">
        <f t="shared" si="73"/>
        <v/>
      </c>
      <c r="R362" s="51"/>
      <c r="S362" s="60"/>
      <c r="T362" s="52" t="str">
        <f t="shared" si="68"/>
        <v/>
      </c>
      <c r="U362" s="51"/>
      <c r="V362" s="56" t="str">
        <f t="shared" si="69"/>
        <v/>
      </c>
      <c r="X362" s="57" t="str">
        <f t="shared" si="70"/>
        <v/>
      </c>
      <c r="Y362" s="57">
        <f t="shared" si="71"/>
        <v>0</v>
      </c>
      <c r="Z362" s="57">
        <f t="shared" si="74"/>
        <v>59990</v>
      </c>
      <c r="AA362" s="57">
        <f t="shared" si="75"/>
        <v>0</v>
      </c>
      <c r="AB362" s="57">
        <f t="shared" si="72"/>
        <v>0.2</v>
      </c>
      <c r="AC362" s="57" t="str">
        <f t="shared" si="76"/>
        <v/>
      </c>
      <c r="AD362" s="57" t="str">
        <f t="shared" si="77"/>
        <v/>
      </c>
      <c r="AE362" s="57" t="str">
        <f>IF(AND($D362=RelConducteur,$S362="Oui",ISNUMBER($C362),$C362&gt;=RelDebut,$C362&lt;=RelFin),COUNTIFS($D$9:$D362,RelConducteur,$S$9:$S362,"Oui",$C$9:$C362,"&gt;="&amp;RelDebut,$C$9:$C362,"&lt;="&amp;RelFin),"")</f>
        <v/>
      </c>
    </row>
    <row r="363" spans="2:31" ht="18" customHeight="1" x14ac:dyDescent="0.25">
      <c r="B363" s="48" t="str">
        <f>IF(C363="","",COUNT($C$9:C363))</f>
        <v/>
      </c>
      <c r="C363" s="49"/>
      <c r="D363" s="51"/>
      <c r="E363" s="53"/>
      <c r="F363" s="51"/>
      <c r="G363" s="51"/>
      <c r="H363" s="51"/>
      <c r="I363" s="51"/>
      <c r="J363" s="59"/>
      <c r="K363" s="60"/>
      <c r="L363" s="61"/>
      <c r="M363" s="62"/>
      <c r="N363" s="63" t="str">
        <f t="shared" si="65"/>
        <v/>
      </c>
      <c r="O363" s="64" t="str">
        <f t="shared" si="66"/>
        <v/>
      </c>
      <c r="P363" s="65" t="str">
        <f t="shared" si="67"/>
        <v/>
      </c>
      <c r="Q363" s="66" t="str">
        <f t="shared" si="73"/>
        <v/>
      </c>
      <c r="R363" s="51"/>
      <c r="S363" s="60"/>
      <c r="T363" s="52" t="str">
        <f t="shared" si="68"/>
        <v/>
      </c>
      <c r="U363" s="51"/>
      <c r="V363" s="56" t="str">
        <f t="shared" si="69"/>
        <v/>
      </c>
      <c r="X363" s="57" t="str">
        <f t="shared" si="70"/>
        <v/>
      </c>
      <c r="Y363" s="57">
        <f t="shared" si="71"/>
        <v>0</v>
      </c>
      <c r="Z363" s="57">
        <f t="shared" si="74"/>
        <v>59990</v>
      </c>
      <c r="AA363" s="57">
        <f t="shared" si="75"/>
        <v>0</v>
      </c>
      <c r="AB363" s="57">
        <f t="shared" si="72"/>
        <v>0.2</v>
      </c>
      <c r="AC363" s="57" t="str">
        <f t="shared" si="76"/>
        <v/>
      </c>
      <c r="AD363" s="57" t="str">
        <f t="shared" si="77"/>
        <v/>
      </c>
      <c r="AE363" s="57" t="str">
        <f>IF(AND($D363=RelConducteur,$S363="Oui",ISNUMBER($C363),$C363&gt;=RelDebut,$C363&lt;=RelFin),COUNTIFS($D$9:$D363,RelConducteur,$S$9:$S363,"Oui",$C$9:$C363,"&gt;="&amp;RelDebut,$C$9:$C363,"&lt;="&amp;RelFin),"")</f>
        <v/>
      </c>
    </row>
    <row r="364" spans="2:31" ht="18" customHeight="1" x14ac:dyDescent="0.25">
      <c r="B364" s="48" t="str">
        <f>IF(C364="","",COUNT($C$9:C364))</f>
        <v/>
      </c>
      <c r="C364" s="49"/>
      <c r="D364" s="51"/>
      <c r="E364" s="53"/>
      <c r="F364" s="51"/>
      <c r="G364" s="51"/>
      <c r="H364" s="51"/>
      <c r="I364" s="51"/>
      <c r="J364" s="59"/>
      <c r="K364" s="60"/>
      <c r="L364" s="61"/>
      <c r="M364" s="62"/>
      <c r="N364" s="63" t="str">
        <f t="shared" si="65"/>
        <v/>
      </c>
      <c r="O364" s="64" t="str">
        <f t="shared" si="66"/>
        <v/>
      </c>
      <c r="P364" s="65" t="str">
        <f t="shared" si="67"/>
        <v/>
      </c>
      <c r="Q364" s="66" t="str">
        <f t="shared" si="73"/>
        <v/>
      </c>
      <c r="R364" s="51"/>
      <c r="S364" s="60"/>
      <c r="T364" s="52" t="str">
        <f t="shared" si="68"/>
        <v/>
      </c>
      <c r="U364" s="51"/>
      <c r="V364" s="56" t="str">
        <f t="shared" si="69"/>
        <v/>
      </c>
      <c r="X364" s="57" t="str">
        <f t="shared" si="70"/>
        <v/>
      </c>
      <c r="Y364" s="57">
        <f t="shared" si="71"/>
        <v>0</v>
      </c>
      <c r="Z364" s="57">
        <f t="shared" si="74"/>
        <v>59990</v>
      </c>
      <c r="AA364" s="57">
        <f t="shared" si="75"/>
        <v>0</v>
      </c>
      <c r="AB364" s="57">
        <f t="shared" si="72"/>
        <v>0.2</v>
      </c>
      <c r="AC364" s="57" t="str">
        <f t="shared" si="76"/>
        <v/>
      </c>
      <c r="AD364" s="57" t="str">
        <f t="shared" si="77"/>
        <v/>
      </c>
      <c r="AE364" s="57" t="str">
        <f>IF(AND($D364=RelConducteur,$S364="Oui",ISNUMBER($C364),$C364&gt;=RelDebut,$C364&lt;=RelFin),COUNTIFS($D$9:$D364,RelConducteur,$S$9:$S364,"Oui",$C$9:$C364,"&gt;="&amp;RelDebut,$C$9:$C364,"&lt;="&amp;RelFin),"")</f>
        <v/>
      </c>
    </row>
    <row r="365" spans="2:31" ht="18" customHeight="1" x14ac:dyDescent="0.25">
      <c r="B365" s="48" t="str">
        <f>IF(C365="","",COUNT($C$9:C365))</f>
        <v/>
      </c>
      <c r="C365" s="49"/>
      <c r="D365" s="51"/>
      <c r="E365" s="53"/>
      <c r="F365" s="51"/>
      <c r="G365" s="51"/>
      <c r="H365" s="51"/>
      <c r="I365" s="51"/>
      <c r="J365" s="59"/>
      <c r="K365" s="60"/>
      <c r="L365" s="61"/>
      <c r="M365" s="62"/>
      <c r="N365" s="63" t="str">
        <f t="shared" si="65"/>
        <v/>
      </c>
      <c r="O365" s="64" t="str">
        <f t="shared" si="66"/>
        <v/>
      </c>
      <c r="P365" s="65" t="str">
        <f t="shared" si="67"/>
        <v/>
      </c>
      <c r="Q365" s="66" t="str">
        <f t="shared" si="73"/>
        <v/>
      </c>
      <c r="R365" s="51"/>
      <c r="S365" s="60"/>
      <c r="T365" s="52" t="str">
        <f t="shared" si="68"/>
        <v/>
      </c>
      <c r="U365" s="51"/>
      <c r="V365" s="56" t="str">
        <f t="shared" si="69"/>
        <v/>
      </c>
      <c r="X365" s="57" t="str">
        <f t="shared" si="70"/>
        <v/>
      </c>
      <c r="Y365" s="57">
        <f t="shared" si="71"/>
        <v>0</v>
      </c>
      <c r="Z365" s="57">
        <f t="shared" si="74"/>
        <v>59990</v>
      </c>
      <c r="AA365" s="57">
        <f t="shared" si="75"/>
        <v>0</v>
      </c>
      <c r="AB365" s="57">
        <f t="shared" si="72"/>
        <v>0.2</v>
      </c>
      <c r="AC365" s="57" t="str">
        <f t="shared" si="76"/>
        <v/>
      </c>
      <c r="AD365" s="57" t="str">
        <f t="shared" si="77"/>
        <v/>
      </c>
      <c r="AE365" s="57" t="str">
        <f>IF(AND($D365=RelConducteur,$S365="Oui",ISNUMBER($C365),$C365&gt;=RelDebut,$C365&lt;=RelFin),COUNTIFS($D$9:$D365,RelConducteur,$S$9:$S365,"Oui",$C$9:$C365,"&gt;="&amp;RelDebut,$C$9:$C365,"&lt;="&amp;RelFin),"")</f>
        <v/>
      </c>
    </row>
    <row r="366" spans="2:31" ht="18" customHeight="1" x14ac:dyDescent="0.25">
      <c r="B366" s="48" t="str">
        <f>IF(C366="","",COUNT($C$9:C366))</f>
        <v/>
      </c>
      <c r="C366" s="49"/>
      <c r="D366" s="51"/>
      <c r="E366" s="53"/>
      <c r="F366" s="51"/>
      <c r="G366" s="51"/>
      <c r="H366" s="51"/>
      <c r="I366" s="51"/>
      <c r="J366" s="59"/>
      <c r="K366" s="60"/>
      <c r="L366" s="61"/>
      <c r="M366" s="62"/>
      <c r="N366" s="63" t="str">
        <f t="shared" si="65"/>
        <v/>
      </c>
      <c r="O366" s="64" t="str">
        <f t="shared" si="66"/>
        <v/>
      </c>
      <c r="P366" s="65" t="str">
        <f t="shared" si="67"/>
        <v/>
      </c>
      <c r="Q366" s="66" t="str">
        <f t="shared" si="73"/>
        <v/>
      </c>
      <c r="R366" s="51"/>
      <c r="S366" s="60"/>
      <c r="T366" s="52" t="str">
        <f t="shared" si="68"/>
        <v/>
      </c>
      <c r="U366" s="51"/>
      <c r="V366" s="56" t="str">
        <f t="shared" si="69"/>
        <v/>
      </c>
      <c r="X366" s="57" t="str">
        <f t="shared" si="70"/>
        <v/>
      </c>
      <c r="Y366" s="57">
        <f t="shared" si="71"/>
        <v>0</v>
      </c>
      <c r="Z366" s="57">
        <f t="shared" si="74"/>
        <v>59990</v>
      </c>
      <c r="AA366" s="57">
        <f t="shared" si="75"/>
        <v>0</v>
      </c>
      <c r="AB366" s="57">
        <f t="shared" si="72"/>
        <v>0.2</v>
      </c>
      <c r="AC366" s="57" t="str">
        <f t="shared" si="76"/>
        <v/>
      </c>
      <c r="AD366" s="57" t="str">
        <f t="shared" si="77"/>
        <v/>
      </c>
      <c r="AE366" s="57" t="str">
        <f>IF(AND($D366=RelConducteur,$S366="Oui",ISNUMBER($C366),$C366&gt;=RelDebut,$C366&lt;=RelFin),COUNTIFS($D$9:$D366,RelConducteur,$S$9:$S366,"Oui",$C$9:$C366,"&gt;="&amp;RelDebut,$C$9:$C366,"&lt;="&amp;RelFin),"")</f>
        <v/>
      </c>
    </row>
    <row r="367" spans="2:31" ht="18" customHeight="1" x14ac:dyDescent="0.25">
      <c r="B367" s="48" t="str">
        <f>IF(C367="","",COUNT($C$9:C367))</f>
        <v/>
      </c>
      <c r="C367" s="49"/>
      <c r="D367" s="51"/>
      <c r="E367" s="53"/>
      <c r="F367" s="51"/>
      <c r="G367" s="51"/>
      <c r="H367" s="51"/>
      <c r="I367" s="51"/>
      <c r="J367" s="59"/>
      <c r="K367" s="60"/>
      <c r="L367" s="61"/>
      <c r="M367" s="62"/>
      <c r="N367" s="63" t="str">
        <f t="shared" si="65"/>
        <v/>
      </c>
      <c r="O367" s="64" t="str">
        <f t="shared" si="66"/>
        <v/>
      </c>
      <c r="P367" s="65" t="str">
        <f t="shared" si="67"/>
        <v/>
      </c>
      <c r="Q367" s="66" t="str">
        <f t="shared" si="73"/>
        <v/>
      </c>
      <c r="R367" s="51"/>
      <c r="S367" s="60"/>
      <c r="T367" s="52" t="str">
        <f t="shared" si="68"/>
        <v/>
      </c>
      <c r="U367" s="51"/>
      <c r="V367" s="56" t="str">
        <f t="shared" si="69"/>
        <v/>
      </c>
      <c r="X367" s="57" t="str">
        <f t="shared" si="70"/>
        <v/>
      </c>
      <c r="Y367" s="57">
        <f t="shared" si="71"/>
        <v>0</v>
      </c>
      <c r="Z367" s="57">
        <f t="shared" si="74"/>
        <v>59990</v>
      </c>
      <c r="AA367" s="57">
        <f t="shared" si="75"/>
        <v>0</v>
      </c>
      <c r="AB367" s="57">
        <f t="shared" si="72"/>
        <v>0.2</v>
      </c>
      <c r="AC367" s="57" t="str">
        <f t="shared" si="76"/>
        <v/>
      </c>
      <c r="AD367" s="57" t="str">
        <f t="shared" si="77"/>
        <v/>
      </c>
      <c r="AE367" s="57" t="str">
        <f>IF(AND($D367=RelConducteur,$S367="Oui",ISNUMBER($C367),$C367&gt;=RelDebut,$C367&lt;=RelFin),COUNTIFS($D$9:$D367,RelConducteur,$S$9:$S367,"Oui",$C$9:$C367,"&gt;="&amp;RelDebut,$C$9:$C367,"&lt;="&amp;RelFin),"")</f>
        <v/>
      </c>
    </row>
    <row r="368" spans="2:31" ht="18" customHeight="1" x14ac:dyDescent="0.25">
      <c r="B368" s="48" t="str">
        <f>IF(C368="","",COUNT($C$9:C368))</f>
        <v/>
      </c>
      <c r="C368" s="49"/>
      <c r="D368" s="51"/>
      <c r="E368" s="53"/>
      <c r="F368" s="51"/>
      <c r="G368" s="51"/>
      <c r="H368" s="51"/>
      <c r="I368" s="51"/>
      <c r="J368" s="59"/>
      <c r="K368" s="60"/>
      <c r="L368" s="61"/>
      <c r="M368" s="62"/>
      <c r="N368" s="63" t="str">
        <f t="shared" si="65"/>
        <v/>
      </c>
      <c r="O368" s="64" t="str">
        <f t="shared" si="66"/>
        <v/>
      </c>
      <c r="P368" s="65" t="str">
        <f t="shared" si="67"/>
        <v/>
      </c>
      <c r="Q368" s="66" t="str">
        <f t="shared" si="73"/>
        <v/>
      </c>
      <c r="R368" s="51"/>
      <c r="S368" s="60"/>
      <c r="T368" s="52" t="str">
        <f t="shared" si="68"/>
        <v/>
      </c>
      <c r="U368" s="51"/>
      <c r="V368" s="56" t="str">
        <f t="shared" si="69"/>
        <v/>
      </c>
      <c r="X368" s="57" t="str">
        <f t="shared" si="70"/>
        <v/>
      </c>
      <c r="Y368" s="57">
        <f t="shared" si="71"/>
        <v>0</v>
      </c>
      <c r="Z368" s="57">
        <f t="shared" si="74"/>
        <v>59990</v>
      </c>
      <c r="AA368" s="57">
        <f t="shared" si="75"/>
        <v>0</v>
      </c>
      <c r="AB368" s="57">
        <f t="shared" si="72"/>
        <v>0.2</v>
      </c>
      <c r="AC368" s="57" t="str">
        <f t="shared" si="76"/>
        <v/>
      </c>
      <c r="AD368" s="57" t="str">
        <f t="shared" si="77"/>
        <v/>
      </c>
      <c r="AE368" s="57" t="str">
        <f>IF(AND($D368=RelConducteur,$S368="Oui",ISNUMBER($C368),$C368&gt;=RelDebut,$C368&lt;=RelFin),COUNTIFS($D$9:$D368,RelConducteur,$S$9:$S368,"Oui",$C$9:$C368,"&gt;="&amp;RelDebut,$C$9:$C368,"&lt;="&amp;RelFin),"")</f>
        <v/>
      </c>
    </row>
    <row r="369" spans="2:31" ht="18" customHeight="1" x14ac:dyDescent="0.25">
      <c r="B369" s="48" t="str">
        <f>IF(C369="","",COUNT($C$9:C369))</f>
        <v/>
      </c>
      <c r="C369" s="49"/>
      <c r="D369" s="51"/>
      <c r="E369" s="53"/>
      <c r="F369" s="51"/>
      <c r="G369" s="51"/>
      <c r="H369" s="51"/>
      <c r="I369" s="51"/>
      <c r="J369" s="59"/>
      <c r="K369" s="60"/>
      <c r="L369" s="61"/>
      <c r="M369" s="62"/>
      <c r="N369" s="63" t="str">
        <f t="shared" si="65"/>
        <v/>
      </c>
      <c r="O369" s="64" t="str">
        <f t="shared" si="66"/>
        <v/>
      </c>
      <c r="P369" s="65" t="str">
        <f t="shared" si="67"/>
        <v/>
      </c>
      <c r="Q369" s="66" t="str">
        <f t="shared" si="73"/>
        <v/>
      </c>
      <c r="R369" s="51"/>
      <c r="S369" s="60"/>
      <c r="T369" s="52" t="str">
        <f t="shared" si="68"/>
        <v/>
      </c>
      <c r="U369" s="51"/>
      <c r="V369" s="56" t="str">
        <f t="shared" si="69"/>
        <v/>
      </c>
      <c r="X369" s="57" t="str">
        <f t="shared" si="70"/>
        <v/>
      </c>
      <c r="Y369" s="57">
        <f t="shared" si="71"/>
        <v>0</v>
      </c>
      <c r="Z369" s="57">
        <f t="shared" si="74"/>
        <v>59990</v>
      </c>
      <c r="AA369" s="57">
        <f t="shared" si="75"/>
        <v>0</v>
      </c>
      <c r="AB369" s="57">
        <f t="shared" si="72"/>
        <v>0.2</v>
      </c>
      <c r="AC369" s="57" t="str">
        <f t="shared" si="76"/>
        <v/>
      </c>
      <c r="AD369" s="57" t="str">
        <f t="shared" si="77"/>
        <v/>
      </c>
      <c r="AE369" s="57" t="str">
        <f>IF(AND($D369=RelConducteur,$S369="Oui",ISNUMBER($C369),$C369&gt;=RelDebut,$C369&lt;=RelFin),COUNTIFS($D$9:$D369,RelConducteur,$S$9:$S369,"Oui",$C$9:$C369,"&gt;="&amp;RelDebut,$C$9:$C369,"&lt;="&amp;RelFin),"")</f>
        <v/>
      </c>
    </row>
    <row r="370" spans="2:31" ht="18" customHeight="1" x14ac:dyDescent="0.25">
      <c r="B370" s="48" t="str">
        <f>IF(C370="","",COUNT($C$9:C370))</f>
        <v/>
      </c>
      <c r="C370" s="49"/>
      <c r="D370" s="51"/>
      <c r="E370" s="53"/>
      <c r="F370" s="51"/>
      <c r="G370" s="51"/>
      <c r="H370" s="51"/>
      <c r="I370" s="51"/>
      <c r="J370" s="59"/>
      <c r="K370" s="60"/>
      <c r="L370" s="61"/>
      <c r="M370" s="62"/>
      <c r="N370" s="63" t="str">
        <f t="shared" si="65"/>
        <v/>
      </c>
      <c r="O370" s="64" t="str">
        <f t="shared" si="66"/>
        <v/>
      </c>
      <c r="P370" s="65" t="str">
        <f t="shared" si="67"/>
        <v/>
      </c>
      <c r="Q370" s="66" t="str">
        <f t="shared" si="73"/>
        <v/>
      </c>
      <c r="R370" s="51"/>
      <c r="S370" s="60"/>
      <c r="T370" s="52" t="str">
        <f t="shared" si="68"/>
        <v/>
      </c>
      <c r="U370" s="51"/>
      <c r="V370" s="56" t="str">
        <f t="shared" si="69"/>
        <v/>
      </c>
      <c r="X370" s="57" t="str">
        <f t="shared" si="70"/>
        <v/>
      </c>
      <c r="Y370" s="57">
        <f t="shared" si="71"/>
        <v>0</v>
      </c>
      <c r="Z370" s="57">
        <f t="shared" si="74"/>
        <v>59990</v>
      </c>
      <c r="AA370" s="57">
        <f t="shared" si="75"/>
        <v>0</v>
      </c>
      <c r="AB370" s="57">
        <f t="shared" si="72"/>
        <v>0.2</v>
      </c>
      <c r="AC370" s="57" t="str">
        <f t="shared" si="76"/>
        <v/>
      </c>
      <c r="AD370" s="57" t="str">
        <f t="shared" si="77"/>
        <v/>
      </c>
      <c r="AE370" s="57" t="str">
        <f>IF(AND($D370=RelConducteur,$S370="Oui",ISNUMBER($C370),$C370&gt;=RelDebut,$C370&lt;=RelFin),COUNTIFS($D$9:$D370,RelConducteur,$S$9:$S370,"Oui",$C$9:$C370,"&gt;="&amp;RelDebut,$C$9:$C370,"&lt;="&amp;RelFin),"")</f>
        <v/>
      </c>
    </row>
    <row r="371" spans="2:31" ht="18" customHeight="1" x14ac:dyDescent="0.25">
      <c r="B371" s="48" t="str">
        <f>IF(C371="","",COUNT($C$9:C371))</f>
        <v/>
      </c>
      <c r="C371" s="49"/>
      <c r="D371" s="51"/>
      <c r="E371" s="53"/>
      <c r="F371" s="51"/>
      <c r="G371" s="51"/>
      <c r="H371" s="51"/>
      <c r="I371" s="51"/>
      <c r="J371" s="59"/>
      <c r="K371" s="60"/>
      <c r="L371" s="61"/>
      <c r="M371" s="62"/>
      <c r="N371" s="63" t="str">
        <f t="shared" si="65"/>
        <v/>
      </c>
      <c r="O371" s="64" t="str">
        <f t="shared" si="66"/>
        <v/>
      </c>
      <c r="P371" s="65" t="str">
        <f t="shared" si="67"/>
        <v/>
      </c>
      <c r="Q371" s="66" t="str">
        <f t="shared" si="73"/>
        <v/>
      </c>
      <c r="R371" s="51"/>
      <c r="S371" s="60"/>
      <c r="T371" s="52" t="str">
        <f t="shared" si="68"/>
        <v/>
      </c>
      <c r="U371" s="51"/>
      <c r="V371" s="56" t="str">
        <f t="shared" si="69"/>
        <v/>
      </c>
      <c r="X371" s="57" t="str">
        <f t="shared" si="70"/>
        <v/>
      </c>
      <c r="Y371" s="57">
        <f t="shared" si="71"/>
        <v>0</v>
      </c>
      <c r="Z371" s="57">
        <f t="shared" si="74"/>
        <v>59990</v>
      </c>
      <c r="AA371" s="57">
        <f t="shared" si="75"/>
        <v>0</v>
      </c>
      <c r="AB371" s="57">
        <f t="shared" si="72"/>
        <v>0.2</v>
      </c>
      <c r="AC371" s="57" t="str">
        <f t="shared" si="76"/>
        <v/>
      </c>
      <c r="AD371" s="57" t="str">
        <f t="shared" si="77"/>
        <v/>
      </c>
      <c r="AE371" s="57" t="str">
        <f>IF(AND($D371=RelConducteur,$S371="Oui",ISNUMBER($C371),$C371&gt;=RelDebut,$C371&lt;=RelFin),COUNTIFS($D$9:$D371,RelConducteur,$S$9:$S371,"Oui",$C$9:$C371,"&gt;="&amp;RelDebut,$C$9:$C371,"&lt;="&amp;RelFin),"")</f>
        <v/>
      </c>
    </row>
    <row r="372" spans="2:31" ht="18" customHeight="1" x14ac:dyDescent="0.25">
      <c r="B372" s="48" t="str">
        <f>IF(C372="","",COUNT($C$9:C372))</f>
        <v/>
      </c>
      <c r="C372" s="49"/>
      <c r="D372" s="51"/>
      <c r="E372" s="53"/>
      <c r="F372" s="51"/>
      <c r="G372" s="51"/>
      <c r="H372" s="51"/>
      <c r="I372" s="51"/>
      <c r="J372" s="59"/>
      <c r="K372" s="60"/>
      <c r="L372" s="61"/>
      <c r="M372" s="62"/>
      <c r="N372" s="63" t="str">
        <f t="shared" si="65"/>
        <v/>
      </c>
      <c r="O372" s="64" t="str">
        <f t="shared" si="66"/>
        <v/>
      </c>
      <c r="P372" s="65" t="str">
        <f t="shared" si="67"/>
        <v/>
      </c>
      <c r="Q372" s="66" t="str">
        <f t="shared" si="73"/>
        <v/>
      </c>
      <c r="R372" s="51"/>
      <c r="S372" s="60"/>
      <c r="T372" s="52" t="str">
        <f t="shared" si="68"/>
        <v/>
      </c>
      <c r="U372" s="51"/>
      <c r="V372" s="56" t="str">
        <f t="shared" si="69"/>
        <v/>
      </c>
      <c r="X372" s="57" t="str">
        <f t="shared" si="70"/>
        <v/>
      </c>
      <c r="Y372" s="57">
        <f t="shared" si="71"/>
        <v>0</v>
      </c>
      <c r="Z372" s="57">
        <f t="shared" si="74"/>
        <v>59990</v>
      </c>
      <c r="AA372" s="57">
        <f t="shared" si="75"/>
        <v>0</v>
      </c>
      <c r="AB372" s="57">
        <f t="shared" si="72"/>
        <v>0.2</v>
      </c>
      <c r="AC372" s="57" t="str">
        <f t="shared" si="76"/>
        <v/>
      </c>
      <c r="AD372" s="57" t="str">
        <f t="shared" si="77"/>
        <v/>
      </c>
      <c r="AE372" s="57" t="str">
        <f>IF(AND($D372=RelConducteur,$S372="Oui",ISNUMBER($C372),$C372&gt;=RelDebut,$C372&lt;=RelFin),COUNTIFS($D$9:$D372,RelConducteur,$S$9:$S372,"Oui",$C$9:$C372,"&gt;="&amp;RelDebut,$C$9:$C372,"&lt;="&amp;RelFin),"")</f>
        <v/>
      </c>
    </row>
    <row r="373" spans="2:31" ht="18" customHeight="1" x14ac:dyDescent="0.25">
      <c r="B373" s="48" t="str">
        <f>IF(C373="","",COUNT($C$9:C373))</f>
        <v/>
      </c>
      <c r="C373" s="49"/>
      <c r="D373" s="51"/>
      <c r="E373" s="53"/>
      <c r="F373" s="51"/>
      <c r="G373" s="51"/>
      <c r="H373" s="51"/>
      <c r="I373" s="51"/>
      <c r="J373" s="59"/>
      <c r="K373" s="60"/>
      <c r="L373" s="61"/>
      <c r="M373" s="62"/>
      <c r="N373" s="63" t="str">
        <f t="shared" si="65"/>
        <v/>
      </c>
      <c r="O373" s="64" t="str">
        <f t="shared" si="66"/>
        <v/>
      </c>
      <c r="P373" s="65" t="str">
        <f t="shared" si="67"/>
        <v/>
      </c>
      <c r="Q373" s="66" t="str">
        <f t="shared" si="73"/>
        <v/>
      </c>
      <c r="R373" s="51"/>
      <c r="S373" s="60"/>
      <c r="T373" s="52" t="str">
        <f t="shared" si="68"/>
        <v/>
      </c>
      <c r="U373" s="51"/>
      <c r="V373" s="56" t="str">
        <f t="shared" si="69"/>
        <v/>
      </c>
      <c r="X373" s="57" t="str">
        <f t="shared" si="70"/>
        <v/>
      </c>
      <c r="Y373" s="57">
        <f t="shared" si="71"/>
        <v>0</v>
      </c>
      <c r="Z373" s="57">
        <f t="shared" si="74"/>
        <v>59990</v>
      </c>
      <c r="AA373" s="57">
        <f t="shared" si="75"/>
        <v>0</v>
      </c>
      <c r="AB373" s="57">
        <f t="shared" si="72"/>
        <v>0.2</v>
      </c>
      <c r="AC373" s="57" t="str">
        <f t="shared" si="76"/>
        <v/>
      </c>
      <c r="AD373" s="57" t="str">
        <f t="shared" si="77"/>
        <v/>
      </c>
      <c r="AE373" s="57" t="str">
        <f>IF(AND($D373=RelConducteur,$S373="Oui",ISNUMBER($C373),$C373&gt;=RelDebut,$C373&lt;=RelFin),COUNTIFS($D$9:$D373,RelConducteur,$S$9:$S373,"Oui",$C$9:$C373,"&gt;="&amp;RelDebut,$C$9:$C373,"&lt;="&amp;RelFin),"")</f>
        <v/>
      </c>
    </row>
    <row r="374" spans="2:31" ht="18" customHeight="1" x14ac:dyDescent="0.25">
      <c r="B374" s="48" t="str">
        <f>IF(C374="","",COUNT($C$9:C374))</f>
        <v/>
      </c>
      <c r="C374" s="49"/>
      <c r="D374" s="51"/>
      <c r="E374" s="53"/>
      <c r="F374" s="51"/>
      <c r="G374" s="51"/>
      <c r="H374" s="51"/>
      <c r="I374" s="51"/>
      <c r="J374" s="59"/>
      <c r="K374" s="60"/>
      <c r="L374" s="61"/>
      <c r="M374" s="62"/>
      <c r="N374" s="63" t="str">
        <f t="shared" si="65"/>
        <v/>
      </c>
      <c r="O374" s="64" t="str">
        <f t="shared" si="66"/>
        <v/>
      </c>
      <c r="P374" s="65" t="str">
        <f t="shared" si="67"/>
        <v/>
      </c>
      <c r="Q374" s="66" t="str">
        <f t="shared" si="73"/>
        <v/>
      </c>
      <c r="R374" s="51"/>
      <c r="S374" s="60"/>
      <c r="T374" s="52" t="str">
        <f t="shared" si="68"/>
        <v/>
      </c>
      <c r="U374" s="51"/>
      <c r="V374" s="56" t="str">
        <f t="shared" si="69"/>
        <v/>
      </c>
      <c r="X374" s="57" t="str">
        <f t="shared" si="70"/>
        <v/>
      </c>
      <c r="Y374" s="57">
        <f t="shared" si="71"/>
        <v>0</v>
      </c>
      <c r="Z374" s="57">
        <f t="shared" si="74"/>
        <v>59990</v>
      </c>
      <c r="AA374" s="57">
        <f t="shared" si="75"/>
        <v>0</v>
      </c>
      <c r="AB374" s="57">
        <f t="shared" si="72"/>
        <v>0.2</v>
      </c>
      <c r="AC374" s="57" t="str">
        <f t="shared" si="76"/>
        <v/>
      </c>
      <c r="AD374" s="57" t="str">
        <f t="shared" si="77"/>
        <v/>
      </c>
      <c r="AE374" s="57" t="str">
        <f>IF(AND($D374=RelConducteur,$S374="Oui",ISNUMBER($C374),$C374&gt;=RelDebut,$C374&lt;=RelFin),COUNTIFS($D$9:$D374,RelConducteur,$S$9:$S374,"Oui",$C$9:$C374,"&gt;="&amp;RelDebut,$C$9:$C374,"&lt;="&amp;RelFin),"")</f>
        <v/>
      </c>
    </row>
    <row r="375" spans="2:31" ht="18" customHeight="1" x14ac:dyDescent="0.25">
      <c r="B375" s="48" t="str">
        <f>IF(C375="","",COUNT($C$9:C375))</f>
        <v/>
      </c>
      <c r="C375" s="49"/>
      <c r="D375" s="51"/>
      <c r="E375" s="53"/>
      <c r="F375" s="51"/>
      <c r="G375" s="51"/>
      <c r="H375" s="51"/>
      <c r="I375" s="51"/>
      <c r="J375" s="59"/>
      <c r="K375" s="60"/>
      <c r="L375" s="61"/>
      <c r="M375" s="62"/>
      <c r="N375" s="63" t="str">
        <f t="shared" si="65"/>
        <v/>
      </c>
      <c r="O375" s="64" t="str">
        <f t="shared" si="66"/>
        <v/>
      </c>
      <c r="P375" s="65" t="str">
        <f t="shared" si="67"/>
        <v/>
      </c>
      <c r="Q375" s="66" t="str">
        <f t="shared" si="73"/>
        <v/>
      </c>
      <c r="R375" s="51"/>
      <c r="S375" s="60"/>
      <c r="T375" s="52" t="str">
        <f t="shared" si="68"/>
        <v/>
      </c>
      <c r="U375" s="51"/>
      <c r="V375" s="56" t="str">
        <f t="shared" si="69"/>
        <v/>
      </c>
      <c r="X375" s="57" t="str">
        <f t="shared" si="70"/>
        <v/>
      </c>
      <c r="Y375" s="57">
        <f t="shared" si="71"/>
        <v>0</v>
      </c>
      <c r="Z375" s="57">
        <f t="shared" si="74"/>
        <v>59990</v>
      </c>
      <c r="AA375" s="57">
        <f t="shared" si="75"/>
        <v>0</v>
      </c>
      <c r="AB375" s="57">
        <f t="shared" si="72"/>
        <v>0.2</v>
      </c>
      <c r="AC375" s="57" t="str">
        <f t="shared" si="76"/>
        <v/>
      </c>
      <c r="AD375" s="57" t="str">
        <f t="shared" si="77"/>
        <v/>
      </c>
      <c r="AE375" s="57" t="str">
        <f>IF(AND($D375=RelConducteur,$S375="Oui",ISNUMBER($C375),$C375&gt;=RelDebut,$C375&lt;=RelFin),COUNTIFS($D$9:$D375,RelConducteur,$S$9:$S375,"Oui",$C$9:$C375,"&gt;="&amp;RelDebut,$C$9:$C375,"&lt;="&amp;RelFin),"")</f>
        <v/>
      </c>
    </row>
    <row r="376" spans="2:31" ht="18" customHeight="1" x14ac:dyDescent="0.25">
      <c r="B376" s="48" t="str">
        <f>IF(C376="","",COUNT($C$9:C376))</f>
        <v/>
      </c>
      <c r="C376" s="49"/>
      <c r="D376" s="51"/>
      <c r="E376" s="53"/>
      <c r="F376" s="51"/>
      <c r="G376" s="51"/>
      <c r="H376" s="51"/>
      <c r="I376" s="51"/>
      <c r="J376" s="59"/>
      <c r="K376" s="60"/>
      <c r="L376" s="61"/>
      <c r="M376" s="62"/>
      <c r="N376" s="63" t="str">
        <f t="shared" si="65"/>
        <v/>
      </c>
      <c r="O376" s="64" t="str">
        <f t="shared" si="66"/>
        <v/>
      </c>
      <c r="P376" s="65" t="str">
        <f t="shared" si="67"/>
        <v/>
      </c>
      <c r="Q376" s="66" t="str">
        <f t="shared" si="73"/>
        <v/>
      </c>
      <c r="R376" s="51"/>
      <c r="S376" s="60"/>
      <c r="T376" s="52" t="str">
        <f t="shared" si="68"/>
        <v/>
      </c>
      <c r="U376" s="51"/>
      <c r="V376" s="56" t="str">
        <f t="shared" si="69"/>
        <v/>
      </c>
      <c r="X376" s="57" t="str">
        <f t="shared" si="70"/>
        <v/>
      </c>
      <c r="Y376" s="57">
        <f t="shared" si="71"/>
        <v>0</v>
      </c>
      <c r="Z376" s="57">
        <f t="shared" si="74"/>
        <v>59990</v>
      </c>
      <c r="AA376" s="57">
        <f t="shared" si="75"/>
        <v>0</v>
      </c>
      <c r="AB376" s="57">
        <f t="shared" si="72"/>
        <v>0.2</v>
      </c>
      <c r="AC376" s="57" t="str">
        <f t="shared" si="76"/>
        <v/>
      </c>
      <c r="AD376" s="57" t="str">
        <f t="shared" si="77"/>
        <v/>
      </c>
      <c r="AE376" s="57" t="str">
        <f>IF(AND($D376=RelConducteur,$S376="Oui",ISNUMBER($C376),$C376&gt;=RelDebut,$C376&lt;=RelFin),COUNTIFS($D$9:$D376,RelConducteur,$S$9:$S376,"Oui",$C$9:$C376,"&gt;="&amp;RelDebut,$C$9:$C376,"&lt;="&amp;RelFin),"")</f>
        <v/>
      </c>
    </row>
    <row r="377" spans="2:31" ht="18" customHeight="1" x14ac:dyDescent="0.25">
      <c r="B377" s="48" t="str">
        <f>IF(C377="","",COUNT($C$9:C377))</f>
        <v/>
      </c>
      <c r="C377" s="49"/>
      <c r="D377" s="51"/>
      <c r="E377" s="53"/>
      <c r="F377" s="51"/>
      <c r="G377" s="51"/>
      <c r="H377" s="51"/>
      <c r="I377" s="51"/>
      <c r="J377" s="59"/>
      <c r="K377" s="60"/>
      <c r="L377" s="61"/>
      <c r="M377" s="62"/>
      <c r="N377" s="63" t="str">
        <f t="shared" si="65"/>
        <v/>
      </c>
      <c r="O377" s="64" t="str">
        <f t="shared" si="66"/>
        <v/>
      </c>
      <c r="P377" s="65" t="str">
        <f t="shared" si="67"/>
        <v/>
      </c>
      <c r="Q377" s="66" t="str">
        <f t="shared" si="73"/>
        <v/>
      </c>
      <c r="R377" s="51"/>
      <c r="S377" s="60"/>
      <c r="T377" s="52" t="str">
        <f t="shared" si="68"/>
        <v/>
      </c>
      <c r="U377" s="51"/>
      <c r="V377" s="56" t="str">
        <f t="shared" si="69"/>
        <v/>
      </c>
      <c r="X377" s="57" t="str">
        <f t="shared" si="70"/>
        <v/>
      </c>
      <c r="Y377" s="57">
        <f t="shared" si="71"/>
        <v>0</v>
      </c>
      <c r="Z377" s="57">
        <f t="shared" si="74"/>
        <v>59990</v>
      </c>
      <c r="AA377" s="57">
        <f t="shared" si="75"/>
        <v>0</v>
      </c>
      <c r="AB377" s="57">
        <f t="shared" si="72"/>
        <v>0.2</v>
      </c>
      <c r="AC377" s="57" t="str">
        <f t="shared" si="76"/>
        <v/>
      </c>
      <c r="AD377" s="57" t="str">
        <f t="shared" si="77"/>
        <v/>
      </c>
      <c r="AE377" s="57" t="str">
        <f>IF(AND($D377=RelConducteur,$S377="Oui",ISNUMBER($C377),$C377&gt;=RelDebut,$C377&lt;=RelFin),COUNTIFS($D$9:$D377,RelConducteur,$S$9:$S377,"Oui",$C$9:$C377,"&gt;="&amp;RelDebut,$C$9:$C377,"&lt;="&amp;RelFin),"")</f>
        <v/>
      </c>
    </row>
    <row r="378" spans="2:31" ht="18" customHeight="1" x14ac:dyDescent="0.25">
      <c r="B378" s="48" t="str">
        <f>IF(C378="","",COUNT($C$9:C378))</f>
        <v/>
      </c>
      <c r="C378" s="49"/>
      <c r="D378" s="51"/>
      <c r="E378" s="53"/>
      <c r="F378" s="51"/>
      <c r="G378" s="51"/>
      <c r="H378" s="51"/>
      <c r="I378" s="51"/>
      <c r="J378" s="59"/>
      <c r="K378" s="60"/>
      <c r="L378" s="61"/>
      <c r="M378" s="62"/>
      <c r="N378" s="63" t="str">
        <f t="shared" si="65"/>
        <v/>
      </c>
      <c r="O378" s="64" t="str">
        <f t="shared" si="66"/>
        <v/>
      </c>
      <c r="P378" s="65" t="str">
        <f t="shared" si="67"/>
        <v/>
      </c>
      <c r="Q378" s="66" t="str">
        <f t="shared" si="73"/>
        <v/>
      </c>
      <c r="R378" s="51"/>
      <c r="S378" s="60"/>
      <c r="T378" s="52" t="str">
        <f t="shared" si="68"/>
        <v/>
      </c>
      <c r="U378" s="51"/>
      <c r="V378" s="56" t="str">
        <f t="shared" si="69"/>
        <v/>
      </c>
      <c r="X378" s="57" t="str">
        <f t="shared" si="70"/>
        <v/>
      </c>
      <c r="Y378" s="57">
        <f t="shared" si="71"/>
        <v>0</v>
      </c>
      <c r="Z378" s="57">
        <f t="shared" si="74"/>
        <v>59990</v>
      </c>
      <c r="AA378" s="57">
        <f t="shared" si="75"/>
        <v>0</v>
      </c>
      <c r="AB378" s="57">
        <f t="shared" si="72"/>
        <v>0.2</v>
      </c>
      <c r="AC378" s="57" t="str">
        <f t="shared" si="76"/>
        <v/>
      </c>
      <c r="AD378" s="57" t="str">
        <f t="shared" si="77"/>
        <v/>
      </c>
      <c r="AE378" s="57" t="str">
        <f>IF(AND($D378=RelConducteur,$S378="Oui",ISNUMBER($C378),$C378&gt;=RelDebut,$C378&lt;=RelFin),COUNTIFS($D$9:$D378,RelConducteur,$S$9:$S378,"Oui",$C$9:$C378,"&gt;="&amp;RelDebut,$C$9:$C378,"&lt;="&amp;RelFin),"")</f>
        <v/>
      </c>
    </row>
    <row r="379" spans="2:31" ht="18" customHeight="1" x14ac:dyDescent="0.25">
      <c r="B379" s="48" t="str">
        <f>IF(C379="","",COUNT($C$9:C379))</f>
        <v/>
      </c>
      <c r="C379" s="49"/>
      <c r="D379" s="51"/>
      <c r="E379" s="53"/>
      <c r="F379" s="51"/>
      <c r="G379" s="51"/>
      <c r="H379" s="51"/>
      <c r="I379" s="51"/>
      <c r="J379" s="59"/>
      <c r="K379" s="60"/>
      <c r="L379" s="61"/>
      <c r="M379" s="62"/>
      <c r="N379" s="63" t="str">
        <f t="shared" si="65"/>
        <v/>
      </c>
      <c r="O379" s="64" t="str">
        <f t="shared" si="66"/>
        <v/>
      </c>
      <c r="P379" s="65" t="str">
        <f t="shared" si="67"/>
        <v/>
      </c>
      <c r="Q379" s="66" t="str">
        <f t="shared" si="73"/>
        <v/>
      </c>
      <c r="R379" s="51"/>
      <c r="S379" s="60"/>
      <c r="T379" s="52" t="str">
        <f t="shared" si="68"/>
        <v/>
      </c>
      <c r="U379" s="51"/>
      <c r="V379" s="56" t="str">
        <f t="shared" si="69"/>
        <v/>
      </c>
      <c r="X379" s="57" t="str">
        <f t="shared" si="70"/>
        <v/>
      </c>
      <c r="Y379" s="57">
        <f t="shared" si="71"/>
        <v>0</v>
      </c>
      <c r="Z379" s="57">
        <f t="shared" si="74"/>
        <v>59990</v>
      </c>
      <c r="AA379" s="57">
        <f t="shared" si="75"/>
        <v>0</v>
      </c>
      <c r="AB379" s="57">
        <f t="shared" si="72"/>
        <v>0.2</v>
      </c>
      <c r="AC379" s="57" t="str">
        <f t="shared" si="76"/>
        <v/>
      </c>
      <c r="AD379" s="57" t="str">
        <f t="shared" si="77"/>
        <v/>
      </c>
      <c r="AE379" s="57" t="str">
        <f>IF(AND($D379=RelConducteur,$S379="Oui",ISNUMBER($C379),$C379&gt;=RelDebut,$C379&lt;=RelFin),COUNTIFS($D$9:$D379,RelConducteur,$S$9:$S379,"Oui",$C$9:$C379,"&gt;="&amp;RelDebut,$C$9:$C379,"&lt;="&amp;RelFin),"")</f>
        <v/>
      </c>
    </row>
    <row r="380" spans="2:31" ht="18" customHeight="1" x14ac:dyDescent="0.25">
      <c r="B380" s="48" t="str">
        <f>IF(C380="","",COUNT($C$9:C380))</f>
        <v/>
      </c>
      <c r="C380" s="49"/>
      <c r="D380" s="51"/>
      <c r="E380" s="53"/>
      <c r="F380" s="51"/>
      <c r="G380" s="51"/>
      <c r="H380" s="51"/>
      <c r="I380" s="51"/>
      <c r="J380" s="59"/>
      <c r="K380" s="60"/>
      <c r="L380" s="61"/>
      <c r="M380" s="62"/>
      <c r="N380" s="63" t="str">
        <f t="shared" si="65"/>
        <v/>
      </c>
      <c r="O380" s="64" t="str">
        <f t="shared" si="66"/>
        <v/>
      </c>
      <c r="P380" s="65" t="str">
        <f t="shared" si="67"/>
        <v/>
      </c>
      <c r="Q380" s="66" t="str">
        <f t="shared" si="73"/>
        <v/>
      </c>
      <c r="R380" s="51"/>
      <c r="S380" s="60"/>
      <c r="T380" s="52" t="str">
        <f t="shared" si="68"/>
        <v/>
      </c>
      <c r="U380" s="51"/>
      <c r="V380" s="56" t="str">
        <f t="shared" si="69"/>
        <v/>
      </c>
      <c r="X380" s="57" t="str">
        <f t="shared" si="70"/>
        <v/>
      </c>
      <c r="Y380" s="57">
        <f t="shared" si="71"/>
        <v>0</v>
      </c>
      <c r="Z380" s="57">
        <f t="shared" si="74"/>
        <v>59990</v>
      </c>
      <c r="AA380" s="57">
        <f t="shared" si="75"/>
        <v>0</v>
      </c>
      <c r="AB380" s="57">
        <f t="shared" si="72"/>
        <v>0.2</v>
      </c>
      <c r="AC380" s="57" t="str">
        <f t="shared" si="76"/>
        <v/>
      </c>
      <c r="AD380" s="57" t="str">
        <f t="shared" si="77"/>
        <v/>
      </c>
      <c r="AE380" s="57" t="str">
        <f>IF(AND($D380=RelConducteur,$S380="Oui",ISNUMBER($C380),$C380&gt;=RelDebut,$C380&lt;=RelFin),COUNTIFS($D$9:$D380,RelConducteur,$S$9:$S380,"Oui",$C$9:$C380,"&gt;="&amp;RelDebut,$C$9:$C380,"&lt;="&amp;RelFin),"")</f>
        <v/>
      </c>
    </row>
    <row r="381" spans="2:31" ht="18" customHeight="1" x14ac:dyDescent="0.25">
      <c r="B381" s="48" t="str">
        <f>IF(C381="","",COUNT($C$9:C381))</f>
        <v/>
      </c>
      <c r="C381" s="49"/>
      <c r="D381" s="51"/>
      <c r="E381" s="53"/>
      <c r="F381" s="51"/>
      <c r="G381" s="51"/>
      <c r="H381" s="51"/>
      <c r="I381" s="51"/>
      <c r="J381" s="59"/>
      <c r="K381" s="60"/>
      <c r="L381" s="61"/>
      <c r="M381" s="62"/>
      <c r="N381" s="63" t="str">
        <f t="shared" si="65"/>
        <v/>
      </c>
      <c r="O381" s="64" t="str">
        <f t="shared" si="66"/>
        <v/>
      </c>
      <c r="P381" s="65" t="str">
        <f t="shared" si="67"/>
        <v/>
      </c>
      <c r="Q381" s="66" t="str">
        <f t="shared" si="73"/>
        <v/>
      </c>
      <c r="R381" s="51"/>
      <c r="S381" s="60"/>
      <c r="T381" s="52" t="str">
        <f t="shared" si="68"/>
        <v/>
      </c>
      <c r="U381" s="51"/>
      <c r="V381" s="56" t="str">
        <f t="shared" si="69"/>
        <v/>
      </c>
      <c r="X381" s="57" t="str">
        <f t="shared" si="70"/>
        <v/>
      </c>
      <c r="Y381" s="57">
        <f t="shared" si="71"/>
        <v>0</v>
      </c>
      <c r="Z381" s="57">
        <f t="shared" si="74"/>
        <v>59990</v>
      </c>
      <c r="AA381" s="57">
        <f t="shared" si="75"/>
        <v>0</v>
      </c>
      <c r="AB381" s="57">
        <f t="shared" si="72"/>
        <v>0.2</v>
      </c>
      <c r="AC381" s="57" t="str">
        <f t="shared" si="76"/>
        <v/>
      </c>
      <c r="AD381" s="57" t="str">
        <f t="shared" si="77"/>
        <v/>
      </c>
      <c r="AE381" s="57" t="str">
        <f>IF(AND($D381=RelConducteur,$S381="Oui",ISNUMBER($C381),$C381&gt;=RelDebut,$C381&lt;=RelFin),COUNTIFS($D$9:$D381,RelConducteur,$S$9:$S381,"Oui",$C$9:$C381,"&gt;="&amp;RelDebut,$C$9:$C381,"&lt;="&amp;RelFin),"")</f>
        <v/>
      </c>
    </row>
    <row r="382" spans="2:31" ht="18" customHeight="1" x14ac:dyDescent="0.25">
      <c r="B382" s="48" t="str">
        <f>IF(C382="","",COUNT($C$9:C382))</f>
        <v/>
      </c>
      <c r="C382" s="49"/>
      <c r="D382" s="51"/>
      <c r="E382" s="53"/>
      <c r="F382" s="51"/>
      <c r="G382" s="51"/>
      <c r="H382" s="51"/>
      <c r="I382" s="51"/>
      <c r="J382" s="59"/>
      <c r="K382" s="60"/>
      <c r="L382" s="61"/>
      <c r="M382" s="62"/>
      <c r="N382" s="63" t="str">
        <f t="shared" si="65"/>
        <v/>
      </c>
      <c r="O382" s="64" t="str">
        <f t="shared" si="66"/>
        <v/>
      </c>
      <c r="P382" s="65" t="str">
        <f t="shared" si="67"/>
        <v/>
      </c>
      <c r="Q382" s="66" t="str">
        <f t="shared" si="73"/>
        <v/>
      </c>
      <c r="R382" s="51"/>
      <c r="S382" s="60"/>
      <c r="T382" s="52" t="str">
        <f t="shared" si="68"/>
        <v/>
      </c>
      <c r="U382" s="51"/>
      <c r="V382" s="56" t="str">
        <f t="shared" si="69"/>
        <v/>
      </c>
      <c r="X382" s="57" t="str">
        <f t="shared" si="70"/>
        <v/>
      </c>
      <c r="Y382" s="57">
        <f t="shared" si="71"/>
        <v>0</v>
      </c>
      <c r="Z382" s="57">
        <f t="shared" si="74"/>
        <v>59990</v>
      </c>
      <c r="AA382" s="57">
        <f t="shared" si="75"/>
        <v>0</v>
      </c>
      <c r="AB382" s="57">
        <f t="shared" si="72"/>
        <v>0.2</v>
      </c>
      <c r="AC382" s="57" t="str">
        <f t="shared" si="76"/>
        <v/>
      </c>
      <c r="AD382" s="57" t="str">
        <f t="shared" si="77"/>
        <v/>
      </c>
      <c r="AE382" s="57" t="str">
        <f>IF(AND($D382=RelConducteur,$S382="Oui",ISNUMBER($C382),$C382&gt;=RelDebut,$C382&lt;=RelFin),COUNTIFS($D$9:$D382,RelConducteur,$S$9:$S382,"Oui",$C$9:$C382,"&gt;="&amp;RelDebut,$C$9:$C382,"&lt;="&amp;RelFin),"")</f>
        <v/>
      </c>
    </row>
    <row r="383" spans="2:31" ht="18" customHeight="1" x14ac:dyDescent="0.25">
      <c r="B383" s="48" t="str">
        <f>IF(C383="","",COUNT($C$9:C383))</f>
        <v/>
      </c>
      <c r="C383" s="49"/>
      <c r="D383" s="51"/>
      <c r="E383" s="53"/>
      <c r="F383" s="51"/>
      <c r="G383" s="51"/>
      <c r="H383" s="51"/>
      <c r="I383" s="51"/>
      <c r="J383" s="59"/>
      <c r="K383" s="60"/>
      <c r="L383" s="61"/>
      <c r="M383" s="62"/>
      <c r="N383" s="63" t="str">
        <f t="shared" si="65"/>
        <v/>
      </c>
      <c r="O383" s="64" t="str">
        <f t="shared" si="66"/>
        <v/>
      </c>
      <c r="P383" s="65" t="str">
        <f t="shared" si="67"/>
        <v/>
      </c>
      <c r="Q383" s="66" t="str">
        <f t="shared" si="73"/>
        <v/>
      </c>
      <c r="R383" s="51"/>
      <c r="S383" s="60"/>
      <c r="T383" s="52" t="str">
        <f t="shared" si="68"/>
        <v/>
      </c>
      <c r="U383" s="51"/>
      <c r="V383" s="56" t="str">
        <f t="shared" si="69"/>
        <v/>
      </c>
      <c r="X383" s="57" t="str">
        <f t="shared" si="70"/>
        <v/>
      </c>
      <c r="Y383" s="57">
        <f t="shared" si="71"/>
        <v>0</v>
      </c>
      <c r="Z383" s="57">
        <f t="shared" si="74"/>
        <v>59990</v>
      </c>
      <c r="AA383" s="57">
        <f t="shared" si="75"/>
        <v>0</v>
      </c>
      <c r="AB383" s="57">
        <f t="shared" si="72"/>
        <v>0.2</v>
      </c>
      <c r="AC383" s="57" t="str">
        <f t="shared" si="76"/>
        <v/>
      </c>
      <c r="AD383" s="57" t="str">
        <f t="shared" si="77"/>
        <v/>
      </c>
      <c r="AE383" s="57" t="str">
        <f>IF(AND($D383=RelConducteur,$S383="Oui",ISNUMBER($C383),$C383&gt;=RelDebut,$C383&lt;=RelFin),COUNTIFS($D$9:$D383,RelConducteur,$S$9:$S383,"Oui",$C$9:$C383,"&gt;="&amp;RelDebut,$C$9:$C383,"&lt;="&amp;RelFin),"")</f>
        <v/>
      </c>
    </row>
    <row r="384" spans="2:31" ht="18" customHeight="1" x14ac:dyDescent="0.25">
      <c r="B384" s="48" t="str">
        <f>IF(C384="","",COUNT($C$9:C384))</f>
        <v/>
      </c>
      <c r="C384" s="49"/>
      <c r="D384" s="51"/>
      <c r="E384" s="53"/>
      <c r="F384" s="51"/>
      <c r="G384" s="51"/>
      <c r="H384" s="51"/>
      <c r="I384" s="51"/>
      <c r="J384" s="59"/>
      <c r="K384" s="60"/>
      <c r="L384" s="61"/>
      <c r="M384" s="62"/>
      <c r="N384" s="63" t="str">
        <f t="shared" si="65"/>
        <v/>
      </c>
      <c r="O384" s="64" t="str">
        <f t="shared" si="66"/>
        <v/>
      </c>
      <c r="P384" s="65" t="str">
        <f t="shared" si="67"/>
        <v/>
      </c>
      <c r="Q384" s="66" t="str">
        <f t="shared" si="73"/>
        <v/>
      </c>
      <c r="R384" s="51"/>
      <c r="S384" s="60"/>
      <c r="T384" s="52" t="str">
        <f t="shared" si="68"/>
        <v/>
      </c>
      <c r="U384" s="51"/>
      <c r="V384" s="56" t="str">
        <f t="shared" si="69"/>
        <v/>
      </c>
      <c r="X384" s="57" t="str">
        <f t="shared" si="70"/>
        <v/>
      </c>
      <c r="Y384" s="57">
        <f t="shared" si="71"/>
        <v>0</v>
      </c>
      <c r="Z384" s="57">
        <f t="shared" si="74"/>
        <v>59990</v>
      </c>
      <c r="AA384" s="57">
        <f t="shared" si="75"/>
        <v>0</v>
      </c>
      <c r="AB384" s="57">
        <f t="shared" si="72"/>
        <v>0.2</v>
      </c>
      <c r="AC384" s="57" t="str">
        <f t="shared" si="76"/>
        <v/>
      </c>
      <c r="AD384" s="57" t="str">
        <f t="shared" si="77"/>
        <v/>
      </c>
      <c r="AE384" s="57" t="str">
        <f>IF(AND($D384=RelConducteur,$S384="Oui",ISNUMBER($C384),$C384&gt;=RelDebut,$C384&lt;=RelFin),COUNTIFS($D$9:$D384,RelConducteur,$S$9:$S384,"Oui",$C$9:$C384,"&gt;="&amp;RelDebut,$C$9:$C384,"&lt;="&amp;RelFin),"")</f>
        <v/>
      </c>
    </row>
    <row r="385" spans="2:31" ht="18" customHeight="1" x14ac:dyDescent="0.25">
      <c r="B385" s="48" t="str">
        <f>IF(C385="","",COUNT($C$9:C385))</f>
        <v/>
      </c>
      <c r="C385" s="49"/>
      <c r="D385" s="51"/>
      <c r="E385" s="53"/>
      <c r="F385" s="51"/>
      <c r="G385" s="51"/>
      <c r="H385" s="51"/>
      <c r="I385" s="51"/>
      <c r="J385" s="59"/>
      <c r="K385" s="60"/>
      <c r="L385" s="61"/>
      <c r="M385" s="62"/>
      <c r="N385" s="63" t="str">
        <f t="shared" si="65"/>
        <v/>
      </c>
      <c r="O385" s="64" t="str">
        <f t="shared" si="66"/>
        <v/>
      </c>
      <c r="P385" s="65" t="str">
        <f t="shared" si="67"/>
        <v/>
      </c>
      <c r="Q385" s="66" t="str">
        <f t="shared" si="73"/>
        <v/>
      </c>
      <c r="R385" s="51"/>
      <c r="S385" s="60"/>
      <c r="T385" s="52" t="str">
        <f t="shared" si="68"/>
        <v/>
      </c>
      <c r="U385" s="51"/>
      <c r="V385" s="56" t="str">
        <f t="shared" si="69"/>
        <v/>
      </c>
      <c r="X385" s="57" t="str">
        <f t="shared" si="70"/>
        <v/>
      </c>
      <c r="Y385" s="57">
        <f t="shared" si="71"/>
        <v>0</v>
      </c>
      <c r="Z385" s="57">
        <f t="shared" si="74"/>
        <v>59990</v>
      </c>
      <c r="AA385" s="57">
        <f t="shared" si="75"/>
        <v>0</v>
      </c>
      <c r="AB385" s="57">
        <f t="shared" si="72"/>
        <v>0.2</v>
      </c>
      <c r="AC385" s="57" t="str">
        <f t="shared" si="76"/>
        <v/>
      </c>
      <c r="AD385" s="57" t="str">
        <f t="shared" si="77"/>
        <v/>
      </c>
      <c r="AE385" s="57" t="str">
        <f>IF(AND($D385=RelConducteur,$S385="Oui",ISNUMBER($C385),$C385&gt;=RelDebut,$C385&lt;=RelFin),COUNTIFS($D$9:$D385,RelConducteur,$S$9:$S385,"Oui",$C$9:$C385,"&gt;="&amp;RelDebut,$C$9:$C385,"&lt;="&amp;RelFin),"")</f>
        <v/>
      </c>
    </row>
    <row r="386" spans="2:31" ht="18" customHeight="1" x14ac:dyDescent="0.25">
      <c r="B386" s="48" t="str">
        <f>IF(C386="","",COUNT($C$9:C386))</f>
        <v/>
      </c>
      <c r="C386" s="49"/>
      <c r="D386" s="51"/>
      <c r="E386" s="53"/>
      <c r="F386" s="51"/>
      <c r="G386" s="51"/>
      <c r="H386" s="51"/>
      <c r="I386" s="51"/>
      <c r="J386" s="59"/>
      <c r="K386" s="60"/>
      <c r="L386" s="61"/>
      <c r="M386" s="62"/>
      <c r="N386" s="63" t="str">
        <f t="shared" si="65"/>
        <v/>
      </c>
      <c r="O386" s="64" t="str">
        <f t="shared" si="66"/>
        <v/>
      </c>
      <c r="P386" s="65" t="str">
        <f t="shared" si="67"/>
        <v/>
      </c>
      <c r="Q386" s="66" t="str">
        <f t="shared" si="73"/>
        <v/>
      </c>
      <c r="R386" s="51"/>
      <c r="S386" s="60"/>
      <c r="T386" s="52" t="str">
        <f t="shared" si="68"/>
        <v/>
      </c>
      <c r="U386" s="51"/>
      <c r="V386" s="56" t="str">
        <f t="shared" si="69"/>
        <v/>
      </c>
      <c r="X386" s="57" t="str">
        <f t="shared" si="70"/>
        <v/>
      </c>
      <c r="Y386" s="57">
        <f t="shared" si="71"/>
        <v>0</v>
      </c>
      <c r="Z386" s="57">
        <f t="shared" si="74"/>
        <v>59990</v>
      </c>
      <c r="AA386" s="57">
        <f t="shared" si="75"/>
        <v>0</v>
      </c>
      <c r="AB386" s="57">
        <f t="shared" si="72"/>
        <v>0.2</v>
      </c>
      <c r="AC386" s="57" t="str">
        <f t="shared" si="76"/>
        <v/>
      </c>
      <c r="AD386" s="57" t="str">
        <f t="shared" si="77"/>
        <v/>
      </c>
      <c r="AE386" s="57" t="str">
        <f>IF(AND($D386=RelConducteur,$S386="Oui",ISNUMBER($C386),$C386&gt;=RelDebut,$C386&lt;=RelFin),COUNTIFS($D$9:$D386,RelConducteur,$S$9:$S386,"Oui",$C$9:$C386,"&gt;="&amp;RelDebut,$C$9:$C386,"&lt;="&amp;RelFin),"")</f>
        <v/>
      </c>
    </row>
    <row r="387" spans="2:31" ht="18" customHeight="1" x14ac:dyDescent="0.25">
      <c r="B387" s="48" t="str">
        <f>IF(C387="","",COUNT($C$9:C387))</f>
        <v/>
      </c>
      <c r="C387" s="49"/>
      <c r="D387" s="51"/>
      <c r="E387" s="53"/>
      <c r="F387" s="51"/>
      <c r="G387" s="51"/>
      <c r="H387" s="51"/>
      <c r="I387" s="51"/>
      <c r="J387" s="59"/>
      <c r="K387" s="60"/>
      <c r="L387" s="61"/>
      <c r="M387" s="62"/>
      <c r="N387" s="63" t="str">
        <f t="shared" si="65"/>
        <v/>
      </c>
      <c r="O387" s="64" t="str">
        <f t="shared" si="66"/>
        <v/>
      </c>
      <c r="P387" s="65" t="str">
        <f t="shared" si="67"/>
        <v/>
      </c>
      <c r="Q387" s="66" t="str">
        <f t="shared" si="73"/>
        <v/>
      </c>
      <c r="R387" s="51"/>
      <c r="S387" s="60"/>
      <c r="T387" s="52" t="str">
        <f t="shared" si="68"/>
        <v/>
      </c>
      <c r="U387" s="51"/>
      <c r="V387" s="56" t="str">
        <f t="shared" si="69"/>
        <v/>
      </c>
      <c r="X387" s="57" t="str">
        <f t="shared" si="70"/>
        <v/>
      </c>
      <c r="Y387" s="57">
        <f t="shared" si="71"/>
        <v>0</v>
      </c>
      <c r="Z387" s="57">
        <f t="shared" si="74"/>
        <v>59990</v>
      </c>
      <c r="AA387" s="57">
        <f t="shared" si="75"/>
        <v>0</v>
      </c>
      <c r="AB387" s="57">
        <f t="shared" si="72"/>
        <v>0.2</v>
      </c>
      <c r="AC387" s="57" t="str">
        <f t="shared" si="76"/>
        <v/>
      </c>
      <c r="AD387" s="57" t="str">
        <f t="shared" si="77"/>
        <v/>
      </c>
      <c r="AE387" s="57" t="str">
        <f>IF(AND($D387=RelConducteur,$S387="Oui",ISNUMBER($C387),$C387&gt;=RelDebut,$C387&lt;=RelFin),COUNTIFS($D$9:$D387,RelConducteur,$S$9:$S387,"Oui",$C$9:$C387,"&gt;="&amp;RelDebut,$C$9:$C387,"&lt;="&amp;RelFin),"")</f>
        <v/>
      </c>
    </row>
    <row r="388" spans="2:31" ht="18" customHeight="1" x14ac:dyDescent="0.25">
      <c r="B388" s="48" t="str">
        <f>IF(C388="","",COUNT($C$9:C388))</f>
        <v/>
      </c>
      <c r="C388" s="49"/>
      <c r="D388" s="51"/>
      <c r="E388" s="53"/>
      <c r="F388" s="51"/>
      <c r="G388" s="51"/>
      <c r="H388" s="51"/>
      <c r="I388" s="51"/>
      <c r="J388" s="59"/>
      <c r="K388" s="60"/>
      <c r="L388" s="61"/>
      <c r="M388" s="62"/>
      <c r="N388" s="63" t="str">
        <f t="shared" si="65"/>
        <v/>
      </c>
      <c r="O388" s="64" t="str">
        <f t="shared" si="66"/>
        <v/>
      </c>
      <c r="P388" s="65" t="str">
        <f t="shared" si="67"/>
        <v/>
      </c>
      <c r="Q388" s="66" t="str">
        <f t="shared" si="73"/>
        <v/>
      </c>
      <c r="R388" s="51"/>
      <c r="S388" s="60"/>
      <c r="T388" s="52" t="str">
        <f t="shared" si="68"/>
        <v/>
      </c>
      <c r="U388" s="51"/>
      <c r="V388" s="56" t="str">
        <f t="shared" si="69"/>
        <v/>
      </c>
      <c r="X388" s="57" t="str">
        <f t="shared" si="70"/>
        <v/>
      </c>
      <c r="Y388" s="57">
        <f t="shared" si="71"/>
        <v>0</v>
      </c>
      <c r="Z388" s="57">
        <f t="shared" si="74"/>
        <v>59990</v>
      </c>
      <c r="AA388" s="57">
        <f t="shared" si="75"/>
        <v>0</v>
      </c>
      <c r="AB388" s="57">
        <f t="shared" si="72"/>
        <v>0.2</v>
      </c>
      <c r="AC388" s="57" t="str">
        <f t="shared" si="76"/>
        <v/>
      </c>
      <c r="AD388" s="57" t="str">
        <f t="shared" si="77"/>
        <v/>
      </c>
      <c r="AE388" s="57" t="str">
        <f>IF(AND($D388=RelConducteur,$S388="Oui",ISNUMBER($C388),$C388&gt;=RelDebut,$C388&lt;=RelFin),COUNTIFS($D$9:$D388,RelConducteur,$S$9:$S388,"Oui",$C$9:$C388,"&gt;="&amp;RelDebut,$C$9:$C388,"&lt;="&amp;RelFin),"")</f>
        <v/>
      </c>
    </row>
    <row r="389" spans="2:31" ht="18" customHeight="1" x14ac:dyDescent="0.25">
      <c r="B389" s="48" t="str">
        <f>IF(C389="","",COUNT($C$9:C389))</f>
        <v/>
      </c>
      <c r="C389" s="49"/>
      <c r="D389" s="51"/>
      <c r="E389" s="53"/>
      <c r="F389" s="51"/>
      <c r="G389" s="51"/>
      <c r="H389" s="51"/>
      <c r="I389" s="51"/>
      <c r="J389" s="59"/>
      <c r="K389" s="60"/>
      <c r="L389" s="61"/>
      <c r="M389" s="62"/>
      <c r="N389" s="63" t="str">
        <f t="shared" si="65"/>
        <v/>
      </c>
      <c r="O389" s="64" t="str">
        <f t="shared" si="66"/>
        <v/>
      </c>
      <c r="P389" s="65" t="str">
        <f t="shared" si="67"/>
        <v/>
      </c>
      <c r="Q389" s="66" t="str">
        <f t="shared" si="73"/>
        <v/>
      </c>
      <c r="R389" s="51"/>
      <c r="S389" s="60"/>
      <c r="T389" s="52" t="str">
        <f t="shared" si="68"/>
        <v/>
      </c>
      <c r="U389" s="51"/>
      <c r="V389" s="56" t="str">
        <f t="shared" si="69"/>
        <v/>
      </c>
      <c r="X389" s="57" t="str">
        <f t="shared" si="70"/>
        <v/>
      </c>
      <c r="Y389" s="57">
        <f t="shared" si="71"/>
        <v>0</v>
      </c>
      <c r="Z389" s="57">
        <f t="shared" si="74"/>
        <v>59990</v>
      </c>
      <c r="AA389" s="57">
        <f t="shared" si="75"/>
        <v>0</v>
      </c>
      <c r="AB389" s="57">
        <f t="shared" si="72"/>
        <v>0.2</v>
      </c>
      <c r="AC389" s="57" t="str">
        <f t="shared" si="76"/>
        <v/>
      </c>
      <c r="AD389" s="57" t="str">
        <f t="shared" si="77"/>
        <v/>
      </c>
      <c r="AE389" s="57" t="str">
        <f>IF(AND($D389=RelConducteur,$S389="Oui",ISNUMBER($C389),$C389&gt;=RelDebut,$C389&lt;=RelFin),COUNTIFS($D$9:$D389,RelConducteur,$S$9:$S389,"Oui",$C$9:$C389,"&gt;="&amp;RelDebut,$C$9:$C389,"&lt;="&amp;RelFin),"")</f>
        <v/>
      </c>
    </row>
    <row r="390" spans="2:31" ht="18" customHeight="1" x14ac:dyDescent="0.25">
      <c r="B390" s="48" t="str">
        <f>IF(C390="","",COUNT($C$9:C390))</f>
        <v/>
      </c>
      <c r="C390" s="49"/>
      <c r="D390" s="51"/>
      <c r="E390" s="53"/>
      <c r="F390" s="51"/>
      <c r="G390" s="51"/>
      <c r="H390" s="51"/>
      <c r="I390" s="51"/>
      <c r="J390" s="59"/>
      <c r="K390" s="60"/>
      <c r="L390" s="61"/>
      <c r="M390" s="62"/>
      <c r="N390" s="63" t="str">
        <f t="shared" si="65"/>
        <v/>
      </c>
      <c r="O390" s="64" t="str">
        <f t="shared" si="66"/>
        <v/>
      </c>
      <c r="P390" s="65" t="str">
        <f t="shared" si="67"/>
        <v/>
      </c>
      <c r="Q390" s="66" t="str">
        <f t="shared" si="73"/>
        <v/>
      </c>
      <c r="R390" s="51"/>
      <c r="S390" s="60"/>
      <c r="T390" s="52" t="str">
        <f t="shared" si="68"/>
        <v/>
      </c>
      <c r="U390" s="51"/>
      <c r="V390" s="56" t="str">
        <f t="shared" si="69"/>
        <v/>
      </c>
      <c r="X390" s="57" t="str">
        <f t="shared" si="70"/>
        <v/>
      </c>
      <c r="Y390" s="57">
        <f t="shared" si="71"/>
        <v>0</v>
      </c>
      <c r="Z390" s="57">
        <f t="shared" si="74"/>
        <v>59990</v>
      </c>
      <c r="AA390" s="57">
        <f t="shared" si="75"/>
        <v>0</v>
      </c>
      <c r="AB390" s="57">
        <f t="shared" si="72"/>
        <v>0.2</v>
      </c>
      <c r="AC390" s="57" t="str">
        <f t="shared" si="76"/>
        <v/>
      </c>
      <c r="AD390" s="57" t="str">
        <f t="shared" si="77"/>
        <v/>
      </c>
      <c r="AE390" s="57" t="str">
        <f>IF(AND($D390=RelConducteur,$S390="Oui",ISNUMBER($C390),$C390&gt;=RelDebut,$C390&lt;=RelFin),COUNTIFS($D$9:$D390,RelConducteur,$S$9:$S390,"Oui",$C$9:$C390,"&gt;="&amp;RelDebut,$C$9:$C390,"&lt;="&amp;RelFin),"")</f>
        <v/>
      </c>
    </row>
    <row r="391" spans="2:31" ht="18" customHeight="1" x14ac:dyDescent="0.25">
      <c r="B391" s="48" t="str">
        <f>IF(C391="","",COUNT($C$9:C391))</f>
        <v/>
      </c>
      <c r="C391" s="49"/>
      <c r="D391" s="51"/>
      <c r="E391" s="53"/>
      <c r="F391" s="51"/>
      <c r="G391" s="51"/>
      <c r="H391" s="51"/>
      <c r="I391" s="51"/>
      <c r="J391" s="59"/>
      <c r="K391" s="60"/>
      <c r="L391" s="61"/>
      <c r="M391" s="62"/>
      <c r="N391" s="63" t="str">
        <f t="shared" si="65"/>
        <v/>
      </c>
      <c r="O391" s="64" t="str">
        <f t="shared" si="66"/>
        <v/>
      </c>
      <c r="P391" s="65" t="str">
        <f t="shared" si="67"/>
        <v/>
      </c>
      <c r="Q391" s="66" t="str">
        <f t="shared" si="73"/>
        <v/>
      </c>
      <c r="R391" s="51"/>
      <c r="S391" s="60"/>
      <c r="T391" s="52" t="str">
        <f t="shared" si="68"/>
        <v/>
      </c>
      <c r="U391" s="51"/>
      <c r="V391" s="56" t="str">
        <f t="shared" si="69"/>
        <v/>
      </c>
      <c r="X391" s="57" t="str">
        <f t="shared" si="70"/>
        <v/>
      </c>
      <c r="Y391" s="57">
        <f t="shared" si="71"/>
        <v>0</v>
      </c>
      <c r="Z391" s="57">
        <f t="shared" si="74"/>
        <v>59990</v>
      </c>
      <c r="AA391" s="57">
        <f t="shared" si="75"/>
        <v>0</v>
      </c>
      <c r="AB391" s="57">
        <f t="shared" si="72"/>
        <v>0.2</v>
      </c>
      <c r="AC391" s="57" t="str">
        <f t="shared" si="76"/>
        <v/>
      </c>
      <c r="AD391" s="57" t="str">
        <f t="shared" si="77"/>
        <v/>
      </c>
      <c r="AE391" s="57" t="str">
        <f>IF(AND($D391=RelConducteur,$S391="Oui",ISNUMBER($C391),$C391&gt;=RelDebut,$C391&lt;=RelFin),COUNTIFS($D$9:$D391,RelConducteur,$S$9:$S391,"Oui",$C$9:$C391,"&gt;="&amp;RelDebut,$C$9:$C391,"&lt;="&amp;RelFin),"")</f>
        <v/>
      </c>
    </row>
    <row r="392" spans="2:31" ht="18" customHeight="1" x14ac:dyDescent="0.25">
      <c r="B392" s="48" t="str">
        <f>IF(C392="","",COUNT($C$9:C392))</f>
        <v/>
      </c>
      <c r="C392" s="49"/>
      <c r="D392" s="51"/>
      <c r="E392" s="53"/>
      <c r="F392" s="51"/>
      <c r="G392" s="51"/>
      <c r="H392" s="51"/>
      <c r="I392" s="51"/>
      <c r="J392" s="59"/>
      <c r="K392" s="60"/>
      <c r="L392" s="61"/>
      <c r="M392" s="62"/>
      <c r="N392" s="63" t="str">
        <f t="shared" si="65"/>
        <v/>
      </c>
      <c r="O392" s="64" t="str">
        <f t="shared" si="66"/>
        <v/>
      </c>
      <c r="P392" s="65" t="str">
        <f t="shared" si="67"/>
        <v/>
      </c>
      <c r="Q392" s="66" t="str">
        <f t="shared" si="73"/>
        <v/>
      </c>
      <c r="R392" s="51"/>
      <c r="S392" s="60"/>
      <c r="T392" s="52" t="str">
        <f t="shared" si="68"/>
        <v/>
      </c>
      <c r="U392" s="51"/>
      <c r="V392" s="56" t="str">
        <f t="shared" si="69"/>
        <v/>
      </c>
      <c r="X392" s="57" t="str">
        <f t="shared" si="70"/>
        <v/>
      </c>
      <c r="Y392" s="57">
        <f t="shared" si="71"/>
        <v>0</v>
      </c>
      <c r="Z392" s="57">
        <f t="shared" si="74"/>
        <v>59990</v>
      </c>
      <c r="AA392" s="57">
        <f t="shared" si="75"/>
        <v>0</v>
      </c>
      <c r="AB392" s="57">
        <f t="shared" si="72"/>
        <v>0.2</v>
      </c>
      <c r="AC392" s="57" t="str">
        <f t="shared" si="76"/>
        <v/>
      </c>
      <c r="AD392" s="57" t="str">
        <f t="shared" si="77"/>
        <v/>
      </c>
      <c r="AE392" s="57" t="str">
        <f>IF(AND($D392=RelConducteur,$S392="Oui",ISNUMBER($C392),$C392&gt;=RelDebut,$C392&lt;=RelFin),COUNTIFS($D$9:$D392,RelConducteur,$S$9:$S392,"Oui",$C$9:$C392,"&gt;="&amp;RelDebut,$C$9:$C392,"&lt;="&amp;RelFin),"")</f>
        <v/>
      </c>
    </row>
    <row r="393" spans="2:31" ht="18" customHeight="1" x14ac:dyDescent="0.25">
      <c r="B393" s="48" t="str">
        <f>IF(C393="","",COUNT($C$9:C393))</f>
        <v/>
      </c>
      <c r="C393" s="49"/>
      <c r="D393" s="51"/>
      <c r="E393" s="53"/>
      <c r="F393" s="51"/>
      <c r="G393" s="51"/>
      <c r="H393" s="51"/>
      <c r="I393" s="51"/>
      <c r="J393" s="59"/>
      <c r="K393" s="60"/>
      <c r="L393" s="61"/>
      <c r="M393" s="62"/>
      <c r="N393" s="63" t="str">
        <f t="shared" ref="N393:N456" si="78">IF(L393="","",L393/(1+AB393))</f>
        <v/>
      </c>
      <c r="O393" s="64" t="str">
        <f t="shared" ref="O393:O456" si="79">IF(L393="","",L393-N393)</f>
        <v/>
      </c>
      <c r="P393" s="65" t="str">
        <f t="shared" ref="P393:P456" si="80">IF(AND(Y393=1,N(J393)&gt;0,ISNUMBER(L393)),L393/J393,"")</f>
        <v/>
      </c>
      <c r="Q393" s="66" t="str">
        <f t="shared" si="73"/>
        <v/>
      </c>
      <c r="R393" s="51"/>
      <c r="S393" s="60"/>
      <c r="T393" s="52" t="str">
        <f t="shared" ref="T393:T456" si="81">IF(C393="","",IF(D393="","Non affecté",IFERROR(INDEX(CondService,MATCH(D393,CondNoms,0))&amp;"","Non affecté")))</f>
        <v/>
      </c>
      <c r="U393" s="51"/>
      <c r="V393" s="56" t="str">
        <f t="shared" ref="V393:V456" si="82">IF(C393="","",IF(OR(F393="",L393=""),"Incomplet",IF(X393="Catégorie inconnue","Catégorie inconnue",IF(AND(Y393=1,OR(E393="",J393="",K393="")),"Plein incomplet",IF(AND(ISNUMBER(E393),E393&lt;N(KmOuverture)),"Compteur &lt; ouverture",IF(AND(Y393=1,N(Capacite)&gt;0,N(J393)&gt;Capacite*1.02),"Quantité &gt; réservoir",IF(ISNUMBER(Q393),IF(AND(ConsoRef&gt;0,ABS(Q393/MAX(ConsoRef,0.0001)-1)&gt;SeuilConso),"Conso. atypique","Conforme"),IF(AND(G393&lt;&gt;"",E393="",X393="Entretien et réparations"),"Compteur manquant","Conforme"))))))))</f>
        <v/>
      </c>
      <c r="X393" s="57" t="str">
        <f t="shared" ref="X393:X456" si="83">IF(F393="","",IFERROR(INDEX(CatGroupe,MATCH(F393,CatNoms,0))&amp;"","Catégorie inconnue"))</f>
        <v/>
      </c>
      <c r="Y393" s="57">
        <f t="shared" ref="Y393:Y456" si="84">IF(X393="Énergie",1,0)</f>
        <v>0</v>
      </c>
      <c r="Z393" s="57">
        <f t="shared" si="74"/>
        <v>59990</v>
      </c>
      <c r="AA393" s="57">
        <f t="shared" si="75"/>
        <v>0</v>
      </c>
      <c r="AB393" s="57">
        <f t="shared" ref="AB393:AB456" si="85">IF(ISNUMBER(M393),M393,IFERROR(INDEX(CatTVA,MATCH(F393,CatNoms,0))*1,0.2))</f>
        <v>0.2</v>
      </c>
      <c r="AC393" s="57" t="str">
        <f t="shared" si="76"/>
        <v/>
      </c>
      <c r="AD393" s="57" t="str">
        <f t="shared" si="77"/>
        <v/>
      </c>
      <c r="AE393" s="57" t="str">
        <f>IF(AND($D393=RelConducteur,$S393="Oui",ISNUMBER($C393),$C393&gt;=RelDebut,$C393&lt;=RelFin),COUNTIFS($D$9:$D393,RelConducteur,$S$9:$S393,"Oui",$C$9:$C393,"&gt;="&amp;RelDebut,$C$9:$C393,"&lt;="&amp;RelFin),"")</f>
        <v/>
      </c>
    </row>
    <row r="394" spans="2:31" ht="18" customHeight="1" x14ac:dyDescent="0.25">
      <c r="B394" s="48" t="str">
        <f>IF(C394="","",COUNT($C$9:C394))</f>
        <v/>
      </c>
      <c r="C394" s="49"/>
      <c r="D394" s="51"/>
      <c r="E394" s="53"/>
      <c r="F394" s="51"/>
      <c r="G394" s="51"/>
      <c r="H394" s="51"/>
      <c r="I394" s="51"/>
      <c r="J394" s="59"/>
      <c r="K394" s="60"/>
      <c r="L394" s="61"/>
      <c r="M394" s="62"/>
      <c r="N394" s="63" t="str">
        <f t="shared" si="78"/>
        <v/>
      </c>
      <c r="O394" s="64" t="str">
        <f t="shared" si="79"/>
        <v/>
      </c>
      <c r="P394" s="65" t="str">
        <f t="shared" si="80"/>
        <v/>
      </c>
      <c r="Q394" s="66" t="str">
        <f t="shared" ref="Q394:Q457" si="86">IF(AND(Y394=1,K394="Oui",ISNUMBER(E394),ISNUMBER(Z393),N(J394)&gt;0),IF(E394&gt;Z393,(N(AA393)+N(J394))/(E394-Z393)*100,""),"")</f>
        <v/>
      </c>
      <c r="R394" s="51"/>
      <c r="S394" s="60"/>
      <c r="T394" s="52" t="str">
        <f t="shared" si="81"/>
        <v/>
      </c>
      <c r="U394" s="51"/>
      <c r="V394" s="56" t="str">
        <f t="shared" si="82"/>
        <v/>
      </c>
      <c r="X394" s="57" t="str">
        <f t="shared" si="83"/>
        <v/>
      </c>
      <c r="Y394" s="57">
        <f t="shared" si="84"/>
        <v>0</v>
      </c>
      <c r="Z394" s="57">
        <f t="shared" ref="Z394:Z457" si="87">IF(AND(Y394=1,K394="Oui",ISNUMBER(E394)),E394,Z393)</f>
        <v>59990</v>
      </c>
      <c r="AA394" s="57">
        <f t="shared" ref="AA394:AA457" si="88">IF(Y394=1,IF(K394="Oui",0,N(AA393)+N(J394)),N(AA393))</f>
        <v>0</v>
      </c>
      <c r="AB394" s="57">
        <f t="shared" si="85"/>
        <v>0.2</v>
      </c>
      <c r="AC394" s="57" t="str">
        <f t="shared" ref="AC394:AC457" si="89">IF(Q394="","",E394-Z393)</f>
        <v/>
      </c>
      <c r="AD394" s="57" t="str">
        <f t="shared" ref="AD394:AD457" si="90">IF(Q394="","",N(AA393)+N(J394))</f>
        <v/>
      </c>
      <c r="AE394" s="57" t="str">
        <f>IF(AND($D394=RelConducteur,$S394="Oui",ISNUMBER($C394),$C394&gt;=RelDebut,$C394&lt;=RelFin),COUNTIFS($D$9:$D394,RelConducteur,$S$9:$S394,"Oui",$C$9:$C394,"&gt;="&amp;RelDebut,$C$9:$C394,"&lt;="&amp;RelFin),"")</f>
        <v/>
      </c>
    </row>
    <row r="395" spans="2:31" ht="18" customHeight="1" x14ac:dyDescent="0.25">
      <c r="B395" s="48" t="str">
        <f>IF(C395="","",COUNT($C$9:C395))</f>
        <v/>
      </c>
      <c r="C395" s="49"/>
      <c r="D395" s="51"/>
      <c r="E395" s="53"/>
      <c r="F395" s="51"/>
      <c r="G395" s="51"/>
      <c r="H395" s="51"/>
      <c r="I395" s="51"/>
      <c r="J395" s="59"/>
      <c r="K395" s="60"/>
      <c r="L395" s="61"/>
      <c r="M395" s="62"/>
      <c r="N395" s="63" t="str">
        <f t="shared" si="78"/>
        <v/>
      </c>
      <c r="O395" s="64" t="str">
        <f t="shared" si="79"/>
        <v/>
      </c>
      <c r="P395" s="65" t="str">
        <f t="shared" si="80"/>
        <v/>
      </c>
      <c r="Q395" s="66" t="str">
        <f t="shared" si="86"/>
        <v/>
      </c>
      <c r="R395" s="51"/>
      <c r="S395" s="60"/>
      <c r="T395" s="52" t="str">
        <f t="shared" si="81"/>
        <v/>
      </c>
      <c r="U395" s="51"/>
      <c r="V395" s="56" t="str">
        <f t="shared" si="82"/>
        <v/>
      </c>
      <c r="X395" s="57" t="str">
        <f t="shared" si="83"/>
        <v/>
      </c>
      <c r="Y395" s="57">
        <f t="shared" si="84"/>
        <v>0</v>
      </c>
      <c r="Z395" s="57">
        <f t="shared" si="87"/>
        <v>59990</v>
      </c>
      <c r="AA395" s="57">
        <f t="shared" si="88"/>
        <v>0</v>
      </c>
      <c r="AB395" s="57">
        <f t="shared" si="85"/>
        <v>0.2</v>
      </c>
      <c r="AC395" s="57" t="str">
        <f t="shared" si="89"/>
        <v/>
      </c>
      <c r="AD395" s="57" t="str">
        <f t="shared" si="90"/>
        <v/>
      </c>
      <c r="AE395" s="57" t="str">
        <f>IF(AND($D395=RelConducteur,$S395="Oui",ISNUMBER($C395),$C395&gt;=RelDebut,$C395&lt;=RelFin),COUNTIFS($D$9:$D395,RelConducteur,$S$9:$S395,"Oui",$C$9:$C395,"&gt;="&amp;RelDebut,$C$9:$C395,"&lt;="&amp;RelFin),"")</f>
        <v/>
      </c>
    </row>
    <row r="396" spans="2:31" ht="18" customHeight="1" x14ac:dyDescent="0.25">
      <c r="B396" s="48" t="str">
        <f>IF(C396="","",COUNT($C$9:C396))</f>
        <v/>
      </c>
      <c r="C396" s="49"/>
      <c r="D396" s="51"/>
      <c r="E396" s="53"/>
      <c r="F396" s="51"/>
      <c r="G396" s="51"/>
      <c r="H396" s="51"/>
      <c r="I396" s="51"/>
      <c r="J396" s="59"/>
      <c r="K396" s="60"/>
      <c r="L396" s="61"/>
      <c r="M396" s="62"/>
      <c r="N396" s="63" t="str">
        <f t="shared" si="78"/>
        <v/>
      </c>
      <c r="O396" s="64" t="str">
        <f t="shared" si="79"/>
        <v/>
      </c>
      <c r="P396" s="65" t="str">
        <f t="shared" si="80"/>
        <v/>
      </c>
      <c r="Q396" s="66" t="str">
        <f t="shared" si="86"/>
        <v/>
      </c>
      <c r="R396" s="51"/>
      <c r="S396" s="60"/>
      <c r="T396" s="52" t="str">
        <f t="shared" si="81"/>
        <v/>
      </c>
      <c r="U396" s="51"/>
      <c r="V396" s="56" t="str">
        <f t="shared" si="82"/>
        <v/>
      </c>
      <c r="X396" s="57" t="str">
        <f t="shared" si="83"/>
        <v/>
      </c>
      <c r="Y396" s="57">
        <f t="shared" si="84"/>
        <v>0</v>
      </c>
      <c r="Z396" s="57">
        <f t="shared" si="87"/>
        <v>59990</v>
      </c>
      <c r="AA396" s="57">
        <f t="shared" si="88"/>
        <v>0</v>
      </c>
      <c r="AB396" s="57">
        <f t="shared" si="85"/>
        <v>0.2</v>
      </c>
      <c r="AC396" s="57" t="str">
        <f t="shared" si="89"/>
        <v/>
      </c>
      <c r="AD396" s="57" t="str">
        <f t="shared" si="90"/>
        <v/>
      </c>
      <c r="AE396" s="57" t="str">
        <f>IF(AND($D396=RelConducteur,$S396="Oui",ISNUMBER($C396),$C396&gt;=RelDebut,$C396&lt;=RelFin),COUNTIFS($D$9:$D396,RelConducteur,$S$9:$S396,"Oui",$C$9:$C396,"&gt;="&amp;RelDebut,$C$9:$C396,"&lt;="&amp;RelFin),"")</f>
        <v/>
      </c>
    </row>
    <row r="397" spans="2:31" ht="18" customHeight="1" x14ac:dyDescent="0.25">
      <c r="B397" s="48" t="str">
        <f>IF(C397="","",COUNT($C$9:C397))</f>
        <v/>
      </c>
      <c r="C397" s="49"/>
      <c r="D397" s="51"/>
      <c r="E397" s="53"/>
      <c r="F397" s="51"/>
      <c r="G397" s="51"/>
      <c r="H397" s="51"/>
      <c r="I397" s="51"/>
      <c r="J397" s="59"/>
      <c r="K397" s="60"/>
      <c r="L397" s="61"/>
      <c r="M397" s="62"/>
      <c r="N397" s="63" t="str">
        <f t="shared" si="78"/>
        <v/>
      </c>
      <c r="O397" s="64" t="str">
        <f t="shared" si="79"/>
        <v/>
      </c>
      <c r="P397" s="65" t="str">
        <f t="shared" si="80"/>
        <v/>
      </c>
      <c r="Q397" s="66" t="str">
        <f t="shared" si="86"/>
        <v/>
      </c>
      <c r="R397" s="51"/>
      <c r="S397" s="60"/>
      <c r="T397" s="52" t="str">
        <f t="shared" si="81"/>
        <v/>
      </c>
      <c r="U397" s="51"/>
      <c r="V397" s="56" t="str">
        <f t="shared" si="82"/>
        <v/>
      </c>
      <c r="X397" s="57" t="str">
        <f t="shared" si="83"/>
        <v/>
      </c>
      <c r="Y397" s="57">
        <f t="shared" si="84"/>
        <v>0</v>
      </c>
      <c r="Z397" s="57">
        <f t="shared" si="87"/>
        <v>59990</v>
      </c>
      <c r="AA397" s="57">
        <f t="shared" si="88"/>
        <v>0</v>
      </c>
      <c r="AB397" s="57">
        <f t="shared" si="85"/>
        <v>0.2</v>
      </c>
      <c r="AC397" s="57" t="str">
        <f t="shared" si="89"/>
        <v/>
      </c>
      <c r="AD397" s="57" t="str">
        <f t="shared" si="90"/>
        <v/>
      </c>
      <c r="AE397" s="57" t="str">
        <f>IF(AND($D397=RelConducteur,$S397="Oui",ISNUMBER($C397),$C397&gt;=RelDebut,$C397&lt;=RelFin),COUNTIFS($D$9:$D397,RelConducteur,$S$9:$S397,"Oui",$C$9:$C397,"&gt;="&amp;RelDebut,$C$9:$C397,"&lt;="&amp;RelFin),"")</f>
        <v/>
      </c>
    </row>
    <row r="398" spans="2:31" ht="18" customHeight="1" x14ac:dyDescent="0.25">
      <c r="B398" s="48" t="str">
        <f>IF(C398="","",COUNT($C$9:C398))</f>
        <v/>
      </c>
      <c r="C398" s="49"/>
      <c r="D398" s="51"/>
      <c r="E398" s="53"/>
      <c r="F398" s="51"/>
      <c r="G398" s="51"/>
      <c r="H398" s="51"/>
      <c r="I398" s="51"/>
      <c r="J398" s="59"/>
      <c r="K398" s="60"/>
      <c r="L398" s="61"/>
      <c r="M398" s="62"/>
      <c r="N398" s="63" t="str">
        <f t="shared" si="78"/>
        <v/>
      </c>
      <c r="O398" s="64" t="str">
        <f t="shared" si="79"/>
        <v/>
      </c>
      <c r="P398" s="65" t="str">
        <f t="shared" si="80"/>
        <v/>
      </c>
      <c r="Q398" s="66" t="str">
        <f t="shared" si="86"/>
        <v/>
      </c>
      <c r="R398" s="51"/>
      <c r="S398" s="60"/>
      <c r="T398" s="52" t="str">
        <f t="shared" si="81"/>
        <v/>
      </c>
      <c r="U398" s="51"/>
      <c r="V398" s="56" t="str">
        <f t="shared" si="82"/>
        <v/>
      </c>
      <c r="X398" s="57" t="str">
        <f t="shared" si="83"/>
        <v/>
      </c>
      <c r="Y398" s="57">
        <f t="shared" si="84"/>
        <v>0</v>
      </c>
      <c r="Z398" s="57">
        <f t="shared" si="87"/>
        <v>59990</v>
      </c>
      <c r="AA398" s="57">
        <f t="shared" si="88"/>
        <v>0</v>
      </c>
      <c r="AB398" s="57">
        <f t="shared" si="85"/>
        <v>0.2</v>
      </c>
      <c r="AC398" s="57" t="str">
        <f t="shared" si="89"/>
        <v/>
      </c>
      <c r="AD398" s="57" t="str">
        <f t="shared" si="90"/>
        <v/>
      </c>
      <c r="AE398" s="57" t="str">
        <f>IF(AND($D398=RelConducteur,$S398="Oui",ISNUMBER($C398),$C398&gt;=RelDebut,$C398&lt;=RelFin),COUNTIFS($D$9:$D398,RelConducteur,$S$9:$S398,"Oui",$C$9:$C398,"&gt;="&amp;RelDebut,$C$9:$C398,"&lt;="&amp;RelFin),"")</f>
        <v/>
      </c>
    </row>
    <row r="399" spans="2:31" ht="18" customHeight="1" x14ac:dyDescent="0.25">
      <c r="B399" s="48" t="str">
        <f>IF(C399="","",COUNT($C$9:C399))</f>
        <v/>
      </c>
      <c r="C399" s="49"/>
      <c r="D399" s="51"/>
      <c r="E399" s="53"/>
      <c r="F399" s="51"/>
      <c r="G399" s="51"/>
      <c r="H399" s="51"/>
      <c r="I399" s="51"/>
      <c r="J399" s="59"/>
      <c r="K399" s="60"/>
      <c r="L399" s="61"/>
      <c r="M399" s="62"/>
      <c r="N399" s="63" t="str">
        <f t="shared" si="78"/>
        <v/>
      </c>
      <c r="O399" s="64" t="str">
        <f t="shared" si="79"/>
        <v/>
      </c>
      <c r="P399" s="65" t="str">
        <f t="shared" si="80"/>
        <v/>
      </c>
      <c r="Q399" s="66" t="str">
        <f t="shared" si="86"/>
        <v/>
      </c>
      <c r="R399" s="51"/>
      <c r="S399" s="60"/>
      <c r="T399" s="52" t="str">
        <f t="shared" si="81"/>
        <v/>
      </c>
      <c r="U399" s="51"/>
      <c r="V399" s="56" t="str">
        <f t="shared" si="82"/>
        <v/>
      </c>
      <c r="X399" s="57" t="str">
        <f t="shared" si="83"/>
        <v/>
      </c>
      <c r="Y399" s="57">
        <f t="shared" si="84"/>
        <v>0</v>
      </c>
      <c r="Z399" s="57">
        <f t="shared" si="87"/>
        <v>59990</v>
      </c>
      <c r="AA399" s="57">
        <f t="shared" si="88"/>
        <v>0</v>
      </c>
      <c r="AB399" s="57">
        <f t="shared" si="85"/>
        <v>0.2</v>
      </c>
      <c r="AC399" s="57" t="str">
        <f t="shared" si="89"/>
        <v/>
      </c>
      <c r="AD399" s="57" t="str">
        <f t="shared" si="90"/>
        <v/>
      </c>
      <c r="AE399" s="57" t="str">
        <f>IF(AND($D399=RelConducteur,$S399="Oui",ISNUMBER($C399),$C399&gt;=RelDebut,$C399&lt;=RelFin),COUNTIFS($D$9:$D399,RelConducteur,$S$9:$S399,"Oui",$C$9:$C399,"&gt;="&amp;RelDebut,$C$9:$C399,"&lt;="&amp;RelFin),"")</f>
        <v/>
      </c>
    </row>
    <row r="400" spans="2:31" ht="18" customHeight="1" x14ac:dyDescent="0.25">
      <c r="B400" s="48" t="str">
        <f>IF(C400="","",COUNT($C$9:C400))</f>
        <v/>
      </c>
      <c r="C400" s="49"/>
      <c r="D400" s="51"/>
      <c r="E400" s="53"/>
      <c r="F400" s="51"/>
      <c r="G400" s="51"/>
      <c r="H400" s="51"/>
      <c r="I400" s="51"/>
      <c r="J400" s="59"/>
      <c r="K400" s="60"/>
      <c r="L400" s="61"/>
      <c r="M400" s="62"/>
      <c r="N400" s="63" t="str">
        <f t="shared" si="78"/>
        <v/>
      </c>
      <c r="O400" s="64" t="str">
        <f t="shared" si="79"/>
        <v/>
      </c>
      <c r="P400" s="65" t="str">
        <f t="shared" si="80"/>
        <v/>
      </c>
      <c r="Q400" s="66" t="str">
        <f t="shared" si="86"/>
        <v/>
      </c>
      <c r="R400" s="51"/>
      <c r="S400" s="60"/>
      <c r="T400" s="52" t="str">
        <f t="shared" si="81"/>
        <v/>
      </c>
      <c r="U400" s="51"/>
      <c r="V400" s="56" t="str">
        <f t="shared" si="82"/>
        <v/>
      </c>
      <c r="X400" s="57" t="str">
        <f t="shared" si="83"/>
        <v/>
      </c>
      <c r="Y400" s="57">
        <f t="shared" si="84"/>
        <v>0</v>
      </c>
      <c r="Z400" s="57">
        <f t="shared" si="87"/>
        <v>59990</v>
      </c>
      <c r="AA400" s="57">
        <f t="shared" si="88"/>
        <v>0</v>
      </c>
      <c r="AB400" s="57">
        <f t="shared" si="85"/>
        <v>0.2</v>
      </c>
      <c r="AC400" s="57" t="str">
        <f t="shared" si="89"/>
        <v/>
      </c>
      <c r="AD400" s="57" t="str">
        <f t="shared" si="90"/>
        <v/>
      </c>
      <c r="AE400" s="57" t="str">
        <f>IF(AND($D400=RelConducteur,$S400="Oui",ISNUMBER($C400),$C400&gt;=RelDebut,$C400&lt;=RelFin),COUNTIFS($D$9:$D400,RelConducteur,$S$9:$S400,"Oui",$C$9:$C400,"&gt;="&amp;RelDebut,$C$9:$C400,"&lt;="&amp;RelFin),"")</f>
        <v/>
      </c>
    </row>
    <row r="401" spans="2:31" ht="18" customHeight="1" x14ac:dyDescent="0.25">
      <c r="B401" s="48" t="str">
        <f>IF(C401="","",COUNT($C$9:C401))</f>
        <v/>
      </c>
      <c r="C401" s="49"/>
      <c r="D401" s="51"/>
      <c r="E401" s="53"/>
      <c r="F401" s="51"/>
      <c r="G401" s="51"/>
      <c r="H401" s="51"/>
      <c r="I401" s="51"/>
      <c r="J401" s="59"/>
      <c r="K401" s="60"/>
      <c r="L401" s="61"/>
      <c r="M401" s="62"/>
      <c r="N401" s="63" t="str">
        <f t="shared" si="78"/>
        <v/>
      </c>
      <c r="O401" s="64" t="str">
        <f t="shared" si="79"/>
        <v/>
      </c>
      <c r="P401" s="65" t="str">
        <f t="shared" si="80"/>
        <v/>
      </c>
      <c r="Q401" s="66" t="str">
        <f t="shared" si="86"/>
        <v/>
      </c>
      <c r="R401" s="51"/>
      <c r="S401" s="60"/>
      <c r="T401" s="52" t="str">
        <f t="shared" si="81"/>
        <v/>
      </c>
      <c r="U401" s="51"/>
      <c r="V401" s="56" t="str">
        <f t="shared" si="82"/>
        <v/>
      </c>
      <c r="X401" s="57" t="str">
        <f t="shared" si="83"/>
        <v/>
      </c>
      <c r="Y401" s="57">
        <f t="shared" si="84"/>
        <v>0</v>
      </c>
      <c r="Z401" s="57">
        <f t="shared" si="87"/>
        <v>59990</v>
      </c>
      <c r="AA401" s="57">
        <f t="shared" si="88"/>
        <v>0</v>
      </c>
      <c r="AB401" s="57">
        <f t="shared" si="85"/>
        <v>0.2</v>
      </c>
      <c r="AC401" s="57" t="str">
        <f t="shared" si="89"/>
        <v/>
      </c>
      <c r="AD401" s="57" t="str">
        <f t="shared" si="90"/>
        <v/>
      </c>
      <c r="AE401" s="57" t="str">
        <f>IF(AND($D401=RelConducteur,$S401="Oui",ISNUMBER($C401),$C401&gt;=RelDebut,$C401&lt;=RelFin),COUNTIFS($D$9:$D401,RelConducteur,$S$9:$S401,"Oui",$C$9:$C401,"&gt;="&amp;RelDebut,$C$9:$C401,"&lt;="&amp;RelFin),"")</f>
        <v/>
      </c>
    </row>
    <row r="402" spans="2:31" ht="18" customHeight="1" x14ac:dyDescent="0.25">
      <c r="B402" s="48" t="str">
        <f>IF(C402="","",COUNT($C$9:C402))</f>
        <v/>
      </c>
      <c r="C402" s="49"/>
      <c r="D402" s="51"/>
      <c r="E402" s="53"/>
      <c r="F402" s="51"/>
      <c r="G402" s="51"/>
      <c r="H402" s="51"/>
      <c r="I402" s="51"/>
      <c r="J402" s="59"/>
      <c r="K402" s="60"/>
      <c r="L402" s="61"/>
      <c r="M402" s="62"/>
      <c r="N402" s="63" t="str">
        <f t="shared" si="78"/>
        <v/>
      </c>
      <c r="O402" s="64" t="str">
        <f t="shared" si="79"/>
        <v/>
      </c>
      <c r="P402" s="65" t="str">
        <f t="shared" si="80"/>
        <v/>
      </c>
      <c r="Q402" s="66" t="str">
        <f t="shared" si="86"/>
        <v/>
      </c>
      <c r="R402" s="51"/>
      <c r="S402" s="60"/>
      <c r="T402" s="52" t="str">
        <f t="shared" si="81"/>
        <v/>
      </c>
      <c r="U402" s="51"/>
      <c r="V402" s="56" t="str">
        <f t="shared" si="82"/>
        <v/>
      </c>
      <c r="X402" s="57" t="str">
        <f t="shared" si="83"/>
        <v/>
      </c>
      <c r="Y402" s="57">
        <f t="shared" si="84"/>
        <v>0</v>
      </c>
      <c r="Z402" s="57">
        <f t="shared" si="87"/>
        <v>59990</v>
      </c>
      <c r="AA402" s="57">
        <f t="shared" si="88"/>
        <v>0</v>
      </c>
      <c r="AB402" s="57">
        <f t="shared" si="85"/>
        <v>0.2</v>
      </c>
      <c r="AC402" s="57" t="str">
        <f t="shared" si="89"/>
        <v/>
      </c>
      <c r="AD402" s="57" t="str">
        <f t="shared" si="90"/>
        <v/>
      </c>
      <c r="AE402" s="57" t="str">
        <f>IF(AND($D402=RelConducteur,$S402="Oui",ISNUMBER($C402),$C402&gt;=RelDebut,$C402&lt;=RelFin),COUNTIFS($D$9:$D402,RelConducteur,$S$9:$S402,"Oui",$C$9:$C402,"&gt;="&amp;RelDebut,$C$9:$C402,"&lt;="&amp;RelFin),"")</f>
        <v/>
      </c>
    </row>
    <row r="403" spans="2:31" ht="18" customHeight="1" x14ac:dyDescent="0.25">
      <c r="B403" s="48" t="str">
        <f>IF(C403="","",COUNT($C$9:C403))</f>
        <v/>
      </c>
      <c r="C403" s="49"/>
      <c r="D403" s="51"/>
      <c r="E403" s="53"/>
      <c r="F403" s="51"/>
      <c r="G403" s="51"/>
      <c r="H403" s="51"/>
      <c r="I403" s="51"/>
      <c r="J403" s="59"/>
      <c r="K403" s="60"/>
      <c r="L403" s="61"/>
      <c r="M403" s="62"/>
      <c r="N403" s="63" t="str">
        <f t="shared" si="78"/>
        <v/>
      </c>
      <c r="O403" s="64" t="str">
        <f t="shared" si="79"/>
        <v/>
      </c>
      <c r="P403" s="65" t="str">
        <f t="shared" si="80"/>
        <v/>
      </c>
      <c r="Q403" s="66" t="str">
        <f t="shared" si="86"/>
        <v/>
      </c>
      <c r="R403" s="51"/>
      <c r="S403" s="60"/>
      <c r="T403" s="52" t="str">
        <f t="shared" si="81"/>
        <v/>
      </c>
      <c r="U403" s="51"/>
      <c r="V403" s="56" t="str">
        <f t="shared" si="82"/>
        <v/>
      </c>
      <c r="X403" s="57" t="str">
        <f t="shared" si="83"/>
        <v/>
      </c>
      <c r="Y403" s="57">
        <f t="shared" si="84"/>
        <v>0</v>
      </c>
      <c r="Z403" s="57">
        <f t="shared" si="87"/>
        <v>59990</v>
      </c>
      <c r="AA403" s="57">
        <f t="shared" si="88"/>
        <v>0</v>
      </c>
      <c r="AB403" s="57">
        <f t="shared" si="85"/>
        <v>0.2</v>
      </c>
      <c r="AC403" s="57" t="str">
        <f t="shared" si="89"/>
        <v/>
      </c>
      <c r="AD403" s="57" t="str">
        <f t="shared" si="90"/>
        <v/>
      </c>
      <c r="AE403" s="57" t="str">
        <f>IF(AND($D403=RelConducteur,$S403="Oui",ISNUMBER($C403),$C403&gt;=RelDebut,$C403&lt;=RelFin),COUNTIFS($D$9:$D403,RelConducteur,$S$9:$S403,"Oui",$C$9:$C403,"&gt;="&amp;RelDebut,$C$9:$C403,"&lt;="&amp;RelFin),"")</f>
        <v/>
      </c>
    </row>
    <row r="404" spans="2:31" ht="18" customHeight="1" x14ac:dyDescent="0.25">
      <c r="B404" s="48" t="str">
        <f>IF(C404="","",COUNT($C$9:C404))</f>
        <v/>
      </c>
      <c r="C404" s="49"/>
      <c r="D404" s="51"/>
      <c r="E404" s="53"/>
      <c r="F404" s="51"/>
      <c r="G404" s="51"/>
      <c r="H404" s="51"/>
      <c r="I404" s="51"/>
      <c r="J404" s="59"/>
      <c r="K404" s="60"/>
      <c r="L404" s="61"/>
      <c r="M404" s="62"/>
      <c r="N404" s="63" t="str">
        <f t="shared" si="78"/>
        <v/>
      </c>
      <c r="O404" s="64" t="str">
        <f t="shared" si="79"/>
        <v/>
      </c>
      <c r="P404" s="65" t="str">
        <f t="shared" si="80"/>
        <v/>
      </c>
      <c r="Q404" s="66" t="str">
        <f t="shared" si="86"/>
        <v/>
      </c>
      <c r="R404" s="51"/>
      <c r="S404" s="60"/>
      <c r="T404" s="52" t="str">
        <f t="shared" si="81"/>
        <v/>
      </c>
      <c r="U404" s="51"/>
      <c r="V404" s="56" t="str">
        <f t="shared" si="82"/>
        <v/>
      </c>
      <c r="X404" s="57" t="str">
        <f t="shared" si="83"/>
        <v/>
      </c>
      <c r="Y404" s="57">
        <f t="shared" si="84"/>
        <v>0</v>
      </c>
      <c r="Z404" s="57">
        <f t="shared" si="87"/>
        <v>59990</v>
      </c>
      <c r="AA404" s="57">
        <f t="shared" si="88"/>
        <v>0</v>
      </c>
      <c r="AB404" s="57">
        <f t="shared" si="85"/>
        <v>0.2</v>
      </c>
      <c r="AC404" s="57" t="str">
        <f t="shared" si="89"/>
        <v/>
      </c>
      <c r="AD404" s="57" t="str">
        <f t="shared" si="90"/>
        <v/>
      </c>
      <c r="AE404" s="57" t="str">
        <f>IF(AND($D404=RelConducteur,$S404="Oui",ISNUMBER($C404),$C404&gt;=RelDebut,$C404&lt;=RelFin),COUNTIFS($D$9:$D404,RelConducteur,$S$9:$S404,"Oui",$C$9:$C404,"&gt;="&amp;RelDebut,$C$9:$C404,"&lt;="&amp;RelFin),"")</f>
        <v/>
      </c>
    </row>
    <row r="405" spans="2:31" ht="18" customHeight="1" x14ac:dyDescent="0.25">
      <c r="B405" s="48" t="str">
        <f>IF(C405="","",COUNT($C$9:C405))</f>
        <v/>
      </c>
      <c r="C405" s="49"/>
      <c r="D405" s="51"/>
      <c r="E405" s="53"/>
      <c r="F405" s="51"/>
      <c r="G405" s="51"/>
      <c r="H405" s="51"/>
      <c r="I405" s="51"/>
      <c r="J405" s="59"/>
      <c r="K405" s="60"/>
      <c r="L405" s="61"/>
      <c r="M405" s="62"/>
      <c r="N405" s="63" t="str">
        <f t="shared" si="78"/>
        <v/>
      </c>
      <c r="O405" s="64" t="str">
        <f t="shared" si="79"/>
        <v/>
      </c>
      <c r="P405" s="65" t="str">
        <f t="shared" si="80"/>
        <v/>
      </c>
      <c r="Q405" s="66" t="str">
        <f t="shared" si="86"/>
        <v/>
      </c>
      <c r="R405" s="51"/>
      <c r="S405" s="60"/>
      <c r="T405" s="52" t="str">
        <f t="shared" si="81"/>
        <v/>
      </c>
      <c r="U405" s="51"/>
      <c r="V405" s="56" t="str">
        <f t="shared" si="82"/>
        <v/>
      </c>
      <c r="X405" s="57" t="str">
        <f t="shared" si="83"/>
        <v/>
      </c>
      <c r="Y405" s="57">
        <f t="shared" si="84"/>
        <v>0</v>
      </c>
      <c r="Z405" s="57">
        <f t="shared" si="87"/>
        <v>59990</v>
      </c>
      <c r="AA405" s="57">
        <f t="shared" si="88"/>
        <v>0</v>
      </c>
      <c r="AB405" s="57">
        <f t="shared" si="85"/>
        <v>0.2</v>
      </c>
      <c r="AC405" s="57" t="str">
        <f t="shared" si="89"/>
        <v/>
      </c>
      <c r="AD405" s="57" t="str">
        <f t="shared" si="90"/>
        <v/>
      </c>
      <c r="AE405" s="57" t="str">
        <f>IF(AND($D405=RelConducteur,$S405="Oui",ISNUMBER($C405),$C405&gt;=RelDebut,$C405&lt;=RelFin),COUNTIFS($D$9:$D405,RelConducteur,$S$9:$S405,"Oui",$C$9:$C405,"&gt;="&amp;RelDebut,$C$9:$C405,"&lt;="&amp;RelFin),"")</f>
        <v/>
      </c>
    </row>
    <row r="406" spans="2:31" ht="18" customHeight="1" x14ac:dyDescent="0.25">
      <c r="B406" s="48" t="str">
        <f>IF(C406="","",COUNT($C$9:C406))</f>
        <v/>
      </c>
      <c r="C406" s="49"/>
      <c r="D406" s="51"/>
      <c r="E406" s="53"/>
      <c r="F406" s="51"/>
      <c r="G406" s="51"/>
      <c r="H406" s="51"/>
      <c r="I406" s="51"/>
      <c r="J406" s="59"/>
      <c r="K406" s="60"/>
      <c r="L406" s="61"/>
      <c r="M406" s="62"/>
      <c r="N406" s="63" t="str">
        <f t="shared" si="78"/>
        <v/>
      </c>
      <c r="O406" s="64" t="str">
        <f t="shared" si="79"/>
        <v/>
      </c>
      <c r="P406" s="65" t="str">
        <f t="shared" si="80"/>
        <v/>
      </c>
      <c r="Q406" s="66" t="str">
        <f t="shared" si="86"/>
        <v/>
      </c>
      <c r="R406" s="51"/>
      <c r="S406" s="60"/>
      <c r="T406" s="52" t="str">
        <f t="shared" si="81"/>
        <v/>
      </c>
      <c r="U406" s="51"/>
      <c r="V406" s="56" t="str">
        <f t="shared" si="82"/>
        <v/>
      </c>
      <c r="X406" s="57" t="str">
        <f t="shared" si="83"/>
        <v/>
      </c>
      <c r="Y406" s="57">
        <f t="shared" si="84"/>
        <v>0</v>
      </c>
      <c r="Z406" s="57">
        <f t="shared" si="87"/>
        <v>59990</v>
      </c>
      <c r="AA406" s="57">
        <f t="shared" si="88"/>
        <v>0</v>
      </c>
      <c r="AB406" s="57">
        <f t="shared" si="85"/>
        <v>0.2</v>
      </c>
      <c r="AC406" s="57" t="str">
        <f t="shared" si="89"/>
        <v/>
      </c>
      <c r="AD406" s="57" t="str">
        <f t="shared" si="90"/>
        <v/>
      </c>
      <c r="AE406" s="57" t="str">
        <f>IF(AND($D406=RelConducteur,$S406="Oui",ISNUMBER($C406),$C406&gt;=RelDebut,$C406&lt;=RelFin),COUNTIFS($D$9:$D406,RelConducteur,$S$9:$S406,"Oui",$C$9:$C406,"&gt;="&amp;RelDebut,$C$9:$C406,"&lt;="&amp;RelFin),"")</f>
        <v/>
      </c>
    </row>
    <row r="407" spans="2:31" ht="18" customHeight="1" x14ac:dyDescent="0.25">
      <c r="B407" s="48" t="str">
        <f>IF(C407="","",COUNT($C$9:C407))</f>
        <v/>
      </c>
      <c r="C407" s="49"/>
      <c r="D407" s="51"/>
      <c r="E407" s="53"/>
      <c r="F407" s="51"/>
      <c r="G407" s="51"/>
      <c r="H407" s="51"/>
      <c r="I407" s="51"/>
      <c r="J407" s="59"/>
      <c r="K407" s="60"/>
      <c r="L407" s="61"/>
      <c r="M407" s="62"/>
      <c r="N407" s="63" t="str">
        <f t="shared" si="78"/>
        <v/>
      </c>
      <c r="O407" s="64" t="str">
        <f t="shared" si="79"/>
        <v/>
      </c>
      <c r="P407" s="65" t="str">
        <f t="shared" si="80"/>
        <v/>
      </c>
      <c r="Q407" s="66" t="str">
        <f t="shared" si="86"/>
        <v/>
      </c>
      <c r="R407" s="51"/>
      <c r="S407" s="60"/>
      <c r="T407" s="52" t="str">
        <f t="shared" si="81"/>
        <v/>
      </c>
      <c r="U407" s="51"/>
      <c r="V407" s="56" t="str">
        <f t="shared" si="82"/>
        <v/>
      </c>
      <c r="X407" s="57" t="str">
        <f t="shared" si="83"/>
        <v/>
      </c>
      <c r="Y407" s="57">
        <f t="shared" si="84"/>
        <v>0</v>
      </c>
      <c r="Z407" s="57">
        <f t="shared" si="87"/>
        <v>59990</v>
      </c>
      <c r="AA407" s="57">
        <f t="shared" si="88"/>
        <v>0</v>
      </c>
      <c r="AB407" s="57">
        <f t="shared" si="85"/>
        <v>0.2</v>
      </c>
      <c r="AC407" s="57" t="str">
        <f t="shared" si="89"/>
        <v/>
      </c>
      <c r="AD407" s="57" t="str">
        <f t="shared" si="90"/>
        <v/>
      </c>
      <c r="AE407" s="57" t="str">
        <f>IF(AND($D407=RelConducteur,$S407="Oui",ISNUMBER($C407),$C407&gt;=RelDebut,$C407&lt;=RelFin),COUNTIFS($D$9:$D407,RelConducteur,$S$9:$S407,"Oui",$C$9:$C407,"&gt;="&amp;RelDebut,$C$9:$C407,"&lt;="&amp;RelFin),"")</f>
        <v/>
      </c>
    </row>
    <row r="408" spans="2:31" ht="18" customHeight="1" x14ac:dyDescent="0.25">
      <c r="B408" s="48" t="str">
        <f>IF(C408="","",COUNT($C$9:C408))</f>
        <v/>
      </c>
      <c r="C408" s="49"/>
      <c r="D408" s="51"/>
      <c r="E408" s="53"/>
      <c r="F408" s="51"/>
      <c r="G408" s="51"/>
      <c r="H408" s="51"/>
      <c r="I408" s="51"/>
      <c r="J408" s="59"/>
      <c r="K408" s="60"/>
      <c r="L408" s="61"/>
      <c r="M408" s="62"/>
      <c r="N408" s="63" t="str">
        <f t="shared" si="78"/>
        <v/>
      </c>
      <c r="O408" s="64" t="str">
        <f t="shared" si="79"/>
        <v/>
      </c>
      <c r="P408" s="65" t="str">
        <f t="shared" si="80"/>
        <v/>
      </c>
      <c r="Q408" s="66" t="str">
        <f t="shared" si="86"/>
        <v/>
      </c>
      <c r="R408" s="51"/>
      <c r="S408" s="60"/>
      <c r="T408" s="52" t="str">
        <f t="shared" si="81"/>
        <v/>
      </c>
      <c r="U408" s="51"/>
      <c r="V408" s="56" t="str">
        <f t="shared" si="82"/>
        <v/>
      </c>
      <c r="X408" s="57" t="str">
        <f t="shared" si="83"/>
        <v/>
      </c>
      <c r="Y408" s="57">
        <f t="shared" si="84"/>
        <v>0</v>
      </c>
      <c r="Z408" s="57">
        <f t="shared" si="87"/>
        <v>59990</v>
      </c>
      <c r="AA408" s="57">
        <f t="shared" si="88"/>
        <v>0</v>
      </c>
      <c r="AB408" s="57">
        <f t="shared" si="85"/>
        <v>0.2</v>
      </c>
      <c r="AC408" s="57" t="str">
        <f t="shared" si="89"/>
        <v/>
      </c>
      <c r="AD408" s="57" t="str">
        <f t="shared" si="90"/>
        <v/>
      </c>
      <c r="AE408" s="57" t="str">
        <f>IF(AND($D408=RelConducteur,$S408="Oui",ISNUMBER($C408),$C408&gt;=RelDebut,$C408&lt;=RelFin),COUNTIFS($D$9:$D408,RelConducteur,$S$9:$S408,"Oui",$C$9:$C408,"&gt;="&amp;RelDebut,$C$9:$C408,"&lt;="&amp;RelFin),"")</f>
        <v/>
      </c>
    </row>
    <row r="409" spans="2:31" ht="18" customHeight="1" x14ac:dyDescent="0.25">
      <c r="B409" s="48" t="str">
        <f>IF(C409="","",COUNT($C$9:C409))</f>
        <v/>
      </c>
      <c r="C409" s="49"/>
      <c r="D409" s="51"/>
      <c r="E409" s="53"/>
      <c r="F409" s="51"/>
      <c r="G409" s="51"/>
      <c r="H409" s="51"/>
      <c r="I409" s="51"/>
      <c r="J409" s="59"/>
      <c r="K409" s="60"/>
      <c r="L409" s="61"/>
      <c r="M409" s="62"/>
      <c r="N409" s="63" t="str">
        <f t="shared" si="78"/>
        <v/>
      </c>
      <c r="O409" s="64" t="str">
        <f t="shared" si="79"/>
        <v/>
      </c>
      <c r="P409" s="65" t="str">
        <f t="shared" si="80"/>
        <v/>
      </c>
      <c r="Q409" s="66" t="str">
        <f t="shared" si="86"/>
        <v/>
      </c>
      <c r="R409" s="51"/>
      <c r="S409" s="60"/>
      <c r="T409" s="52" t="str">
        <f t="shared" si="81"/>
        <v/>
      </c>
      <c r="U409" s="51"/>
      <c r="V409" s="56" t="str">
        <f t="shared" si="82"/>
        <v/>
      </c>
      <c r="X409" s="57" t="str">
        <f t="shared" si="83"/>
        <v/>
      </c>
      <c r="Y409" s="57">
        <f t="shared" si="84"/>
        <v>0</v>
      </c>
      <c r="Z409" s="57">
        <f t="shared" si="87"/>
        <v>59990</v>
      </c>
      <c r="AA409" s="57">
        <f t="shared" si="88"/>
        <v>0</v>
      </c>
      <c r="AB409" s="57">
        <f t="shared" si="85"/>
        <v>0.2</v>
      </c>
      <c r="AC409" s="57" t="str">
        <f t="shared" si="89"/>
        <v/>
      </c>
      <c r="AD409" s="57" t="str">
        <f t="shared" si="90"/>
        <v/>
      </c>
      <c r="AE409" s="57" t="str">
        <f>IF(AND($D409=RelConducteur,$S409="Oui",ISNUMBER($C409),$C409&gt;=RelDebut,$C409&lt;=RelFin),COUNTIFS($D$9:$D409,RelConducteur,$S$9:$S409,"Oui",$C$9:$C409,"&gt;="&amp;RelDebut,$C$9:$C409,"&lt;="&amp;RelFin),"")</f>
        <v/>
      </c>
    </row>
    <row r="410" spans="2:31" ht="18" customHeight="1" x14ac:dyDescent="0.25">
      <c r="B410" s="48" t="str">
        <f>IF(C410="","",COUNT($C$9:C410))</f>
        <v/>
      </c>
      <c r="C410" s="49"/>
      <c r="D410" s="51"/>
      <c r="E410" s="53"/>
      <c r="F410" s="51"/>
      <c r="G410" s="51"/>
      <c r="H410" s="51"/>
      <c r="I410" s="51"/>
      <c r="J410" s="59"/>
      <c r="K410" s="60"/>
      <c r="L410" s="61"/>
      <c r="M410" s="62"/>
      <c r="N410" s="63" t="str">
        <f t="shared" si="78"/>
        <v/>
      </c>
      <c r="O410" s="64" t="str">
        <f t="shared" si="79"/>
        <v/>
      </c>
      <c r="P410" s="65" t="str">
        <f t="shared" si="80"/>
        <v/>
      </c>
      <c r="Q410" s="66" t="str">
        <f t="shared" si="86"/>
        <v/>
      </c>
      <c r="R410" s="51"/>
      <c r="S410" s="60"/>
      <c r="T410" s="52" t="str">
        <f t="shared" si="81"/>
        <v/>
      </c>
      <c r="U410" s="51"/>
      <c r="V410" s="56" t="str">
        <f t="shared" si="82"/>
        <v/>
      </c>
      <c r="X410" s="57" t="str">
        <f t="shared" si="83"/>
        <v/>
      </c>
      <c r="Y410" s="57">
        <f t="shared" si="84"/>
        <v>0</v>
      </c>
      <c r="Z410" s="57">
        <f t="shared" si="87"/>
        <v>59990</v>
      </c>
      <c r="AA410" s="57">
        <f t="shared" si="88"/>
        <v>0</v>
      </c>
      <c r="AB410" s="57">
        <f t="shared" si="85"/>
        <v>0.2</v>
      </c>
      <c r="AC410" s="57" t="str">
        <f t="shared" si="89"/>
        <v/>
      </c>
      <c r="AD410" s="57" t="str">
        <f t="shared" si="90"/>
        <v/>
      </c>
      <c r="AE410" s="57" t="str">
        <f>IF(AND($D410=RelConducteur,$S410="Oui",ISNUMBER($C410),$C410&gt;=RelDebut,$C410&lt;=RelFin),COUNTIFS($D$9:$D410,RelConducteur,$S$9:$S410,"Oui",$C$9:$C410,"&gt;="&amp;RelDebut,$C$9:$C410,"&lt;="&amp;RelFin),"")</f>
        <v/>
      </c>
    </row>
    <row r="411" spans="2:31" ht="18" customHeight="1" x14ac:dyDescent="0.25">
      <c r="B411" s="48" t="str">
        <f>IF(C411="","",COUNT($C$9:C411))</f>
        <v/>
      </c>
      <c r="C411" s="49"/>
      <c r="D411" s="51"/>
      <c r="E411" s="53"/>
      <c r="F411" s="51"/>
      <c r="G411" s="51"/>
      <c r="H411" s="51"/>
      <c r="I411" s="51"/>
      <c r="J411" s="59"/>
      <c r="K411" s="60"/>
      <c r="L411" s="61"/>
      <c r="M411" s="62"/>
      <c r="N411" s="63" t="str">
        <f t="shared" si="78"/>
        <v/>
      </c>
      <c r="O411" s="64" t="str">
        <f t="shared" si="79"/>
        <v/>
      </c>
      <c r="P411" s="65" t="str">
        <f t="shared" si="80"/>
        <v/>
      </c>
      <c r="Q411" s="66" t="str">
        <f t="shared" si="86"/>
        <v/>
      </c>
      <c r="R411" s="51"/>
      <c r="S411" s="60"/>
      <c r="T411" s="52" t="str">
        <f t="shared" si="81"/>
        <v/>
      </c>
      <c r="U411" s="51"/>
      <c r="V411" s="56" t="str">
        <f t="shared" si="82"/>
        <v/>
      </c>
      <c r="X411" s="57" t="str">
        <f t="shared" si="83"/>
        <v/>
      </c>
      <c r="Y411" s="57">
        <f t="shared" si="84"/>
        <v>0</v>
      </c>
      <c r="Z411" s="57">
        <f t="shared" si="87"/>
        <v>59990</v>
      </c>
      <c r="AA411" s="57">
        <f t="shared" si="88"/>
        <v>0</v>
      </c>
      <c r="AB411" s="57">
        <f t="shared" si="85"/>
        <v>0.2</v>
      </c>
      <c r="AC411" s="57" t="str">
        <f t="shared" si="89"/>
        <v/>
      </c>
      <c r="AD411" s="57" t="str">
        <f t="shared" si="90"/>
        <v/>
      </c>
      <c r="AE411" s="57" t="str">
        <f>IF(AND($D411=RelConducteur,$S411="Oui",ISNUMBER($C411),$C411&gt;=RelDebut,$C411&lt;=RelFin),COUNTIFS($D$9:$D411,RelConducteur,$S$9:$S411,"Oui",$C$9:$C411,"&gt;="&amp;RelDebut,$C$9:$C411,"&lt;="&amp;RelFin),"")</f>
        <v/>
      </c>
    </row>
    <row r="412" spans="2:31" ht="18" customHeight="1" x14ac:dyDescent="0.25">
      <c r="B412" s="48" t="str">
        <f>IF(C412="","",COUNT($C$9:C412))</f>
        <v/>
      </c>
      <c r="C412" s="49"/>
      <c r="D412" s="51"/>
      <c r="E412" s="53"/>
      <c r="F412" s="51"/>
      <c r="G412" s="51"/>
      <c r="H412" s="51"/>
      <c r="I412" s="51"/>
      <c r="J412" s="59"/>
      <c r="K412" s="60"/>
      <c r="L412" s="61"/>
      <c r="M412" s="62"/>
      <c r="N412" s="63" t="str">
        <f t="shared" si="78"/>
        <v/>
      </c>
      <c r="O412" s="64" t="str">
        <f t="shared" si="79"/>
        <v/>
      </c>
      <c r="P412" s="65" t="str">
        <f t="shared" si="80"/>
        <v/>
      </c>
      <c r="Q412" s="66" t="str">
        <f t="shared" si="86"/>
        <v/>
      </c>
      <c r="R412" s="51"/>
      <c r="S412" s="60"/>
      <c r="T412" s="52" t="str">
        <f t="shared" si="81"/>
        <v/>
      </c>
      <c r="U412" s="51"/>
      <c r="V412" s="56" t="str">
        <f t="shared" si="82"/>
        <v/>
      </c>
      <c r="X412" s="57" t="str">
        <f t="shared" si="83"/>
        <v/>
      </c>
      <c r="Y412" s="57">
        <f t="shared" si="84"/>
        <v>0</v>
      </c>
      <c r="Z412" s="57">
        <f t="shared" si="87"/>
        <v>59990</v>
      </c>
      <c r="AA412" s="57">
        <f t="shared" si="88"/>
        <v>0</v>
      </c>
      <c r="AB412" s="57">
        <f t="shared" si="85"/>
        <v>0.2</v>
      </c>
      <c r="AC412" s="57" t="str">
        <f t="shared" si="89"/>
        <v/>
      </c>
      <c r="AD412" s="57" t="str">
        <f t="shared" si="90"/>
        <v/>
      </c>
      <c r="AE412" s="57" t="str">
        <f>IF(AND($D412=RelConducteur,$S412="Oui",ISNUMBER($C412),$C412&gt;=RelDebut,$C412&lt;=RelFin),COUNTIFS($D$9:$D412,RelConducteur,$S$9:$S412,"Oui",$C$9:$C412,"&gt;="&amp;RelDebut,$C$9:$C412,"&lt;="&amp;RelFin),"")</f>
        <v/>
      </c>
    </row>
    <row r="413" spans="2:31" ht="18" customHeight="1" x14ac:dyDescent="0.25">
      <c r="B413" s="48" t="str">
        <f>IF(C413="","",COUNT($C$9:C413))</f>
        <v/>
      </c>
      <c r="C413" s="49"/>
      <c r="D413" s="51"/>
      <c r="E413" s="53"/>
      <c r="F413" s="51"/>
      <c r="G413" s="51"/>
      <c r="H413" s="51"/>
      <c r="I413" s="51"/>
      <c r="J413" s="59"/>
      <c r="K413" s="60"/>
      <c r="L413" s="61"/>
      <c r="M413" s="62"/>
      <c r="N413" s="63" t="str">
        <f t="shared" si="78"/>
        <v/>
      </c>
      <c r="O413" s="64" t="str">
        <f t="shared" si="79"/>
        <v/>
      </c>
      <c r="P413" s="65" t="str">
        <f t="shared" si="80"/>
        <v/>
      </c>
      <c r="Q413" s="66" t="str">
        <f t="shared" si="86"/>
        <v/>
      </c>
      <c r="R413" s="51"/>
      <c r="S413" s="60"/>
      <c r="T413" s="52" t="str">
        <f t="shared" si="81"/>
        <v/>
      </c>
      <c r="U413" s="51"/>
      <c r="V413" s="56" t="str">
        <f t="shared" si="82"/>
        <v/>
      </c>
      <c r="X413" s="57" t="str">
        <f t="shared" si="83"/>
        <v/>
      </c>
      <c r="Y413" s="57">
        <f t="shared" si="84"/>
        <v>0</v>
      </c>
      <c r="Z413" s="57">
        <f t="shared" si="87"/>
        <v>59990</v>
      </c>
      <c r="AA413" s="57">
        <f t="shared" si="88"/>
        <v>0</v>
      </c>
      <c r="AB413" s="57">
        <f t="shared" si="85"/>
        <v>0.2</v>
      </c>
      <c r="AC413" s="57" t="str">
        <f t="shared" si="89"/>
        <v/>
      </c>
      <c r="AD413" s="57" t="str">
        <f t="shared" si="90"/>
        <v/>
      </c>
      <c r="AE413" s="57" t="str">
        <f>IF(AND($D413=RelConducteur,$S413="Oui",ISNUMBER($C413),$C413&gt;=RelDebut,$C413&lt;=RelFin),COUNTIFS($D$9:$D413,RelConducteur,$S$9:$S413,"Oui",$C$9:$C413,"&gt;="&amp;RelDebut,$C$9:$C413,"&lt;="&amp;RelFin),"")</f>
        <v/>
      </c>
    </row>
    <row r="414" spans="2:31" ht="18" customHeight="1" x14ac:dyDescent="0.25">
      <c r="B414" s="48" t="str">
        <f>IF(C414="","",COUNT($C$9:C414))</f>
        <v/>
      </c>
      <c r="C414" s="49"/>
      <c r="D414" s="51"/>
      <c r="E414" s="53"/>
      <c r="F414" s="51"/>
      <c r="G414" s="51"/>
      <c r="H414" s="51"/>
      <c r="I414" s="51"/>
      <c r="J414" s="59"/>
      <c r="K414" s="60"/>
      <c r="L414" s="61"/>
      <c r="M414" s="62"/>
      <c r="N414" s="63" t="str">
        <f t="shared" si="78"/>
        <v/>
      </c>
      <c r="O414" s="64" t="str">
        <f t="shared" si="79"/>
        <v/>
      </c>
      <c r="P414" s="65" t="str">
        <f t="shared" si="80"/>
        <v/>
      </c>
      <c r="Q414" s="66" t="str">
        <f t="shared" si="86"/>
        <v/>
      </c>
      <c r="R414" s="51"/>
      <c r="S414" s="60"/>
      <c r="T414" s="52" t="str">
        <f t="shared" si="81"/>
        <v/>
      </c>
      <c r="U414" s="51"/>
      <c r="V414" s="56" t="str">
        <f t="shared" si="82"/>
        <v/>
      </c>
      <c r="X414" s="57" t="str">
        <f t="shared" si="83"/>
        <v/>
      </c>
      <c r="Y414" s="57">
        <f t="shared" si="84"/>
        <v>0</v>
      </c>
      <c r="Z414" s="57">
        <f t="shared" si="87"/>
        <v>59990</v>
      </c>
      <c r="AA414" s="57">
        <f t="shared" si="88"/>
        <v>0</v>
      </c>
      <c r="AB414" s="57">
        <f t="shared" si="85"/>
        <v>0.2</v>
      </c>
      <c r="AC414" s="57" t="str">
        <f t="shared" si="89"/>
        <v/>
      </c>
      <c r="AD414" s="57" t="str">
        <f t="shared" si="90"/>
        <v/>
      </c>
      <c r="AE414" s="57" t="str">
        <f>IF(AND($D414=RelConducteur,$S414="Oui",ISNUMBER($C414),$C414&gt;=RelDebut,$C414&lt;=RelFin),COUNTIFS($D$9:$D414,RelConducteur,$S$9:$S414,"Oui",$C$9:$C414,"&gt;="&amp;RelDebut,$C$9:$C414,"&lt;="&amp;RelFin),"")</f>
        <v/>
      </c>
    </row>
    <row r="415" spans="2:31" ht="18" customHeight="1" x14ac:dyDescent="0.25">
      <c r="B415" s="48" t="str">
        <f>IF(C415="","",COUNT($C$9:C415))</f>
        <v/>
      </c>
      <c r="C415" s="49"/>
      <c r="D415" s="51"/>
      <c r="E415" s="53"/>
      <c r="F415" s="51"/>
      <c r="G415" s="51"/>
      <c r="H415" s="51"/>
      <c r="I415" s="51"/>
      <c r="J415" s="59"/>
      <c r="K415" s="60"/>
      <c r="L415" s="61"/>
      <c r="M415" s="62"/>
      <c r="N415" s="63" t="str">
        <f t="shared" si="78"/>
        <v/>
      </c>
      <c r="O415" s="64" t="str">
        <f t="shared" si="79"/>
        <v/>
      </c>
      <c r="P415" s="65" t="str">
        <f t="shared" si="80"/>
        <v/>
      </c>
      <c r="Q415" s="66" t="str">
        <f t="shared" si="86"/>
        <v/>
      </c>
      <c r="R415" s="51"/>
      <c r="S415" s="60"/>
      <c r="T415" s="52" t="str">
        <f t="shared" si="81"/>
        <v/>
      </c>
      <c r="U415" s="51"/>
      <c r="V415" s="56" t="str">
        <f t="shared" si="82"/>
        <v/>
      </c>
      <c r="X415" s="57" t="str">
        <f t="shared" si="83"/>
        <v/>
      </c>
      <c r="Y415" s="57">
        <f t="shared" si="84"/>
        <v>0</v>
      </c>
      <c r="Z415" s="57">
        <f t="shared" si="87"/>
        <v>59990</v>
      </c>
      <c r="AA415" s="57">
        <f t="shared" si="88"/>
        <v>0</v>
      </c>
      <c r="AB415" s="57">
        <f t="shared" si="85"/>
        <v>0.2</v>
      </c>
      <c r="AC415" s="57" t="str">
        <f t="shared" si="89"/>
        <v/>
      </c>
      <c r="AD415" s="57" t="str">
        <f t="shared" si="90"/>
        <v/>
      </c>
      <c r="AE415" s="57" t="str">
        <f>IF(AND($D415=RelConducteur,$S415="Oui",ISNUMBER($C415),$C415&gt;=RelDebut,$C415&lt;=RelFin),COUNTIFS($D$9:$D415,RelConducteur,$S$9:$S415,"Oui",$C$9:$C415,"&gt;="&amp;RelDebut,$C$9:$C415,"&lt;="&amp;RelFin),"")</f>
        <v/>
      </c>
    </row>
    <row r="416" spans="2:31" ht="18" customHeight="1" x14ac:dyDescent="0.25">
      <c r="B416" s="48" t="str">
        <f>IF(C416="","",COUNT($C$9:C416))</f>
        <v/>
      </c>
      <c r="C416" s="49"/>
      <c r="D416" s="51"/>
      <c r="E416" s="53"/>
      <c r="F416" s="51"/>
      <c r="G416" s="51"/>
      <c r="H416" s="51"/>
      <c r="I416" s="51"/>
      <c r="J416" s="59"/>
      <c r="K416" s="60"/>
      <c r="L416" s="61"/>
      <c r="M416" s="62"/>
      <c r="N416" s="63" t="str">
        <f t="shared" si="78"/>
        <v/>
      </c>
      <c r="O416" s="64" t="str">
        <f t="shared" si="79"/>
        <v/>
      </c>
      <c r="P416" s="65" t="str">
        <f t="shared" si="80"/>
        <v/>
      </c>
      <c r="Q416" s="66" t="str">
        <f t="shared" si="86"/>
        <v/>
      </c>
      <c r="R416" s="51"/>
      <c r="S416" s="60"/>
      <c r="T416" s="52" t="str">
        <f t="shared" si="81"/>
        <v/>
      </c>
      <c r="U416" s="51"/>
      <c r="V416" s="56" t="str">
        <f t="shared" si="82"/>
        <v/>
      </c>
      <c r="X416" s="57" t="str">
        <f t="shared" si="83"/>
        <v/>
      </c>
      <c r="Y416" s="57">
        <f t="shared" si="84"/>
        <v>0</v>
      </c>
      <c r="Z416" s="57">
        <f t="shared" si="87"/>
        <v>59990</v>
      </c>
      <c r="AA416" s="57">
        <f t="shared" si="88"/>
        <v>0</v>
      </c>
      <c r="AB416" s="57">
        <f t="shared" si="85"/>
        <v>0.2</v>
      </c>
      <c r="AC416" s="57" t="str">
        <f t="shared" si="89"/>
        <v/>
      </c>
      <c r="AD416" s="57" t="str">
        <f t="shared" si="90"/>
        <v/>
      </c>
      <c r="AE416" s="57" t="str">
        <f>IF(AND($D416=RelConducteur,$S416="Oui",ISNUMBER($C416),$C416&gt;=RelDebut,$C416&lt;=RelFin),COUNTIFS($D$9:$D416,RelConducteur,$S$9:$S416,"Oui",$C$9:$C416,"&gt;="&amp;RelDebut,$C$9:$C416,"&lt;="&amp;RelFin),"")</f>
        <v/>
      </c>
    </row>
    <row r="417" spans="2:31" ht="18" customHeight="1" x14ac:dyDescent="0.25">
      <c r="B417" s="48" t="str">
        <f>IF(C417="","",COUNT($C$9:C417))</f>
        <v/>
      </c>
      <c r="C417" s="49"/>
      <c r="D417" s="51"/>
      <c r="E417" s="53"/>
      <c r="F417" s="51"/>
      <c r="G417" s="51"/>
      <c r="H417" s="51"/>
      <c r="I417" s="51"/>
      <c r="J417" s="59"/>
      <c r="K417" s="60"/>
      <c r="L417" s="61"/>
      <c r="M417" s="62"/>
      <c r="N417" s="63" t="str">
        <f t="shared" si="78"/>
        <v/>
      </c>
      <c r="O417" s="64" t="str">
        <f t="shared" si="79"/>
        <v/>
      </c>
      <c r="P417" s="65" t="str">
        <f t="shared" si="80"/>
        <v/>
      </c>
      <c r="Q417" s="66" t="str">
        <f t="shared" si="86"/>
        <v/>
      </c>
      <c r="R417" s="51"/>
      <c r="S417" s="60"/>
      <c r="T417" s="52" t="str">
        <f t="shared" si="81"/>
        <v/>
      </c>
      <c r="U417" s="51"/>
      <c r="V417" s="56" t="str">
        <f t="shared" si="82"/>
        <v/>
      </c>
      <c r="X417" s="57" t="str">
        <f t="shared" si="83"/>
        <v/>
      </c>
      <c r="Y417" s="57">
        <f t="shared" si="84"/>
        <v>0</v>
      </c>
      <c r="Z417" s="57">
        <f t="shared" si="87"/>
        <v>59990</v>
      </c>
      <c r="AA417" s="57">
        <f t="shared" si="88"/>
        <v>0</v>
      </c>
      <c r="AB417" s="57">
        <f t="shared" si="85"/>
        <v>0.2</v>
      </c>
      <c r="AC417" s="57" t="str">
        <f t="shared" si="89"/>
        <v/>
      </c>
      <c r="AD417" s="57" t="str">
        <f t="shared" si="90"/>
        <v/>
      </c>
      <c r="AE417" s="57" t="str">
        <f>IF(AND($D417=RelConducteur,$S417="Oui",ISNUMBER($C417),$C417&gt;=RelDebut,$C417&lt;=RelFin),COUNTIFS($D$9:$D417,RelConducteur,$S$9:$S417,"Oui",$C$9:$C417,"&gt;="&amp;RelDebut,$C$9:$C417,"&lt;="&amp;RelFin),"")</f>
        <v/>
      </c>
    </row>
    <row r="418" spans="2:31" ht="18" customHeight="1" x14ac:dyDescent="0.25">
      <c r="B418" s="48" t="str">
        <f>IF(C418="","",COUNT($C$9:C418))</f>
        <v/>
      </c>
      <c r="C418" s="49"/>
      <c r="D418" s="51"/>
      <c r="E418" s="53"/>
      <c r="F418" s="51"/>
      <c r="G418" s="51"/>
      <c r="H418" s="51"/>
      <c r="I418" s="51"/>
      <c r="J418" s="59"/>
      <c r="K418" s="60"/>
      <c r="L418" s="61"/>
      <c r="M418" s="62"/>
      <c r="N418" s="63" t="str">
        <f t="shared" si="78"/>
        <v/>
      </c>
      <c r="O418" s="64" t="str">
        <f t="shared" si="79"/>
        <v/>
      </c>
      <c r="P418" s="65" t="str">
        <f t="shared" si="80"/>
        <v/>
      </c>
      <c r="Q418" s="66" t="str">
        <f t="shared" si="86"/>
        <v/>
      </c>
      <c r="R418" s="51"/>
      <c r="S418" s="60"/>
      <c r="T418" s="52" t="str">
        <f t="shared" si="81"/>
        <v/>
      </c>
      <c r="U418" s="51"/>
      <c r="V418" s="56" t="str">
        <f t="shared" si="82"/>
        <v/>
      </c>
      <c r="X418" s="57" t="str">
        <f t="shared" si="83"/>
        <v/>
      </c>
      <c r="Y418" s="57">
        <f t="shared" si="84"/>
        <v>0</v>
      </c>
      <c r="Z418" s="57">
        <f t="shared" si="87"/>
        <v>59990</v>
      </c>
      <c r="AA418" s="57">
        <f t="shared" si="88"/>
        <v>0</v>
      </c>
      <c r="AB418" s="57">
        <f t="shared" si="85"/>
        <v>0.2</v>
      </c>
      <c r="AC418" s="57" t="str">
        <f t="shared" si="89"/>
        <v/>
      </c>
      <c r="AD418" s="57" t="str">
        <f t="shared" si="90"/>
        <v/>
      </c>
      <c r="AE418" s="57" t="str">
        <f>IF(AND($D418=RelConducteur,$S418="Oui",ISNUMBER($C418),$C418&gt;=RelDebut,$C418&lt;=RelFin),COUNTIFS($D$9:$D418,RelConducteur,$S$9:$S418,"Oui",$C$9:$C418,"&gt;="&amp;RelDebut,$C$9:$C418,"&lt;="&amp;RelFin),"")</f>
        <v/>
      </c>
    </row>
    <row r="419" spans="2:31" ht="18" customHeight="1" x14ac:dyDescent="0.25">
      <c r="B419" s="48" t="str">
        <f>IF(C419="","",COUNT($C$9:C419))</f>
        <v/>
      </c>
      <c r="C419" s="49"/>
      <c r="D419" s="51"/>
      <c r="E419" s="53"/>
      <c r="F419" s="51"/>
      <c r="G419" s="51"/>
      <c r="H419" s="51"/>
      <c r="I419" s="51"/>
      <c r="J419" s="59"/>
      <c r="K419" s="60"/>
      <c r="L419" s="61"/>
      <c r="M419" s="62"/>
      <c r="N419" s="63" t="str">
        <f t="shared" si="78"/>
        <v/>
      </c>
      <c r="O419" s="64" t="str">
        <f t="shared" si="79"/>
        <v/>
      </c>
      <c r="P419" s="65" t="str">
        <f t="shared" si="80"/>
        <v/>
      </c>
      <c r="Q419" s="66" t="str">
        <f t="shared" si="86"/>
        <v/>
      </c>
      <c r="R419" s="51"/>
      <c r="S419" s="60"/>
      <c r="T419" s="52" t="str">
        <f t="shared" si="81"/>
        <v/>
      </c>
      <c r="U419" s="51"/>
      <c r="V419" s="56" t="str">
        <f t="shared" si="82"/>
        <v/>
      </c>
      <c r="X419" s="57" t="str">
        <f t="shared" si="83"/>
        <v/>
      </c>
      <c r="Y419" s="57">
        <f t="shared" si="84"/>
        <v>0</v>
      </c>
      <c r="Z419" s="57">
        <f t="shared" si="87"/>
        <v>59990</v>
      </c>
      <c r="AA419" s="57">
        <f t="shared" si="88"/>
        <v>0</v>
      </c>
      <c r="AB419" s="57">
        <f t="shared" si="85"/>
        <v>0.2</v>
      </c>
      <c r="AC419" s="57" t="str">
        <f t="shared" si="89"/>
        <v/>
      </c>
      <c r="AD419" s="57" t="str">
        <f t="shared" si="90"/>
        <v/>
      </c>
      <c r="AE419" s="57" t="str">
        <f>IF(AND($D419=RelConducteur,$S419="Oui",ISNUMBER($C419),$C419&gt;=RelDebut,$C419&lt;=RelFin),COUNTIFS($D$9:$D419,RelConducteur,$S$9:$S419,"Oui",$C$9:$C419,"&gt;="&amp;RelDebut,$C$9:$C419,"&lt;="&amp;RelFin),"")</f>
        <v/>
      </c>
    </row>
    <row r="420" spans="2:31" ht="18" customHeight="1" x14ac:dyDescent="0.25">
      <c r="B420" s="48" t="str">
        <f>IF(C420="","",COUNT($C$9:C420))</f>
        <v/>
      </c>
      <c r="C420" s="49"/>
      <c r="D420" s="51"/>
      <c r="E420" s="53"/>
      <c r="F420" s="51"/>
      <c r="G420" s="51"/>
      <c r="H420" s="51"/>
      <c r="I420" s="51"/>
      <c r="J420" s="59"/>
      <c r="K420" s="60"/>
      <c r="L420" s="61"/>
      <c r="M420" s="62"/>
      <c r="N420" s="63" t="str">
        <f t="shared" si="78"/>
        <v/>
      </c>
      <c r="O420" s="64" t="str">
        <f t="shared" si="79"/>
        <v/>
      </c>
      <c r="P420" s="65" t="str">
        <f t="shared" si="80"/>
        <v/>
      </c>
      <c r="Q420" s="66" t="str">
        <f t="shared" si="86"/>
        <v/>
      </c>
      <c r="R420" s="51"/>
      <c r="S420" s="60"/>
      <c r="T420" s="52" t="str">
        <f t="shared" si="81"/>
        <v/>
      </c>
      <c r="U420" s="51"/>
      <c r="V420" s="56" t="str">
        <f t="shared" si="82"/>
        <v/>
      </c>
      <c r="X420" s="57" t="str">
        <f t="shared" si="83"/>
        <v/>
      </c>
      <c r="Y420" s="57">
        <f t="shared" si="84"/>
        <v>0</v>
      </c>
      <c r="Z420" s="57">
        <f t="shared" si="87"/>
        <v>59990</v>
      </c>
      <c r="AA420" s="57">
        <f t="shared" si="88"/>
        <v>0</v>
      </c>
      <c r="AB420" s="57">
        <f t="shared" si="85"/>
        <v>0.2</v>
      </c>
      <c r="AC420" s="57" t="str">
        <f t="shared" si="89"/>
        <v/>
      </c>
      <c r="AD420" s="57" t="str">
        <f t="shared" si="90"/>
        <v/>
      </c>
      <c r="AE420" s="57" t="str">
        <f>IF(AND($D420=RelConducteur,$S420="Oui",ISNUMBER($C420),$C420&gt;=RelDebut,$C420&lt;=RelFin),COUNTIFS($D$9:$D420,RelConducteur,$S$9:$S420,"Oui",$C$9:$C420,"&gt;="&amp;RelDebut,$C$9:$C420,"&lt;="&amp;RelFin),"")</f>
        <v/>
      </c>
    </row>
    <row r="421" spans="2:31" ht="18" customHeight="1" x14ac:dyDescent="0.25">
      <c r="B421" s="48" t="str">
        <f>IF(C421="","",COUNT($C$9:C421))</f>
        <v/>
      </c>
      <c r="C421" s="49"/>
      <c r="D421" s="51"/>
      <c r="E421" s="53"/>
      <c r="F421" s="51"/>
      <c r="G421" s="51"/>
      <c r="H421" s="51"/>
      <c r="I421" s="51"/>
      <c r="J421" s="59"/>
      <c r="K421" s="60"/>
      <c r="L421" s="61"/>
      <c r="M421" s="62"/>
      <c r="N421" s="63" t="str">
        <f t="shared" si="78"/>
        <v/>
      </c>
      <c r="O421" s="64" t="str">
        <f t="shared" si="79"/>
        <v/>
      </c>
      <c r="P421" s="65" t="str">
        <f t="shared" si="80"/>
        <v/>
      </c>
      <c r="Q421" s="66" t="str">
        <f t="shared" si="86"/>
        <v/>
      </c>
      <c r="R421" s="51"/>
      <c r="S421" s="60"/>
      <c r="T421" s="52" t="str">
        <f t="shared" si="81"/>
        <v/>
      </c>
      <c r="U421" s="51"/>
      <c r="V421" s="56" t="str">
        <f t="shared" si="82"/>
        <v/>
      </c>
      <c r="X421" s="57" t="str">
        <f t="shared" si="83"/>
        <v/>
      </c>
      <c r="Y421" s="57">
        <f t="shared" si="84"/>
        <v>0</v>
      </c>
      <c r="Z421" s="57">
        <f t="shared" si="87"/>
        <v>59990</v>
      </c>
      <c r="AA421" s="57">
        <f t="shared" si="88"/>
        <v>0</v>
      </c>
      <c r="AB421" s="57">
        <f t="shared" si="85"/>
        <v>0.2</v>
      </c>
      <c r="AC421" s="57" t="str">
        <f t="shared" si="89"/>
        <v/>
      </c>
      <c r="AD421" s="57" t="str">
        <f t="shared" si="90"/>
        <v/>
      </c>
      <c r="AE421" s="57" t="str">
        <f>IF(AND($D421=RelConducteur,$S421="Oui",ISNUMBER($C421),$C421&gt;=RelDebut,$C421&lt;=RelFin),COUNTIFS($D$9:$D421,RelConducteur,$S$9:$S421,"Oui",$C$9:$C421,"&gt;="&amp;RelDebut,$C$9:$C421,"&lt;="&amp;RelFin),"")</f>
        <v/>
      </c>
    </row>
    <row r="422" spans="2:31" ht="18" customHeight="1" x14ac:dyDescent="0.25">
      <c r="B422" s="48" t="str">
        <f>IF(C422="","",COUNT($C$9:C422))</f>
        <v/>
      </c>
      <c r="C422" s="49"/>
      <c r="D422" s="51"/>
      <c r="E422" s="53"/>
      <c r="F422" s="51"/>
      <c r="G422" s="51"/>
      <c r="H422" s="51"/>
      <c r="I422" s="51"/>
      <c r="J422" s="59"/>
      <c r="K422" s="60"/>
      <c r="L422" s="61"/>
      <c r="M422" s="62"/>
      <c r="N422" s="63" t="str">
        <f t="shared" si="78"/>
        <v/>
      </c>
      <c r="O422" s="64" t="str">
        <f t="shared" si="79"/>
        <v/>
      </c>
      <c r="P422" s="65" t="str">
        <f t="shared" si="80"/>
        <v/>
      </c>
      <c r="Q422" s="66" t="str">
        <f t="shared" si="86"/>
        <v/>
      </c>
      <c r="R422" s="51"/>
      <c r="S422" s="60"/>
      <c r="T422" s="52" t="str">
        <f t="shared" si="81"/>
        <v/>
      </c>
      <c r="U422" s="51"/>
      <c r="V422" s="56" t="str">
        <f t="shared" si="82"/>
        <v/>
      </c>
      <c r="X422" s="57" t="str">
        <f t="shared" si="83"/>
        <v/>
      </c>
      <c r="Y422" s="57">
        <f t="shared" si="84"/>
        <v>0</v>
      </c>
      <c r="Z422" s="57">
        <f t="shared" si="87"/>
        <v>59990</v>
      </c>
      <c r="AA422" s="57">
        <f t="shared" si="88"/>
        <v>0</v>
      </c>
      <c r="AB422" s="57">
        <f t="shared" si="85"/>
        <v>0.2</v>
      </c>
      <c r="AC422" s="57" t="str">
        <f t="shared" si="89"/>
        <v/>
      </c>
      <c r="AD422" s="57" t="str">
        <f t="shared" si="90"/>
        <v/>
      </c>
      <c r="AE422" s="57" t="str">
        <f>IF(AND($D422=RelConducteur,$S422="Oui",ISNUMBER($C422),$C422&gt;=RelDebut,$C422&lt;=RelFin),COUNTIFS($D$9:$D422,RelConducteur,$S$9:$S422,"Oui",$C$9:$C422,"&gt;="&amp;RelDebut,$C$9:$C422,"&lt;="&amp;RelFin),"")</f>
        <v/>
      </c>
    </row>
    <row r="423" spans="2:31" ht="18" customHeight="1" x14ac:dyDescent="0.25">
      <c r="B423" s="48" t="str">
        <f>IF(C423="","",COUNT($C$9:C423))</f>
        <v/>
      </c>
      <c r="C423" s="49"/>
      <c r="D423" s="51"/>
      <c r="E423" s="53"/>
      <c r="F423" s="51"/>
      <c r="G423" s="51"/>
      <c r="H423" s="51"/>
      <c r="I423" s="51"/>
      <c r="J423" s="59"/>
      <c r="K423" s="60"/>
      <c r="L423" s="61"/>
      <c r="M423" s="62"/>
      <c r="N423" s="63" t="str">
        <f t="shared" si="78"/>
        <v/>
      </c>
      <c r="O423" s="64" t="str">
        <f t="shared" si="79"/>
        <v/>
      </c>
      <c r="P423" s="65" t="str">
        <f t="shared" si="80"/>
        <v/>
      </c>
      <c r="Q423" s="66" t="str">
        <f t="shared" si="86"/>
        <v/>
      </c>
      <c r="R423" s="51"/>
      <c r="S423" s="60"/>
      <c r="T423" s="52" t="str">
        <f t="shared" si="81"/>
        <v/>
      </c>
      <c r="U423" s="51"/>
      <c r="V423" s="56" t="str">
        <f t="shared" si="82"/>
        <v/>
      </c>
      <c r="X423" s="57" t="str">
        <f t="shared" si="83"/>
        <v/>
      </c>
      <c r="Y423" s="57">
        <f t="shared" si="84"/>
        <v>0</v>
      </c>
      <c r="Z423" s="57">
        <f t="shared" si="87"/>
        <v>59990</v>
      </c>
      <c r="AA423" s="57">
        <f t="shared" si="88"/>
        <v>0</v>
      </c>
      <c r="AB423" s="57">
        <f t="shared" si="85"/>
        <v>0.2</v>
      </c>
      <c r="AC423" s="57" t="str">
        <f t="shared" si="89"/>
        <v/>
      </c>
      <c r="AD423" s="57" t="str">
        <f t="shared" si="90"/>
        <v/>
      </c>
      <c r="AE423" s="57" t="str">
        <f>IF(AND($D423=RelConducteur,$S423="Oui",ISNUMBER($C423),$C423&gt;=RelDebut,$C423&lt;=RelFin),COUNTIFS($D$9:$D423,RelConducteur,$S$9:$S423,"Oui",$C$9:$C423,"&gt;="&amp;RelDebut,$C$9:$C423,"&lt;="&amp;RelFin),"")</f>
        <v/>
      </c>
    </row>
    <row r="424" spans="2:31" ht="18" customHeight="1" x14ac:dyDescent="0.25">
      <c r="B424" s="48" t="str">
        <f>IF(C424="","",COUNT($C$9:C424))</f>
        <v/>
      </c>
      <c r="C424" s="49"/>
      <c r="D424" s="51"/>
      <c r="E424" s="53"/>
      <c r="F424" s="51"/>
      <c r="G424" s="51"/>
      <c r="H424" s="51"/>
      <c r="I424" s="51"/>
      <c r="J424" s="59"/>
      <c r="K424" s="60"/>
      <c r="L424" s="61"/>
      <c r="M424" s="62"/>
      <c r="N424" s="63" t="str">
        <f t="shared" si="78"/>
        <v/>
      </c>
      <c r="O424" s="64" t="str">
        <f t="shared" si="79"/>
        <v/>
      </c>
      <c r="P424" s="65" t="str">
        <f t="shared" si="80"/>
        <v/>
      </c>
      <c r="Q424" s="66" t="str">
        <f t="shared" si="86"/>
        <v/>
      </c>
      <c r="R424" s="51"/>
      <c r="S424" s="60"/>
      <c r="T424" s="52" t="str">
        <f t="shared" si="81"/>
        <v/>
      </c>
      <c r="U424" s="51"/>
      <c r="V424" s="56" t="str">
        <f t="shared" si="82"/>
        <v/>
      </c>
      <c r="X424" s="57" t="str">
        <f t="shared" si="83"/>
        <v/>
      </c>
      <c r="Y424" s="57">
        <f t="shared" si="84"/>
        <v>0</v>
      </c>
      <c r="Z424" s="57">
        <f t="shared" si="87"/>
        <v>59990</v>
      </c>
      <c r="AA424" s="57">
        <f t="shared" si="88"/>
        <v>0</v>
      </c>
      <c r="AB424" s="57">
        <f t="shared" si="85"/>
        <v>0.2</v>
      </c>
      <c r="AC424" s="57" t="str">
        <f t="shared" si="89"/>
        <v/>
      </c>
      <c r="AD424" s="57" t="str">
        <f t="shared" si="90"/>
        <v/>
      </c>
      <c r="AE424" s="57" t="str">
        <f>IF(AND($D424=RelConducteur,$S424="Oui",ISNUMBER($C424),$C424&gt;=RelDebut,$C424&lt;=RelFin),COUNTIFS($D$9:$D424,RelConducteur,$S$9:$S424,"Oui",$C$9:$C424,"&gt;="&amp;RelDebut,$C$9:$C424,"&lt;="&amp;RelFin),"")</f>
        <v/>
      </c>
    </row>
    <row r="425" spans="2:31" ht="18" customHeight="1" x14ac:dyDescent="0.25">
      <c r="B425" s="48" t="str">
        <f>IF(C425="","",COUNT($C$9:C425))</f>
        <v/>
      </c>
      <c r="C425" s="49"/>
      <c r="D425" s="51"/>
      <c r="E425" s="53"/>
      <c r="F425" s="51"/>
      <c r="G425" s="51"/>
      <c r="H425" s="51"/>
      <c r="I425" s="51"/>
      <c r="J425" s="59"/>
      <c r="K425" s="60"/>
      <c r="L425" s="61"/>
      <c r="M425" s="62"/>
      <c r="N425" s="63" t="str">
        <f t="shared" si="78"/>
        <v/>
      </c>
      <c r="O425" s="64" t="str">
        <f t="shared" si="79"/>
        <v/>
      </c>
      <c r="P425" s="65" t="str">
        <f t="shared" si="80"/>
        <v/>
      </c>
      <c r="Q425" s="66" t="str">
        <f t="shared" si="86"/>
        <v/>
      </c>
      <c r="R425" s="51"/>
      <c r="S425" s="60"/>
      <c r="T425" s="52" t="str">
        <f t="shared" si="81"/>
        <v/>
      </c>
      <c r="U425" s="51"/>
      <c r="V425" s="56" t="str">
        <f t="shared" si="82"/>
        <v/>
      </c>
      <c r="X425" s="57" t="str">
        <f t="shared" si="83"/>
        <v/>
      </c>
      <c r="Y425" s="57">
        <f t="shared" si="84"/>
        <v>0</v>
      </c>
      <c r="Z425" s="57">
        <f t="shared" si="87"/>
        <v>59990</v>
      </c>
      <c r="AA425" s="57">
        <f t="shared" si="88"/>
        <v>0</v>
      </c>
      <c r="AB425" s="57">
        <f t="shared" si="85"/>
        <v>0.2</v>
      </c>
      <c r="AC425" s="57" t="str">
        <f t="shared" si="89"/>
        <v/>
      </c>
      <c r="AD425" s="57" t="str">
        <f t="shared" si="90"/>
        <v/>
      </c>
      <c r="AE425" s="57" t="str">
        <f>IF(AND($D425=RelConducteur,$S425="Oui",ISNUMBER($C425),$C425&gt;=RelDebut,$C425&lt;=RelFin),COUNTIFS($D$9:$D425,RelConducteur,$S$9:$S425,"Oui",$C$9:$C425,"&gt;="&amp;RelDebut,$C$9:$C425,"&lt;="&amp;RelFin),"")</f>
        <v/>
      </c>
    </row>
    <row r="426" spans="2:31" ht="18" customHeight="1" x14ac:dyDescent="0.25">
      <c r="B426" s="48" t="str">
        <f>IF(C426="","",COUNT($C$9:C426))</f>
        <v/>
      </c>
      <c r="C426" s="49"/>
      <c r="D426" s="51"/>
      <c r="E426" s="53"/>
      <c r="F426" s="51"/>
      <c r="G426" s="51"/>
      <c r="H426" s="51"/>
      <c r="I426" s="51"/>
      <c r="J426" s="59"/>
      <c r="K426" s="60"/>
      <c r="L426" s="61"/>
      <c r="M426" s="62"/>
      <c r="N426" s="63" t="str">
        <f t="shared" si="78"/>
        <v/>
      </c>
      <c r="O426" s="64" t="str">
        <f t="shared" si="79"/>
        <v/>
      </c>
      <c r="P426" s="65" t="str">
        <f t="shared" si="80"/>
        <v/>
      </c>
      <c r="Q426" s="66" t="str">
        <f t="shared" si="86"/>
        <v/>
      </c>
      <c r="R426" s="51"/>
      <c r="S426" s="60"/>
      <c r="T426" s="52" t="str">
        <f t="shared" si="81"/>
        <v/>
      </c>
      <c r="U426" s="51"/>
      <c r="V426" s="56" t="str">
        <f t="shared" si="82"/>
        <v/>
      </c>
      <c r="X426" s="57" t="str">
        <f t="shared" si="83"/>
        <v/>
      </c>
      <c r="Y426" s="57">
        <f t="shared" si="84"/>
        <v>0</v>
      </c>
      <c r="Z426" s="57">
        <f t="shared" si="87"/>
        <v>59990</v>
      </c>
      <c r="AA426" s="57">
        <f t="shared" si="88"/>
        <v>0</v>
      </c>
      <c r="AB426" s="57">
        <f t="shared" si="85"/>
        <v>0.2</v>
      </c>
      <c r="AC426" s="57" t="str">
        <f t="shared" si="89"/>
        <v/>
      </c>
      <c r="AD426" s="57" t="str">
        <f t="shared" si="90"/>
        <v/>
      </c>
      <c r="AE426" s="57" t="str">
        <f>IF(AND($D426=RelConducteur,$S426="Oui",ISNUMBER($C426),$C426&gt;=RelDebut,$C426&lt;=RelFin),COUNTIFS($D$9:$D426,RelConducteur,$S$9:$S426,"Oui",$C$9:$C426,"&gt;="&amp;RelDebut,$C$9:$C426,"&lt;="&amp;RelFin),"")</f>
        <v/>
      </c>
    </row>
    <row r="427" spans="2:31" ht="18" customHeight="1" x14ac:dyDescent="0.25">
      <c r="B427" s="48" t="str">
        <f>IF(C427="","",COUNT($C$9:C427))</f>
        <v/>
      </c>
      <c r="C427" s="49"/>
      <c r="D427" s="51"/>
      <c r="E427" s="53"/>
      <c r="F427" s="51"/>
      <c r="G427" s="51"/>
      <c r="H427" s="51"/>
      <c r="I427" s="51"/>
      <c r="J427" s="59"/>
      <c r="K427" s="60"/>
      <c r="L427" s="61"/>
      <c r="M427" s="62"/>
      <c r="N427" s="63" t="str">
        <f t="shared" si="78"/>
        <v/>
      </c>
      <c r="O427" s="64" t="str">
        <f t="shared" si="79"/>
        <v/>
      </c>
      <c r="P427" s="65" t="str">
        <f t="shared" si="80"/>
        <v/>
      </c>
      <c r="Q427" s="66" t="str">
        <f t="shared" si="86"/>
        <v/>
      </c>
      <c r="R427" s="51"/>
      <c r="S427" s="60"/>
      <c r="T427" s="52" t="str">
        <f t="shared" si="81"/>
        <v/>
      </c>
      <c r="U427" s="51"/>
      <c r="V427" s="56" t="str">
        <f t="shared" si="82"/>
        <v/>
      </c>
      <c r="X427" s="57" t="str">
        <f t="shared" si="83"/>
        <v/>
      </c>
      <c r="Y427" s="57">
        <f t="shared" si="84"/>
        <v>0</v>
      </c>
      <c r="Z427" s="57">
        <f t="shared" si="87"/>
        <v>59990</v>
      </c>
      <c r="AA427" s="57">
        <f t="shared" si="88"/>
        <v>0</v>
      </c>
      <c r="AB427" s="57">
        <f t="shared" si="85"/>
        <v>0.2</v>
      </c>
      <c r="AC427" s="57" t="str">
        <f t="shared" si="89"/>
        <v/>
      </c>
      <c r="AD427" s="57" t="str">
        <f t="shared" si="90"/>
        <v/>
      </c>
      <c r="AE427" s="57" t="str">
        <f>IF(AND($D427=RelConducteur,$S427="Oui",ISNUMBER($C427),$C427&gt;=RelDebut,$C427&lt;=RelFin),COUNTIFS($D$9:$D427,RelConducteur,$S$9:$S427,"Oui",$C$9:$C427,"&gt;="&amp;RelDebut,$C$9:$C427,"&lt;="&amp;RelFin),"")</f>
        <v/>
      </c>
    </row>
    <row r="428" spans="2:31" ht="18" customHeight="1" x14ac:dyDescent="0.25">
      <c r="B428" s="48" t="str">
        <f>IF(C428="","",COUNT($C$9:C428))</f>
        <v/>
      </c>
      <c r="C428" s="49"/>
      <c r="D428" s="51"/>
      <c r="E428" s="53"/>
      <c r="F428" s="51"/>
      <c r="G428" s="51"/>
      <c r="H428" s="51"/>
      <c r="I428" s="51"/>
      <c r="J428" s="59"/>
      <c r="K428" s="60"/>
      <c r="L428" s="61"/>
      <c r="M428" s="62"/>
      <c r="N428" s="63" t="str">
        <f t="shared" si="78"/>
        <v/>
      </c>
      <c r="O428" s="64" t="str">
        <f t="shared" si="79"/>
        <v/>
      </c>
      <c r="P428" s="65" t="str">
        <f t="shared" si="80"/>
        <v/>
      </c>
      <c r="Q428" s="66" t="str">
        <f t="shared" si="86"/>
        <v/>
      </c>
      <c r="R428" s="51"/>
      <c r="S428" s="60"/>
      <c r="T428" s="52" t="str">
        <f t="shared" si="81"/>
        <v/>
      </c>
      <c r="U428" s="51"/>
      <c r="V428" s="56" t="str">
        <f t="shared" si="82"/>
        <v/>
      </c>
      <c r="X428" s="57" t="str">
        <f t="shared" si="83"/>
        <v/>
      </c>
      <c r="Y428" s="57">
        <f t="shared" si="84"/>
        <v>0</v>
      </c>
      <c r="Z428" s="57">
        <f t="shared" si="87"/>
        <v>59990</v>
      </c>
      <c r="AA428" s="57">
        <f t="shared" si="88"/>
        <v>0</v>
      </c>
      <c r="AB428" s="57">
        <f t="shared" si="85"/>
        <v>0.2</v>
      </c>
      <c r="AC428" s="57" t="str">
        <f t="shared" si="89"/>
        <v/>
      </c>
      <c r="AD428" s="57" t="str">
        <f t="shared" si="90"/>
        <v/>
      </c>
      <c r="AE428" s="57" t="str">
        <f>IF(AND($D428=RelConducteur,$S428="Oui",ISNUMBER($C428),$C428&gt;=RelDebut,$C428&lt;=RelFin),COUNTIFS($D$9:$D428,RelConducteur,$S$9:$S428,"Oui",$C$9:$C428,"&gt;="&amp;RelDebut,$C$9:$C428,"&lt;="&amp;RelFin),"")</f>
        <v/>
      </c>
    </row>
    <row r="429" spans="2:31" ht="18" customHeight="1" x14ac:dyDescent="0.25">
      <c r="B429" s="48" t="str">
        <f>IF(C429="","",COUNT($C$9:C429))</f>
        <v/>
      </c>
      <c r="C429" s="49"/>
      <c r="D429" s="51"/>
      <c r="E429" s="53"/>
      <c r="F429" s="51"/>
      <c r="G429" s="51"/>
      <c r="H429" s="51"/>
      <c r="I429" s="51"/>
      <c r="J429" s="59"/>
      <c r="K429" s="60"/>
      <c r="L429" s="61"/>
      <c r="M429" s="62"/>
      <c r="N429" s="63" t="str">
        <f t="shared" si="78"/>
        <v/>
      </c>
      <c r="O429" s="64" t="str">
        <f t="shared" si="79"/>
        <v/>
      </c>
      <c r="P429" s="65" t="str">
        <f t="shared" si="80"/>
        <v/>
      </c>
      <c r="Q429" s="66" t="str">
        <f t="shared" si="86"/>
        <v/>
      </c>
      <c r="R429" s="51"/>
      <c r="S429" s="60"/>
      <c r="T429" s="52" t="str">
        <f t="shared" si="81"/>
        <v/>
      </c>
      <c r="U429" s="51"/>
      <c r="V429" s="56" t="str">
        <f t="shared" si="82"/>
        <v/>
      </c>
      <c r="X429" s="57" t="str">
        <f t="shared" si="83"/>
        <v/>
      </c>
      <c r="Y429" s="57">
        <f t="shared" si="84"/>
        <v>0</v>
      </c>
      <c r="Z429" s="57">
        <f t="shared" si="87"/>
        <v>59990</v>
      </c>
      <c r="AA429" s="57">
        <f t="shared" si="88"/>
        <v>0</v>
      </c>
      <c r="AB429" s="57">
        <f t="shared" si="85"/>
        <v>0.2</v>
      </c>
      <c r="AC429" s="57" t="str">
        <f t="shared" si="89"/>
        <v/>
      </c>
      <c r="AD429" s="57" t="str">
        <f t="shared" si="90"/>
        <v/>
      </c>
      <c r="AE429" s="57" t="str">
        <f>IF(AND($D429=RelConducteur,$S429="Oui",ISNUMBER($C429),$C429&gt;=RelDebut,$C429&lt;=RelFin),COUNTIFS($D$9:$D429,RelConducteur,$S$9:$S429,"Oui",$C$9:$C429,"&gt;="&amp;RelDebut,$C$9:$C429,"&lt;="&amp;RelFin),"")</f>
        <v/>
      </c>
    </row>
    <row r="430" spans="2:31" ht="18" customHeight="1" x14ac:dyDescent="0.25">
      <c r="B430" s="48" t="str">
        <f>IF(C430="","",COUNT($C$9:C430))</f>
        <v/>
      </c>
      <c r="C430" s="49"/>
      <c r="D430" s="51"/>
      <c r="E430" s="53"/>
      <c r="F430" s="51"/>
      <c r="G430" s="51"/>
      <c r="H430" s="51"/>
      <c r="I430" s="51"/>
      <c r="J430" s="59"/>
      <c r="K430" s="60"/>
      <c r="L430" s="61"/>
      <c r="M430" s="62"/>
      <c r="N430" s="63" t="str">
        <f t="shared" si="78"/>
        <v/>
      </c>
      <c r="O430" s="64" t="str">
        <f t="shared" si="79"/>
        <v/>
      </c>
      <c r="P430" s="65" t="str">
        <f t="shared" si="80"/>
        <v/>
      </c>
      <c r="Q430" s="66" t="str">
        <f t="shared" si="86"/>
        <v/>
      </c>
      <c r="R430" s="51"/>
      <c r="S430" s="60"/>
      <c r="T430" s="52" t="str">
        <f t="shared" si="81"/>
        <v/>
      </c>
      <c r="U430" s="51"/>
      <c r="V430" s="56" t="str">
        <f t="shared" si="82"/>
        <v/>
      </c>
      <c r="X430" s="57" t="str">
        <f t="shared" si="83"/>
        <v/>
      </c>
      <c r="Y430" s="57">
        <f t="shared" si="84"/>
        <v>0</v>
      </c>
      <c r="Z430" s="57">
        <f t="shared" si="87"/>
        <v>59990</v>
      </c>
      <c r="AA430" s="57">
        <f t="shared" si="88"/>
        <v>0</v>
      </c>
      <c r="AB430" s="57">
        <f t="shared" si="85"/>
        <v>0.2</v>
      </c>
      <c r="AC430" s="57" t="str">
        <f t="shared" si="89"/>
        <v/>
      </c>
      <c r="AD430" s="57" t="str">
        <f t="shared" si="90"/>
        <v/>
      </c>
      <c r="AE430" s="57" t="str">
        <f>IF(AND($D430=RelConducteur,$S430="Oui",ISNUMBER($C430),$C430&gt;=RelDebut,$C430&lt;=RelFin),COUNTIFS($D$9:$D430,RelConducteur,$S$9:$S430,"Oui",$C$9:$C430,"&gt;="&amp;RelDebut,$C$9:$C430,"&lt;="&amp;RelFin),"")</f>
        <v/>
      </c>
    </row>
    <row r="431" spans="2:31" ht="18" customHeight="1" x14ac:dyDescent="0.25">
      <c r="B431" s="48" t="str">
        <f>IF(C431="","",COUNT($C$9:C431))</f>
        <v/>
      </c>
      <c r="C431" s="49"/>
      <c r="D431" s="51"/>
      <c r="E431" s="53"/>
      <c r="F431" s="51"/>
      <c r="G431" s="51"/>
      <c r="H431" s="51"/>
      <c r="I431" s="51"/>
      <c r="J431" s="59"/>
      <c r="K431" s="60"/>
      <c r="L431" s="61"/>
      <c r="M431" s="62"/>
      <c r="N431" s="63" t="str">
        <f t="shared" si="78"/>
        <v/>
      </c>
      <c r="O431" s="64" t="str">
        <f t="shared" si="79"/>
        <v/>
      </c>
      <c r="P431" s="65" t="str">
        <f t="shared" si="80"/>
        <v/>
      </c>
      <c r="Q431" s="66" t="str">
        <f t="shared" si="86"/>
        <v/>
      </c>
      <c r="R431" s="51"/>
      <c r="S431" s="60"/>
      <c r="T431" s="52" t="str">
        <f t="shared" si="81"/>
        <v/>
      </c>
      <c r="U431" s="51"/>
      <c r="V431" s="56" t="str">
        <f t="shared" si="82"/>
        <v/>
      </c>
      <c r="X431" s="57" t="str">
        <f t="shared" si="83"/>
        <v/>
      </c>
      <c r="Y431" s="57">
        <f t="shared" si="84"/>
        <v>0</v>
      </c>
      <c r="Z431" s="57">
        <f t="shared" si="87"/>
        <v>59990</v>
      </c>
      <c r="AA431" s="57">
        <f t="shared" si="88"/>
        <v>0</v>
      </c>
      <c r="AB431" s="57">
        <f t="shared" si="85"/>
        <v>0.2</v>
      </c>
      <c r="AC431" s="57" t="str">
        <f t="shared" si="89"/>
        <v/>
      </c>
      <c r="AD431" s="57" t="str">
        <f t="shared" si="90"/>
        <v/>
      </c>
      <c r="AE431" s="57" t="str">
        <f>IF(AND($D431=RelConducteur,$S431="Oui",ISNUMBER($C431),$C431&gt;=RelDebut,$C431&lt;=RelFin),COUNTIFS($D$9:$D431,RelConducteur,$S$9:$S431,"Oui",$C$9:$C431,"&gt;="&amp;RelDebut,$C$9:$C431,"&lt;="&amp;RelFin),"")</f>
        <v/>
      </c>
    </row>
    <row r="432" spans="2:31" ht="18" customHeight="1" x14ac:dyDescent="0.25">
      <c r="B432" s="48" t="str">
        <f>IF(C432="","",COUNT($C$9:C432))</f>
        <v/>
      </c>
      <c r="C432" s="49"/>
      <c r="D432" s="51"/>
      <c r="E432" s="53"/>
      <c r="F432" s="51"/>
      <c r="G432" s="51"/>
      <c r="H432" s="51"/>
      <c r="I432" s="51"/>
      <c r="J432" s="59"/>
      <c r="K432" s="60"/>
      <c r="L432" s="61"/>
      <c r="M432" s="62"/>
      <c r="N432" s="63" t="str">
        <f t="shared" si="78"/>
        <v/>
      </c>
      <c r="O432" s="64" t="str">
        <f t="shared" si="79"/>
        <v/>
      </c>
      <c r="P432" s="65" t="str">
        <f t="shared" si="80"/>
        <v/>
      </c>
      <c r="Q432" s="66" t="str">
        <f t="shared" si="86"/>
        <v/>
      </c>
      <c r="R432" s="51"/>
      <c r="S432" s="60"/>
      <c r="T432" s="52" t="str">
        <f t="shared" si="81"/>
        <v/>
      </c>
      <c r="U432" s="51"/>
      <c r="V432" s="56" t="str">
        <f t="shared" si="82"/>
        <v/>
      </c>
      <c r="X432" s="57" t="str">
        <f t="shared" si="83"/>
        <v/>
      </c>
      <c r="Y432" s="57">
        <f t="shared" si="84"/>
        <v>0</v>
      </c>
      <c r="Z432" s="57">
        <f t="shared" si="87"/>
        <v>59990</v>
      </c>
      <c r="AA432" s="57">
        <f t="shared" si="88"/>
        <v>0</v>
      </c>
      <c r="AB432" s="57">
        <f t="shared" si="85"/>
        <v>0.2</v>
      </c>
      <c r="AC432" s="57" t="str">
        <f t="shared" si="89"/>
        <v/>
      </c>
      <c r="AD432" s="57" t="str">
        <f t="shared" si="90"/>
        <v/>
      </c>
      <c r="AE432" s="57" t="str">
        <f>IF(AND($D432=RelConducteur,$S432="Oui",ISNUMBER($C432),$C432&gt;=RelDebut,$C432&lt;=RelFin),COUNTIFS($D$9:$D432,RelConducteur,$S$9:$S432,"Oui",$C$9:$C432,"&gt;="&amp;RelDebut,$C$9:$C432,"&lt;="&amp;RelFin),"")</f>
        <v/>
      </c>
    </row>
    <row r="433" spans="2:31" ht="18" customHeight="1" x14ac:dyDescent="0.25">
      <c r="B433" s="48" t="str">
        <f>IF(C433="","",COUNT($C$9:C433))</f>
        <v/>
      </c>
      <c r="C433" s="49"/>
      <c r="D433" s="51"/>
      <c r="E433" s="53"/>
      <c r="F433" s="51"/>
      <c r="G433" s="51"/>
      <c r="H433" s="51"/>
      <c r="I433" s="51"/>
      <c r="J433" s="59"/>
      <c r="K433" s="60"/>
      <c r="L433" s="61"/>
      <c r="M433" s="62"/>
      <c r="N433" s="63" t="str">
        <f t="shared" si="78"/>
        <v/>
      </c>
      <c r="O433" s="64" t="str">
        <f t="shared" si="79"/>
        <v/>
      </c>
      <c r="P433" s="65" t="str">
        <f t="shared" si="80"/>
        <v/>
      </c>
      <c r="Q433" s="66" t="str">
        <f t="shared" si="86"/>
        <v/>
      </c>
      <c r="R433" s="51"/>
      <c r="S433" s="60"/>
      <c r="T433" s="52" t="str">
        <f t="shared" si="81"/>
        <v/>
      </c>
      <c r="U433" s="51"/>
      <c r="V433" s="56" t="str">
        <f t="shared" si="82"/>
        <v/>
      </c>
      <c r="X433" s="57" t="str">
        <f t="shared" si="83"/>
        <v/>
      </c>
      <c r="Y433" s="57">
        <f t="shared" si="84"/>
        <v>0</v>
      </c>
      <c r="Z433" s="57">
        <f t="shared" si="87"/>
        <v>59990</v>
      </c>
      <c r="AA433" s="57">
        <f t="shared" si="88"/>
        <v>0</v>
      </c>
      <c r="AB433" s="57">
        <f t="shared" si="85"/>
        <v>0.2</v>
      </c>
      <c r="AC433" s="57" t="str">
        <f t="shared" si="89"/>
        <v/>
      </c>
      <c r="AD433" s="57" t="str">
        <f t="shared" si="90"/>
        <v/>
      </c>
      <c r="AE433" s="57" t="str">
        <f>IF(AND($D433=RelConducteur,$S433="Oui",ISNUMBER($C433),$C433&gt;=RelDebut,$C433&lt;=RelFin),COUNTIFS($D$9:$D433,RelConducteur,$S$9:$S433,"Oui",$C$9:$C433,"&gt;="&amp;RelDebut,$C$9:$C433,"&lt;="&amp;RelFin),"")</f>
        <v/>
      </c>
    </row>
    <row r="434" spans="2:31" ht="18" customHeight="1" x14ac:dyDescent="0.25">
      <c r="B434" s="48" t="str">
        <f>IF(C434="","",COUNT($C$9:C434))</f>
        <v/>
      </c>
      <c r="C434" s="49"/>
      <c r="D434" s="51"/>
      <c r="E434" s="53"/>
      <c r="F434" s="51"/>
      <c r="G434" s="51"/>
      <c r="H434" s="51"/>
      <c r="I434" s="51"/>
      <c r="J434" s="59"/>
      <c r="K434" s="60"/>
      <c r="L434" s="61"/>
      <c r="M434" s="62"/>
      <c r="N434" s="63" t="str">
        <f t="shared" si="78"/>
        <v/>
      </c>
      <c r="O434" s="64" t="str">
        <f t="shared" si="79"/>
        <v/>
      </c>
      <c r="P434" s="65" t="str">
        <f t="shared" si="80"/>
        <v/>
      </c>
      <c r="Q434" s="66" t="str">
        <f t="shared" si="86"/>
        <v/>
      </c>
      <c r="R434" s="51"/>
      <c r="S434" s="60"/>
      <c r="T434" s="52" t="str">
        <f t="shared" si="81"/>
        <v/>
      </c>
      <c r="U434" s="51"/>
      <c r="V434" s="56" t="str">
        <f t="shared" si="82"/>
        <v/>
      </c>
      <c r="X434" s="57" t="str">
        <f t="shared" si="83"/>
        <v/>
      </c>
      <c r="Y434" s="57">
        <f t="shared" si="84"/>
        <v>0</v>
      </c>
      <c r="Z434" s="57">
        <f t="shared" si="87"/>
        <v>59990</v>
      </c>
      <c r="AA434" s="57">
        <f t="shared" si="88"/>
        <v>0</v>
      </c>
      <c r="AB434" s="57">
        <f t="shared" si="85"/>
        <v>0.2</v>
      </c>
      <c r="AC434" s="57" t="str">
        <f t="shared" si="89"/>
        <v/>
      </c>
      <c r="AD434" s="57" t="str">
        <f t="shared" si="90"/>
        <v/>
      </c>
      <c r="AE434" s="57" t="str">
        <f>IF(AND($D434=RelConducteur,$S434="Oui",ISNUMBER($C434),$C434&gt;=RelDebut,$C434&lt;=RelFin),COUNTIFS($D$9:$D434,RelConducteur,$S$9:$S434,"Oui",$C$9:$C434,"&gt;="&amp;RelDebut,$C$9:$C434,"&lt;="&amp;RelFin),"")</f>
        <v/>
      </c>
    </row>
    <row r="435" spans="2:31" ht="18" customHeight="1" x14ac:dyDescent="0.25">
      <c r="B435" s="48" t="str">
        <f>IF(C435="","",COUNT($C$9:C435))</f>
        <v/>
      </c>
      <c r="C435" s="49"/>
      <c r="D435" s="51"/>
      <c r="E435" s="53"/>
      <c r="F435" s="51"/>
      <c r="G435" s="51"/>
      <c r="H435" s="51"/>
      <c r="I435" s="51"/>
      <c r="J435" s="59"/>
      <c r="K435" s="60"/>
      <c r="L435" s="61"/>
      <c r="M435" s="62"/>
      <c r="N435" s="63" t="str">
        <f t="shared" si="78"/>
        <v/>
      </c>
      <c r="O435" s="64" t="str">
        <f t="shared" si="79"/>
        <v/>
      </c>
      <c r="P435" s="65" t="str">
        <f t="shared" si="80"/>
        <v/>
      </c>
      <c r="Q435" s="66" t="str">
        <f t="shared" si="86"/>
        <v/>
      </c>
      <c r="R435" s="51"/>
      <c r="S435" s="60"/>
      <c r="T435" s="52" t="str">
        <f t="shared" si="81"/>
        <v/>
      </c>
      <c r="U435" s="51"/>
      <c r="V435" s="56" t="str">
        <f t="shared" si="82"/>
        <v/>
      </c>
      <c r="X435" s="57" t="str">
        <f t="shared" si="83"/>
        <v/>
      </c>
      <c r="Y435" s="57">
        <f t="shared" si="84"/>
        <v>0</v>
      </c>
      <c r="Z435" s="57">
        <f t="shared" si="87"/>
        <v>59990</v>
      </c>
      <c r="AA435" s="57">
        <f t="shared" si="88"/>
        <v>0</v>
      </c>
      <c r="AB435" s="57">
        <f t="shared" si="85"/>
        <v>0.2</v>
      </c>
      <c r="AC435" s="57" t="str">
        <f t="shared" si="89"/>
        <v/>
      </c>
      <c r="AD435" s="57" t="str">
        <f t="shared" si="90"/>
        <v/>
      </c>
      <c r="AE435" s="57" t="str">
        <f>IF(AND($D435=RelConducteur,$S435="Oui",ISNUMBER($C435),$C435&gt;=RelDebut,$C435&lt;=RelFin),COUNTIFS($D$9:$D435,RelConducteur,$S$9:$S435,"Oui",$C$9:$C435,"&gt;="&amp;RelDebut,$C$9:$C435,"&lt;="&amp;RelFin),"")</f>
        <v/>
      </c>
    </row>
    <row r="436" spans="2:31" ht="18" customHeight="1" x14ac:dyDescent="0.25">
      <c r="B436" s="48" t="str">
        <f>IF(C436="","",COUNT($C$9:C436))</f>
        <v/>
      </c>
      <c r="C436" s="49"/>
      <c r="D436" s="51"/>
      <c r="E436" s="53"/>
      <c r="F436" s="51"/>
      <c r="G436" s="51"/>
      <c r="H436" s="51"/>
      <c r="I436" s="51"/>
      <c r="J436" s="59"/>
      <c r="K436" s="60"/>
      <c r="L436" s="61"/>
      <c r="M436" s="62"/>
      <c r="N436" s="63" t="str">
        <f t="shared" si="78"/>
        <v/>
      </c>
      <c r="O436" s="64" t="str">
        <f t="shared" si="79"/>
        <v/>
      </c>
      <c r="P436" s="65" t="str">
        <f t="shared" si="80"/>
        <v/>
      </c>
      <c r="Q436" s="66" t="str">
        <f t="shared" si="86"/>
        <v/>
      </c>
      <c r="R436" s="51"/>
      <c r="S436" s="60"/>
      <c r="T436" s="52" t="str">
        <f t="shared" si="81"/>
        <v/>
      </c>
      <c r="U436" s="51"/>
      <c r="V436" s="56" t="str">
        <f t="shared" si="82"/>
        <v/>
      </c>
      <c r="X436" s="57" t="str">
        <f t="shared" si="83"/>
        <v/>
      </c>
      <c r="Y436" s="57">
        <f t="shared" si="84"/>
        <v>0</v>
      </c>
      <c r="Z436" s="57">
        <f t="shared" si="87"/>
        <v>59990</v>
      </c>
      <c r="AA436" s="57">
        <f t="shared" si="88"/>
        <v>0</v>
      </c>
      <c r="AB436" s="57">
        <f t="shared" si="85"/>
        <v>0.2</v>
      </c>
      <c r="AC436" s="57" t="str">
        <f t="shared" si="89"/>
        <v/>
      </c>
      <c r="AD436" s="57" t="str">
        <f t="shared" si="90"/>
        <v/>
      </c>
      <c r="AE436" s="57" t="str">
        <f>IF(AND($D436=RelConducteur,$S436="Oui",ISNUMBER($C436),$C436&gt;=RelDebut,$C436&lt;=RelFin),COUNTIFS($D$9:$D436,RelConducteur,$S$9:$S436,"Oui",$C$9:$C436,"&gt;="&amp;RelDebut,$C$9:$C436,"&lt;="&amp;RelFin),"")</f>
        <v/>
      </c>
    </row>
    <row r="437" spans="2:31" ht="18" customHeight="1" x14ac:dyDescent="0.25">
      <c r="B437" s="48" t="str">
        <f>IF(C437="","",COUNT($C$9:C437))</f>
        <v/>
      </c>
      <c r="C437" s="49"/>
      <c r="D437" s="51"/>
      <c r="E437" s="53"/>
      <c r="F437" s="51"/>
      <c r="G437" s="51"/>
      <c r="H437" s="51"/>
      <c r="I437" s="51"/>
      <c r="J437" s="59"/>
      <c r="K437" s="60"/>
      <c r="L437" s="61"/>
      <c r="M437" s="62"/>
      <c r="N437" s="63" t="str">
        <f t="shared" si="78"/>
        <v/>
      </c>
      <c r="O437" s="64" t="str">
        <f t="shared" si="79"/>
        <v/>
      </c>
      <c r="P437" s="65" t="str">
        <f t="shared" si="80"/>
        <v/>
      </c>
      <c r="Q437" s="66" t="str">
        <f t="shared" si="86"/>
        <v/>
      </c>
      <c r="R437" s="51"/>
      <c r="S437" s="60"/>
      <c r="T437" s="52" t="str">
        <f t="shared" si="81"/>
        <v/>
      </c>
      <c r="U437" s="51"/>
      <c r="V437" s="56" t="str">
        <f t="shared" si="82"/>
        <v/>
      </c>
      <c r="X437" s="57" t="str">
        <f t="shared" si="83"/>
        <v/>
      </c>
      <c r="Y437" s="57">
        <f t="shared" si="84"/>
        <v>0</v>
      </c>
      <c r="Z437" s="57">
        <f t="shared" si="87"/>
        <v>59990</v>
      </c>
      <c r="AA437" s="57">
        <f t="shared" si="88"/>
        <v>0</v>
      </c>
      <c r="AB437" s="57">
        <f t="shared" si="85"/>
        <v>0.2</v>
      </c>
      <c r="AC437" s="57" t="str">
        <f t="shared" si="89"/>
        <v/>
      </c>
      <c r="AD437" s="57" t="str">
        <f t="shared" si="90"/>
        <v/>
      </c>
      <c r="AE437" s="57" t="str">
        <f>IF(AND($D437=RelConducteur,$S437="Oui",ISNUMBER($C437),$C437&gt;=RelDebut,$C437&lt;=RelFin),COUNTIFS($D$9:$D437,RelConducteur,$S$9:$S437,"Oui",$C$9:$C437,"&gt;="&amp;RelDebut,$C$9:$C437,"&lt;="&amp;RelFin),"")</f>
        <v/>
      </c>
    </row>
    <row r="438" spans="2:31" ht="18" customHeight="1" x14ac:dyDescent="0.25">
      <c r="B438" s="48" t="str">
        <f>IF(C438="","",COUNT($C$9:C438))</f>
        <v/>
      </c>
      <c r="C438" s="49"/>
      <c r="D438" s="51"/>
      <c r="E438" s="53"/>
      <c r="F438" s="51"/>
      <c r="G438" s="51"/>
      <c r="H438" s="51"/>
      <c r="I438" s="51"/>
      <c r="J438" s="59"/>
      <c r="K438" s="60"/>
      <c r="L438" s="61"/>
      <c r="M438" s="62"/>
      <c r="N438" s="63" t="str">
        <f t="shared" si="78"/>
        <v/>
      </c>
      <c r="O438" s="64" t="str">
        <f t="shared" si="79"/>
        <v/>
      </c>
      <c r="P438" s="65" t="str">
        <f t="shared" si="80"/>
        <v/>
      </c>
      <c r="Q438" s="66" t="str">
        <f t="shared" si="86"/>
        <v/>
      </c>
      <c r="R438" s="51"/>
      <c r="S438" s="60"/>
      <c r="T438" s="52" t="str">
        <f t="shared" si="81"/>
        <v/>
      </c>
      <c r="U438" s="51"/>
      <c r="V438" s="56" t="str">
        <f t="shared" si="82"/>
        <v/>
      </c>
      <c r="X438" s="57" t="str">
        <f t="shared" si="83"/>
        <v/>
      </c>
      <c r="Y438" s="57">
        <f t="shared" si="84"/>
        <v>0</v>
      </c>
      <c r="Z438" s="57">
        <f t="shared" si="87"/>
        <v>59990</v>
      </c>
      <c r="AA438" s="57">
        <f t="shared" si="88"/>
        <v>0</v>
      </c>
      <c r="AB438" s="57">
        <f t="shared" si="85"/>
        <v>0.2</v>
      </c>
      <c r="AC438" s="57" t="str">
        <f t="shared" si="89"/>
        <v/>
      </c>
      <c r="AD438" s="57" t="str">
        <f t="shared" si="90"/>
        <v/>
      </c>
      <c r="AE438" s="57" t="str">
        <f>IF(AND($D438=RelConducteur,$S438="Oui",ISNUMBER($C438),$C438&gt;=RelDebut,$C438&lt;=RelFin),COUNTIFS($D$9:$D438,RelConducteur,$S$9:$S438,"Oui",$C$9:$C438,"&gt;="&amp;RelDebut,$C$9:$C438,"&lt;="&amp;RelFin),"")</f>
        <v/>
      </c>
    </row>
    <row r="439" spans="2:31" ht="18" customHeight="1" x14ac:dyDescent="0.25">
      <c r="B439" s="48" t="str">
        <f>IF(C439="","",COUNT($C$9:C439))</f>
        <v/>
      </c>
      <c r="C439" s="49"/>
      <c r="D439" s="51"/>
      <c r="E439" s="53"/>
      <c r="F439" s="51"/>
      <c r="G439" s="51"/>
      <c r="H439" s="51"/>
      <c r="I439" s="51"/>
      <c r="J439" s="59"/>
      <c r="K439" s="60"/>
      <c r="L439" s="61"/>
      <c r="M439" s="62"/>
      <c r="N439" s="63" t="str">
        <f t="shared" si="78"/>
        <v/>
      </c>
      <c r="O439" s="64" t="str">
        <f t="shared" si="79"/>
        <v/>
      </c>
      <c r="P439" s="65" t="str">
        <f t="shared" si="80"/>
        <v/>
      </c>
      <c r="Q439" s="66" t="str">
        <f t="shared" si="86"/>
        <v/>
      </c>
      <c r="R439" s="51"/>
      <c r="S439" s="60"/>
      <c r="T439" s="52" t="str">
        <f t="shared" si="81"/>
        <v/>
      </c>
      <c r="U439" s="51"/>
      <c r="V439" s="56" t="str">
        <f t="shared" si="82"/>
        <v/>
      </c>
      <c r="X439" s="57" t="str">
        <f t="shared" si="83"/>
        <v/>
      </c>
      <c r="Y439" s="57">
        <f t="shared" si="84"/>
        <v>0</v>
      </c>
      <c r="Z439" s="57">
        <f t="shared" si="87"/>
        <v>59990</v>
      </c>
      <c r="AA439" s="57">
        <f t="shared" si="88"/>
        <v>0</v>
      </c>
      <c r="AB439" s="57">
        <f t="shared" si="85"/>
        <v>0.2</v>
      </c>
      <c r="AC439" s="57" t="str">
        <f t="shared" si="89"/>
        <v/>
      </c>
      <c r="AD439" s="57" t="str">
        <f t="shared" si="90"/>
        <v/>
      </c>
      <c r="AE439" s="57" t="str">
        <f>IF(AND($D439=RelConducteur,$S439="Oui",ISNUMBER($C439),$C439&gt;=RelDebut,$C439&lt;=RelFin),COUNTIFS($D$9:$D439,RelConducteur,$S$9:$S439,"Oui",$C$9:$C439,"&gt;="&amp;RelDebut,$C$9:$C439,"&lt;="&amp;RelFin),"")</f>
        <v/>
      </c>
    </row>
    <row r="440" spans="2:31" ht="18" customHeight="1" x14ac:dyDescent="0.25">
      <c r="B440" s="48" t="str">
        <f>IF(C440="","",COUNT($C$9:C440))</f>
        <v/>
      </c>
      <c r="C440" s="49"/>
      <c r="D440" s="51"/>
      <c r="E440" s="53"/>
      <c r="F440" s="51"/>
      <c r="G440" s="51"/>
      <c r="H440" s="51"/>
      <c r="I440" s="51"/>
      <c r="J440" s="59"/>
      <c r="K440" s="60"/>
      <c r="L440" s="61"/>
      <c r="M440" s="62"/>
      <c r="N440" s="63" t="str">
        <f t="shared" si="78"/>
        <v/>
      </c>
      <c r="O440" s="64" t="str">
        <f t="shared" si="79"/>
        <v/>
      </c>
      <c r="P440" s="65" t="str">
        <f t="shared" si="80"/>
        <v/>
      </c>
      <c r="Q440" s="66" t="str">
        <f t="shared" si="86"/>
        <v/>
      </c>
      <c r="R440" s="51"/>
      <c r="S440" s="60"/>
      <c r="T440" s="52" t="str">
        <f t="shared" si="81"/>
        <v/>
      </c>
      <c r="U440" s="51"/>
      <c r="V440" s="56" t="str">
        <f t="shared" si="82"/>
        <v/>
      </c>
      <c r="X440" s="57" t="str">
        <f t="shared" si="83"/>
        <v/>
      </c>
      <c r="Y440" s="57">
        <f t="shared" si="84"/>
        <v>0</v>
      </c>
      <c r="Z440" s="57">
        <f t="shared" si="87"/>
        <v>59990</v>
      </c>
      <c r="AA440" s="57">
        <f t="shared" si="88"/>
        <v>0</v>
      </c>
      <c r="AB440" s="57">
        <f t="shared" si="85"/>
        <v>0.2</v>
      </c>
      <c r="AC440" s="57" t="str">
        <f t="shared" si="89"/>
        <v/>
      </c>
      <c r="AD440" s="57" t="str">
        <f t="shared" si="90"/>
        <v/>
      </c>
      <c r="AE440" s="57" t="str">
        <f>IF(AND($D440=RelConducteur,$S440="Oui",ISNUMBER($C440),$C440&gt;=RelDebut,$C440&lt;=RelFin),COUNTIFS($D$9:$D440,RelConducteur,$S$9:$S440,"Oui",$C$9:$C440,"&gt;="&amp;RelDebut,$C$9:$C440,"&lt;="&amp;RelFin),"")</f>
        <v/>
      </c>
    </row>
    <row r="441" spans="2:31" ht="18" customHeight="1" x14ac:dyDescent="0.25">
      <c r="B441" s="48" t="str">
        <f>IF(C441="","",COUNT($C$9:C441))</f>
        <v/>
      </c>
      <c r="C441" s="49"/>
      <c r="D441" s="51"/>
      <c r="E441" s="53"/>
      <c r="F441" s="51"/>
      <c r="G441" s="51"/>
      <c r="H441" s="51"/>
      <c r="I441" s="51"/>
      <c r="J441" s="59"/>
      <c r="K441" s="60"/>
      <c r="L441" s="61"/>
      <c r="M441" s="62"/>
      <c r="N441" s="63" t="str">
        <f t="shared" si="78"/>
        <v/>
      </c>
      <c r="O441" s="64" t="str">
        <f t="shared" si="79"/>
        <v/>
      </c>
      <c r="P441" s="65" t="str">
        <f t="shared" si="80"/>
        <v/>
      </c>
      <c r="Q441" s="66" t="str">
        <f t="shared" si="86"/>
        <v/>
      </c>
      <c r="R441" s="51"/>
      <c r="S441" s="60"/>
      <c r="T441" s="52" t="str">
        <f t="shared" si="81"/>
        <v/>
      </c>
      <c r="U441" s="51"/>
      <c r="V441" s="56" t="str">
        <f t="shared" si="82"/>
        <v/>
      </c>
      <c r="X441" s="57" t="str">
        <f t="shared" si="83"/>
        <v/>
      </c>
      <c r="Y441" s="57">
        <f t="shared" si="84"/>
        <v>0</v>
      </c>
      <c r="Z441" s="57">
        <f t="shared" si="87"/>
        <v>59990</v>
      </c>
      <c r="AA441" s="57">
        <f t="shared" si="88"/>
        <v>0</v>
      </c>
      <c r="AB441" s="57">
        <f t="shared" si="85"/>
        <v>0.2</v>
      </c>
      <c r="AC441" s="57" t="str">
        <f t="shared" si="89"/>
        <v/>
      </c>
      <c r="AD441" s="57" t="str">
        <f t="shared" si="90"/>
        <v/>
      </c>
      <c r="AE441" s="57" t="str">
        <f>IF(AND($D441=RelConducteur,$S441="Oui",ISNUMBER($C441),$C441&gt;=RelDebut,$C441&lt;=RelFin),COUNTIFS($D$9:$D441,RelConducteur,$S$9:$S441,"Oui",$C$9:$C441,"&gt;="&amp;RelDebut,$C$9:$C441,"&lt;="&amp;RelFin),"")</f>
        <v/>
      </c>
    </row>
    <row r="442" spans="2:31" ht="18" customHeight="1" x14ac:dyDescent="0.25">
      <c r="B442" s="48" t="str">
        <f>IF(C442="","",COUNT($C$9:C442))</f>
        <v/>
      </c>
      <c r="C442" s="49"/>
      <c r="D442" s="51"/>
      <c r="E442" s="53"/>
      <c r="F442" s="51"/>
      <c r="G442" s="51"/>
      <c r="H442" s="51"/>
      <c r="I442" s="51"/>
      <c r="J442" s="59"/>
      <c r="K442" s="60"/>
      <c r="L442" s="61"/>
      <c r="M442" s="62"/>
      <c r="N442" s="63" t="str">
        <f t="shared" si="78"/>
        <v/>
      </c>
      <c r="O442" s="64" t="str">
        <f t="shared" si="79"/>
        <v/>
      </c>
      <c r="P442" s="65" t="str">
        <f t="shared" si="80"/>
        <v/>
      </c>
      <c r="Q442" s="66" t="str">
        <f t="shared" si="86"/>
        <v/>
      </c>
      <c r="R442" s="51"/>
      <c r="S442" s="60"/>
      <c r="T442" s="52" t="str">
        <f t="shared" si="81"/>
        <v/>
      </c>
      <c r="U442" s="51"/>
      <c r="V442" s="56" t="str">
        <f t="shared" si="82"/>
        <v/>
      </c>
      <c r="X442" s="57" t="str">
        <f t="shared" si="83"/>
        <v/>
      </c>
      <c r="Y442" s="57">
        <f t="shared" si="84"/>
        <v>0</v>
      </c>
      <c r="Z442" s="57">
        <f t="shared" si="87"/>
        <v>59990</v>
      </c>
      <c r="AA442" s="57">
        <f t="shared" si="88"/>
        <v>0</v>
      </c>
      <c r="AB442" s="57">
        <f t="shared" si="85"/>
        <v>0.2</v>
      </c>
      <c r="AC442" s="57" t="str">
        <f t="shared" si="89"/>
        <v/>
      </c>
      <c r="AD442" s="57" t="str">
        <f t="shared" si="90"/>
        <v/>
      </c>
      <c r="AE442" s="57" t="str">
        <f>IF(AND($D442=RelConducteur,$S442="Oui",ISNUMBER($C442),$C442&gt;=RelDebut,$C442&lt;=RelFin),COUNTIFS($D$9:$D442,RelConducteur,$S$9:$S442,"Oui",$C$9:$C442,"&gt;="&amp;RelDebut,$C$9:$C442,"&lt;="&amp;RelFin),"")</f>
        <v/>
      </c>
    </row>
    <row r="443" spans="2:31" ht="18" customHeight="1" x14ac:dyDescent="0.25">
      <c r="B443" s="48" t="str">
        <f>IF(C443="","",COUNT($C$9:C443))</f>
        <v/>
      </c>
      <c r="C443" s="49"/>
      <c r="D443" s="51"/>
      <c r="E443" s="53"/>
      <c r="F443" s="51"/>
      <c r="G443" s="51"/>
      <c r="H443" s="51"/>
      <c r="I443" s="51"/>
      <c r="J443" s="59"/>
      <c r="K443" s="60"/>
      <c r="L443" s="61"/>
      <c r="M443" s="62"/>
      <c r="N443" s="63" t="str">
        <f t="shared" si="78"/>
        <v/>
      </c>
      <c r="O443" s="64" t="str">
        <f t="shared" si="79"/>
        <v/>
      </c>
      <c r="P443" s="65" t="str">
        <f t="shared" si="80"/>
        <v/>
      </c>
      <c r="Q443" s="66" t="str">
        <f t="shared" si="86"/>
        <v/>
      </c>
      <c r="R443" s="51"/>
      <c r="S443" s="60"/>
      <c r="T443" s="52" t="str">
        <f t="shared" si="81"/>
        <v/>
      </c>
      <c r="U443" s="51"/>
      <c r="V443" s="56" t="str">
        <f t="shared" si="82"/>
        <v/>
      </c>
      <c r="X443" s="57" t="str">
        <f t="shared" si="83"/>
        <v/>
      </c>
      <c r="Y443" s="57">
        <f t="shared" si="84"/>
        <v>0</v>
      </c>
      <c r="Z443" s="57">
        <f t="shared" si="87"/>
        <v>59990</v>
      </c>
      <c r="AA443" s="57">
        <f t="shared" si="88"/>
        <v>0</v>
      </c>
      <c r="AB443" s="57">
        <f t="shared" si="85"/>
        <v>0.2</v>
      </c>
      <c r="AC443" s="57" t="str">
        <f t="shared" si="89"/>
        <v/>
      </c>
      <c r="AD443" s="57" t="str">
        <f t="shared" si="90"/>
        <v/>
      </c>
      <c r="AE443" s="57" t="str">
        <f>IF(AND($D443=RelConducteur,$S443="Oui",ISNUMBER($C443),$C443&gt;=RelDebut,$C443&lt;=RelFin),COUNTIFS($D$9:$D443,RelConducteur,$S$9:$S443,"Oui",$C$9:$C443,"&gt;="&amp;RelDebut,$C$9:$C443,"&lt;="&amp;RelFin),"")</f>
        <v/>
      </c>
    </row>
    <row r="444" spans="2:31" ht="18" customHeight="1" x14ac:dyDescent="0.25">
      <c r="B444" s="48" t="str">
        <f>IF(C444="","",COUNT($C$9:C444))</f>
        <v/>
      </c>
      <c r="C444" s="49"/>
      <c r="D444" s="51"/>
      <c r="E444" s="53"/>
      <c r="F444" s="51"/>
      <c r="G444" s="51"/>
      <c r="H444" s="51"/>
      <c r="I444" s="51"/>
      <c r="J444" s="59"/>
      <c r="K444" s="60"/>
      <c r="L444" s="61"/>
      <c r="M444" s="62"/>
      <c r="N444" s="63" t="str">
        <f t="shared" si="78"/>
        <v/>
      </c>
      <c r="O444" s="64" t="str">
        <f t="shared" si="79"/>
        <v/>
      </c>
      <c r="P444" s="65" t="str">
        <f t="shared" si="80"/>
        <v/>
      </c>
      <c r="Q444" s="66" t="str">
        <f t="shared" si="86"/>
        <v/>
      </c>
      <c r="R444" s="51"/>
      <c r="S444" s="60"/>
      <c r="T444" s="52" t="str">
        <f t="shared" si="81"/>
        <v/>
      </c>
      <c r="U444" s="51"/>
      <c r="V444" s="56" t="str">
        <f t="shared" si="82"/>
        <v/>
      </c>
      <c r="X444" s="57" t="str">
        <f t="shared" si="83"/>
        <v/>
      </c>
      <c r="Y444" s="57">
        <f t="shared" si="84"/>
        <v>0</v>
      </c>
      <c r="Z444" s="57">
        <f t="shared" si="87"/>
        <v>59990</v>
      </c>
      <c r="AA444" s="57">
        <f t="shared" si="88"/>
        <v>0</v>
      </c>
      <c r="AB444" s="57">
        <f t="shared" si="85"/>
        <v>0.2</v>
      </c>
      <c r="AC444" s="57" t="str">
        <f t="shared" si="89"/>
        <v/>
      </c>
      <c r="AD444" s="57" t="str">
        <f t="shared" si="90"/>
        <v/>
      </c>
      <c r="AE444" s="57" t="str">
        <f>IF(AND($D444=RelConducteur,$S444="Oui",ISNUMBER($C444),$C444&gt;=RelDebut,$C444&lt;=RelFin),COUNTIFS($D$9:$D444,RelConducteur,$S$9:$S444,"Oui",$C$9:$C444,"&gt;="&amp;RelDebut,$C$9:$C444,"&lt;="&amp;RelFin),"")</f>
        <v/>
      </c>
    </row>
    <row r="445" spans="2:31" ht="18" customHeight="1" x14ac:dyDescent="0.25">
      <c r="B445" s="48" t="str">
        <f>IF(C445="","",COUNT($C$9:C445))</f>
        <v/>
      </c>
      <c r="C445" s="49"/>
      <c r="D445" s="51"/>
      <c r="E445" s="53"/>
      <c r="F445" s="51"/>
      <c r="G445" s="51"/>
      <c r="H445" s="51"/>
      <c r="I445" s="51"/>
      <c r="J445" s="59"/>
      <c r="K445" s="60"/>
      <c r="L445" s="61"/>
      <c r="M445" s="62"/>
      <c r="N445" s="63" t="str">
        <f t="shared" si="78"/>
        <v/>
      </c>
      <c r="O445" s="64" t="str">
        <f t="shared" si="79"/>
        <v/>
      </c>
      <c r="P445" s="65" t="str">
        <f t="shared" si="80"/>
        <v/>
      </c>
      <c r="Q445" s="66" t="str">
        <f t="shared" si="86"/>
        <v/>
      </c>
      <c r="R445" s="51"/>
      <c r="S445" s="60"/>
      <c r="T445" s="52" t="str">
        <f t="shared" si="81"/>
        <v/>
      </c>
      <c r="U445" s="51"/>
      <c r="V445" s="56" t="str">
        <f t="shared" si="82"/>
        <v/>
      </c>
      <c r="X445" s="57" t="str">
        <f t="shared" si="83"/>
        <v/>
      </c>
      <c r="Y445" s="57">
        <f t="shared" si="84"/>
        <v>0</v>
      </c>
      <c r="Z445" s="57">
        <f t="shared" si="87"/>
        <v>59990</v>
      </c>
      <c r="AA445" s="57">
        <f t="shared" si="88"/>
        <v>0</v>
      </c>
      <c r="AB445" s="57">
        <f t="shared" si="85"/>
        <v>0.2</v>
      </c>
      <c r="AC445" s="57" t="str">
        <f t="shared" si="89"/>
        <v/>
      </c>
      <c r="AD445" s="57" t="str">
        <f t="shared" si="90"/>
        <v/>
      </c>
      <c r="AE445" s="57" t="str">
        <f>IF(AND($D445=RelConducteur,$S445="Oui",ISNUMBER($C445),$C445&gt;=RelDebut,$C445&lt;=RelFin),COUNTIFS($D$9:$D445,RelConducteur,$S$9:$S445,"Oui",$C$9:$C445,"&gt;="&amp;RelDebut,$C$9:$C445,"&lt;="&amp;RelFin),"")</f>
        <v/>
      </c>
    </row>
    <row r="446" spans="2:31" ht="18" customHeight="1" x14ac:dyDescent="0.25">
      <c r="B446" s="48" t="str">
        <f>IF(C446="","",COUNT($C$9:C446))</f>
        <v/>
      </c>
      <c r="C446" s="49"/>
      <c r="D446" s="51"/>
      <c r="E446" s="53"/>
      <c r="F446" s="51"/>
      <c r="G446" s="51"/>
      <c r="H446" s="51"/>
      <c r="I446" s="51"/>
      <c r="J446" s="59"/>
      <c r="K446" s="60"/>
      <c r="L446" s="61"/>
      <c r="M446" s="62"/>
      <c r="N446" s="63" t="str">
        <f t="shared" si="78"/>
        <v/>
      </c>
      <c r="O446" s="64" t="str">
        <f t="shared" si="79"/>
        <v/>
      </c>
      <c r="P446" s="65" t="str">
        <f t="shared" si="80"/>
        <v/>
      </c>
      <c r="Q446" s="66" t="str">
        <f t="shared" si="86"/>
        <v/>
      </c>
      <c r="R446" s="51"/>
      <c r="S446" s="60"/>
      <c r="T446" s="52" t="str">
        <f t="shared" si="81"/>
        <v/>
      </c>
      <c r="U446" s="51"/>
      <c r="V446" s="56" t="str">
        <f t="shared" si="82"/>
        <v/>
      </c>
      <c r="X446" s="57" t="str">
        <f t="shared" si="83"/>
        <v/>
      </c>
      <c r="Y446" s="57">
        <f t="shared" si="84"/>
        <v>0</v>
      </c>
      <c r="Z446" s="57">
        <f t="shared" si="87"/>
        <v>59990</v>
      </c>
      <c r="AA446" s="57">
        <f t="shared" si="88"/>
        <v>0</v>
      </c>
      <c r="AB446" s="57">
        <f t="shared" si="85"/>
        <v>0.2</v>
      </c>
      <c r="AC446" s="57" t="str">
        <f t="shared" si="89"/>
        <v/>
      </c>
      <c r="AD446" s="57" t="str">
        <f t="shared" si="90"/>
        <v/>
      </c>
      <c r="AE446" s="57" t="str">
        <f>IF(AND($D446=RelConducteur,$S446="Oui",ISNUMBER($C446),$C446&gt;=RelDebut,$C446&lt;=RelFin),COUNTIFS($D$9:$D446,RelConducteur,$S$9:$S446,"Oui",$C$9:$C446,"&gt;="&amp;RelDebut,$C$9:$C446,"&lt;="&amp;RelFin),"")</f>
        <v/>
      </c>
    </row>
    <row r="447" spans="2:31" ht="18" customHeight="1" x14ac:dyDescent="0.25">
      <c r="B447" s="48" t="str">
        <f>IF(C447="","",COUNT($C$9:C447))</f>
        <v/>
      </c>
      <c r="C447" s="49"/>
      <c r="D447" s="51"/>
      <c r="E447" s="53"/>
      <c r="F447" s="51"/>
      <c r="G447" s="51"/>
      <c r="H447" s="51"/>
      <c r="I447" s="51"/>
      <c r="J447" s="59"/>
      <c r="K447" s="60"/>
      <c r="L447" s="61"/>
      <c r="M447" s="62"/>
      <c r="N447" s="63" t="str">
        <f t="shared" si="78"/>
        <v/>
      </c>
      <c r="O447" s="64" t="str">
        <f t="shared" si="79"/>
        <v/>
      </c>
      <c r="P447" s="65" t="str">
        <f t="shared" si="80"/>
        <v/>
      </c>
      <c r="Q447" s="66" t="str">
        <f t="shared" si="86"/>
        <v/>
      </c>
      <c r="R447" s="51"/>
      <c r="S447" s="60"/>
      <c r="T447" s="52" t="str">
        <f t="shared" si="81"/>
        <v/>
      </c>
      <c r="U447" s="51"/>
      <c r="V447" s="56" t="str">
        <f t="shared" si="82"/>
        <v/>
      </c>
      <c r="X447" s="57" t="str">
        <f t="shared" si="83"/>
        <v/>
      </c>
      <c r="Y447" s="57">
        <f t="shared" si="84"/>
        <v>0</v>
      </c>
      <c r="Z447" s="57">
        <f t="shared" si="87"/>
        <v>59990</v>
      </c>
      <c r="AA447" s="57">
        <f t="shared" si="88"/>
        <v>0</v>
      </c>
      <c r="AB447" s="57">
        <f t="shared" si="85"/>
        <v>0.2</v>
      </c>
      <c r="AC447" s="57" t="str">
        <f t="shared" si="89"/>
        <v/>
      </c>
      <c r="AD447" s="57" t="str">
        <f t="shared" si="90"/>
        <v/>
      </c>
      <c r="AE447" s="57" t="str">
        <f>IF(AND($D447=RelConducteur,$S447="Oui",ISNUMBER($C447),$C447&gt;=RelDebut,$C447&lt;=RelFin),COUNTIFS($D$9:$D447,RelConducteur,$S$9:$S447,"Oui",$C$9:$C447,"&gt;="&amp;RelDebut,$C$9:$C447,"&lt;="&amp;RelFin),"")</f>
        <v/>
      </c>
    </row>
    <row r="448" spans="2:31" ht="18" customHeight="1" x14ac:dyDescent="0.25">
      <c r="B448" s="48" t="str">
        <f>IF(C448="","",COUNT($C$9:C448))</f>
        <v/>
      </c>
      <c r="C448" s="49"/>
      <c r="D448" s="51"/>
      <c r="E448" s="53"/>
      <c r="F448" s="51"/>
      <c r="G448" s="51"/>
      <c r="H448" s="51"/>
      <c r="I448" s="51"/>
      <c r="J448" s="59"/>
      <c r="K448" s="60"/>
      <c r="L448" s="61"/>
      <c r="M448" s="62"/>
      <c r="N448" s="63" t="str">
        <f t="shared" si="78"/>
        <v/>
      </c>
      <c r="O448" s="64" t="str">
        <f t="shared" si="79"/>
        <v/>
      </c>
      <c r="P448" s="65" t="str">
        <f t="shared" si="80"/>
        <v/>
      </c>
      <c r="Q448" s="66" t="str">
        <f t="shared" si="86"/>
        <v/>
      </c>
      <c r="R448" s="51"/>
      <c r="S448" s="60"/>
      <c r="T448" s="52" t="str">
        <f t="shared" si="81"/>
        <v/>
      </c>
      <c r="U448" s="51"/>
      <c r="V448" s="56" t="str">
        <f t="shared" si="82"/>
        <v/>
      </c>
      <c r="X448" s="57" t="str">
        <f t="shared" si="83"/>
        <v/>
      </c>
      <c r="Y448" s="57">
        <f t="shared" si="84"/>
        <v>0</v>
      </c>
      <c r="Z448" s="57">
        <f t="shared" si="87"/>
        <v>59990</v>
      </c>
      <c r="AA448" s="57">
        <f t="shared" si="88"/>
        <v>0</v>
      </c>
      <c r="AB448" s="57">
        <f t="shared" si="85"/>
        <v>0.2</v>
      </c>
      <c r="AC448" s="57" t="str">
        <f t="shared" si="89"/>
        <v/>
      </c>
      <c r="AD448" s="57" t="str">
        <f t="shared" si="90"/>
        <v/>
      </c>
      <c r="AE448" s="57" t="str">
        <f>IF(AND($D448=RelConducteur,$S448="Oui",ISNUMBER($C448),$C448&gt;=RelDebut,$C448&lt;=RelFin),COUNTIFS($D$9:$D448,RelConducteur,$S$9:$S448,"Oui",$C$9:$C448,"&gt;="&amp;RelDebut,$C$9:$C448,"&lt;="&amp;RelFin),"")</f>
        <v/>
      </c>
    </row>
    <row r="449" spans="2:31" ht="18" customHeight="1" x14ac:dyDescent="0.25">
      <c r="B449" s="48" t="str">
        <f>IF(C449="","",COUNT($C$9:C449))</f>
        <v/>
      </c>
      <c r="C449" s="49"/>
      <c r="D449" s="51"/>
      <c r="E449" s="53"/>
      <c r="F449" s="51"/>
      <c r="G449" s="51"/>
      <c r="H449" s="51"/>
      <c r="I449" s="51"/>
      <c r="J449" s="59"/>
      <c r="K449" s="60"/>
      <c r="L449" s="61"/>
      <c r="M449" s="62"/>
      <c r="N449" s="63" t="str">
        <f t="shared" si="78"/>
        <v/>
      </c>
      <c r="O449" s="64" t="str">
        <f t="shared" si="79"/>
        <v/>
      </c>
      <c r="P449" s="65" t="str">
        <f t="shared" si="80"/>
        <v/>
      </c>
      <c r="Q449" s="66" t="str">
        <f t="shared" si="86"/>
        <v/>
      </c>
      <c r="R449" s="51"/>
      <c r="S449" s="60"/>
      <c r="T449" s="52" t="str">
        <f t="shared" si="81"/>
        <v/>
      </c>
      <c r="U449" s="51"/>
      <c r="V449" s="56" t="str">
        <f t="shared" si="82"/>
        <v/>
      </c>
      <c r="X449" s="57" t="str">
        <f t="shared" si="83"/>
        <v/>
      </c>
      <c r="Y449" s="57">
        <f t="shared" si="84"/>
        <v>0</v>
      </c>
      <c r="Z449" s="57">
        <f t="shared" si="87"/>
        <v>59990</v>
      </c>
      <c r="AA449" s="57">
        <f t="shared" si="88"/>
        <v>0</v>
      </c>
      <c r="AB449" s="57">
        <f t="shared" si="85"/>
        <v>0.2</v>
      </c>
      <c r="AC449" s="57" t="str">
        <f t="shared" si="89"/>
        <v/>
      </c>
      <c r="AD449" s="57" t="str">
        <f t="shared" si="90"/>
        <v/>
      </c>
      <c r="AE449" s="57" t="str">
        <f>IF(AND($D449=RelConducteur,$S449="Oui",ISNUMBER($C449),$C449&gt;=RelDebut,$C449&lt;=RelFin),COUNTIFS($D$9:$D449,RelConducteur,$S$9:$S449,"Oui",$C$9:$C449,"&gt;="&amp;RelDebut,$C$9:$C449,"&lt;="&amp;RelFin),"")</f>
        <v/>
      </c>
    </row>
    <row r="450" spans="2:31" ht="18" customHeight="1" x14ac:dyDescent="0.25">
      <c r="B450" s="48" t="str">
        <f>IF(C450="","",COUNT($C$9:C450))</f>
        <v/>
      </c>
      <c r="C450" s="49"/>
      <c r="D450" s="51"/>
      <c r="E450" s="53"/>
      <c r="F450" s="51"/>
      <c r="G450" s="51"/>
      <c r="H450" s="51"/>
      <c r="I450" s="51"/>
      <c r="J450" s="59"/>
      <c r="K450" s="60"/>
      <c r="L450" s="61"/>
      <c r="M450" s="62"/>
      <c r="N450" s="63" t="str">
        <f t="shared" si="78"/>
        <v/>
      </c>
      <c r="O450" s="64" t="str">
        <f t="shared" si="79"/>
        <v/>
      </c>
      <c r="P450" s="65" t="str">
        <f t="shared" si="80"/>
        <v/>
      </c>
      <c r="Q450" s="66" t="str">
        <f t="shared" si="86"/>
        <v/>
      </c>
      <c r="R450" s="51"/>
      <c r="S450" s="60"/>
      <c r="T450" s="52" t="str">
        <f t="shared" si="81"/>
        <v/>
      </c>
      <c r="U450" s="51"/>
      <c r="V450" s="56" t="str">
        <f t="shared" si="82"/>
        <v/>
      </c>
      <c r="X450" s="57" t="str">
        <f t="shared" si="83"/>
        <v/>
      </c>
      <c r="Y450" s="57">
        <f t="shared" si="84"/>
        <v>0</v>
      </c>
      <c r="Z450" s="57">
        <f t="shared" si="87"/>
        <v>59990</v>
      </c>
      <c r="AA450" s="57">
        <f t="shared" si="88"/>
        <v>0</v>
      </c>
      <c r="AB450" s="57">
        <f t="shared" si="85"/>
        <v>0.2</v>
      </c>
      <c r="AC450" s="57" t="str">
        <f t="shared" si="89"/>
        <v/>
      </c>
      <c r="AD450" s="57" t="str">
        <f t="shared" si="90"/>
        <v/>
      </c>
      <c r="AE450" s="57" t="str">
        <f>IF(AND($D450=RelConducteur,$S450="Oui",ISNUMBER($C450),$C450&gt;=RelDebut,$C450&lt;=RelFin),COUNTIFS($D$9:$D450,RelConducteur,$S$9:$S450,"Oui",$C$9:$C450,"&gt;="&amp;RelDebut,$C$9:$C450,"&lt;="&amp;RelFin),"")</f>
        <v/>
      </c>
    </row>
    <row r="451" spans="2:31" ht="18" customHeight="1" x14ac:dyDescent="0.25">
      <c r="B451" s="48" t="str">
        <f>IF(C451="","",COUNT($C$9:C451))</f>
        <v/>
      </c>
      <c r="C451" s="49"/>
      <c r="D451" s="51"/>
      <c r="E451" s="53"/>
      <c r="F451" s="51"/>
      <c r="G451" s="51"/>
      <c r="H451" s="51"/>
      <c r="I451" s="51"/>
      <c r="J451" s="59"/>
      <c r="K451" s="60"/>
      <c r="L451" s="61"/>
      <c r="M451" s="62"/>
      <c r="N451" s="63" t="str">
        <f t="shared" si="78"/>
        <v/>
      </c>
      <c r="O451" s="64" t="str">
        <f t="shared" si="79"/>
        <v/>
      </c>
      <c r="P451" s="65" t="str">
        <f t="shared" si="80"/>
        <v/>
      </c>
      <c r="Q451" s="66" t="str">
        <f t="shared" si="86"/>
        <v/>
      </c>
      <c r="R451" s="51"/>
      <c r="S451" s="60"/>
      <c r="T451" s="52" t="str">
        <f t="shared" si="81"/>
        <v/>
      </c>
      <c r="U451" s="51"/>
      <c r="V451" s="56" t="str">
        <f t="shared" si="82"/>
        <v/>
      </c>
      <c r="X451" s="57" t="str">
        <f t="shared" si="83"/>
        <v/>
      </c>
      <c r="Y451" s="57">
        <f t="shared" si="84"/>
        <v>0</v>
      </c>
      <c r="Z451" s="57">
        <f t="shared" si="87"/>
        <v>59990</v>
      </c>
      <c r="AA451" s="57">
        <f t="shared" si="88"/>
        <v>0</v>
      </c>
      <c r="AB451" s="57">
        <f t="shared" si="85"/>
        <v>0.2</v>
      </c>
      <c r="AC451" s="57" t="str">
        <f t="shared" si="89"/>
        <v/>
      </c>
      <c r="AD451" s="57" t="str">
        <f t="shared" si="90"/>
        <v/>
      </c>
      <c r="AE451" s="57" t="str">
        <f>IF(AND($D451=RelConducteur,$S451="Oui",ISNUMBER($C451),$C451&gt;=RelDebut,$C451&lt;=RelFin),COUNTIFS($D$9:$D451,RelConducteur,$S$9:$S451,"Oui",$C$9:$C451,"&gt;="&amp;RelDebut,$C$9:$C451,"&lt;="&amp;RelFin),"")</f>
        <v/>
      </c>
    </row>
    <row r="452" spans="2:31" ht="18" customHeight="1" x14ac:dyDescent="0.25">
      <c r="B452" s="48" t="str">
        <f>IF(C452="","",COUNT($C$9:C452))</f>
        <v/>
      </c>
      <c r="C452" s="49"/>
      <c r="D452" s="51"/>
      <c r="E452" s="53"/>
      <c r="F452" s="51"/>
      <c r="G452" s="51"/>
      <c r="H452" s="51"/>
      <c r="I452" s="51"/>
      <c r="J452" s="59"/>
      <c r="K452" s="60"/>
      <c r="L452" s="61"/>
      <c r="M452" s="62"/>
      <c r="N452" s="63" t="str">
        <f t="shared" si="78"/>
        <v/>
      </c>
      <c r="O452" s="64" t="str">
        <f t="shared" si="79"/>
        <v/>
      </c>
      <c r="P452" s="65" t="str">
        <f t="shared" si="80"/>
        <v/>
      </c>
      <c r="Q452" s="66" t="str">
        <f t="shared" si="86"/>
        <v/>
      </c>
      <c r="R452" s="51"/>
      <c r="S452" s="60"/>
      <c r="T452" s="52" t="str">
        <f t="shared" si="81"/>
        <v/>
      </c>
      <c r="U452" s="51"/>
      <c r="V452" s="56" t="str">
        <f t="shared" si="82"/>
        <v/>
      </c>
      <c r="X452" s="57" t="str">
        <f t="shared" si="83"/>
        <v/>
      </c>
      <c r="Y452" s="57">
        <f t="shared" si="84"/>
        <v>0</v>
      </c>
      <c r="Z452" s="57">
        <f t="shared" si="87"/>
        <v>59990</v>
      </c>
      <c r="AA452" s="57">
        <f t="shared" si="88"/>
        <v>0</v>
      </c>
      <c r="AB452" s="57">
        <f t="shared" si="85"/>
        <v>0.2</v>
      </c>
      <c r="AC452" s="57" t="str">
        <f t="shared" si="89"/>
        <v/>
      </c>
      <c r="AD452" s="57" t="str">
        <f t="shared" si="90"/>
        <v/>
      </c>
      <c r="AE452" s="57" t="str">
        <f>IF(AND($D452=RelConducteur,$S452="Oui",ISNUMBER($C452),$C452&gt;=RelDebut,$C452&lt;=RelFin),COUNTIFS($D$9:$D452,RelConducteur,$S$9:$S452,"Oui",$C$9:$C452,"&gt;="&amp;RelDebut,$C$9:$C452,"&lt;="&amp;RelFin),"")</f>
        <v/>
      </c>
    </row>
    <row r="453" spans="2:31" ht="18" customHeight="1" x14ac:dyDescent="0.25">
      <c r="B453" s="48" t="str">
        <f>IF(C453="","",COUNT($C$9:C453))</f>
        <v/>
      </c>
      <c r="C453" s="49"/>
      <c r="D453" s="51"/>
      <c r="E453" s="53"/>
      <c r="F453" s="51"/>
      <c r="G453" s="51"/>
      <c r="H453" s="51"/>
      <c r="I453" s="51"/>
      <c r="J453" s="59"/>
      <c r="K453" s="60"/>
      <c r="L453" s="61"/>
      <c r="M453" s="62"/>
      <c r="N453" s="63" t="str">
        <f t="shared" si="78"/>
        <v/>
      </c>
      <c r="O453" s="64" t="str">
        <f t="shared" si="79"/>
        <v/>
      </c>
      <c r="P453" s="65" t="str">
        <f t="shared" si="80"/>
        <v/>
      </c>
      <c r="Q453" s="66" t="str">
        <f t="shared" si="86"/>
        <v/>
      </c>
      <c r="R453" s="51"/>
      <c r="S453" s="60"/>
      <c r="T453" s="52" t="str">
        <f t="shared" si="81"/>
        <v/>
      </c>
      <c r="U453" s="51"/>
      <c r="V453" s="56" t="str">
        <f t="shared" si="82"/>
        <v/>
      </c>
      <c r="X453" s="57" t="str">
        <f t="shared" si="83"/>
        <v/>
      </c>
      <c r="Y453" s="57">
        <f t="shared" si="84"/>
        <v>0</v>
      </c>
      <c r="Z453" s="57">
        <f t="shared" si="87"/>
        <v>59990</v>
      </c>
      <c r="AA453" s="57">
        <f t="shared" si="88"/>
        <v>0</v>
      </c>
      <c r="AB453" s="57">
        <f t="shared" si="85"/>
        <v>0.2</v>
      </c>
      <c r="AC453" s="57" t="str">
        <f t="shared" si="89"/>
        <v/>
      </c>
      <c r="AD453" s="57" t="str">
        <f t="shared" si="90"/>
        <v/>
      </c>
      <c r="AE453" s="57" t="str">
        <f>IF(AND($D453=RelConducteur,$S453="Oui",ISNUMBER($C453),$C453&gt;=RelDebut,$C453&lt;=RelFin),COUNTIFS($D$9:$D453,RelConducteur,$S$9:$S453,"Oui",$C$9:$C453,"&gt;="&amp;RelDebut,$C$9:$C453,"&lt;="&amp;RelFin),"")</f>
        <v/>
      </c>
    </row>
    <row r="454" spans="2:31" ht="18" customHeight="1" x14ac:dyDescent="0.25">
      <c r="B454" s="48" t="str">
        <f>IF(C454="","",COUNT($C$9:C454))</f>
        <v/>
      </c>
      <c r="C454" s="49"/>
      <c r="D454" s="51"/>
      <c r="E454" s="53"/>
      <c r="F454" s="51"/>
      <c r="G454" s="51"/>
      <c r="H454" s="51"/>
      <c r="I454" s="51"/>
      <c r="J454" s="59"/>
      <c r="K454" s="60"/>
      <c r="L454" s="61"/>
      <c r="M454" s="62"/>
      <c r="N454" s="63" t="str">
        <f t="shared" si="78"/>
        <v/>
      </c>
      <c r="O454" s="64" t="str">
        <f t="shared" si="79"/>
        <v/>
      </c>
      <c r="P454" s="65" t="str">
        <f t="shared" si="80"/>
        <v/>
      </c>
      <c r="Q454" s="66" t="str">
        <f t="shared" si="86"/>
        <v/>
      </c>
      <c r="R454" s="51"/>
      <c r="S454" s="60"/>
      <c r="T454" s="52" t="str">
        <f t="shared" si="81"/>
        <v/>
      </c>
      <c r="U454" s="51"/>
      <c r="V454" s="56" t="str">
        <f t="shared" si="82"/>
        <v/>
      </c>
      <c r="X454" s="57" t="str">
        <f t="shared" si="83"/>
        <v/>
      </c>
      <c r="Y454" s="57">
        <f t="shared" si="84"/>
        <v>0</v>
      </c>
      <c r="Z454" s="57">
        <f t="shared" si="87"/>
        <v>59990</v>
      </c>
      <c r="AA454" s="57">
        <f t="shared" si="88"/>
        <v>0</v>
      </c>
      <c r="AB454" s="57">
        <f t="shared" si="85"/>
        <v>0.2</v>
      </c>
      <c r="AC454" s="57" t="str">
        <f t="shared" si="89"/>
        <v/>
      </c>
      <c r="AD454" s="57" t="str">
        <f t="shared" si="90"/>
        <v/>
      </c>
      <c r="AE454" s="57" t="str">
        <f>IF(AND($D454=RelConducteur,$S454="Oui",ISNUMBER($C454),$C454&gt;=RelDebut,$C454&lt;=RelFin),COUNTIFS($D$9:$D454,RelConducteur,$S$9:$S454,"Oui",$C$9:$C454,"&gt;="&amp;RelDebut,$C$9:$C454,"&lt;="&amp;RelFin),"")</f>
        <v/>
      </c>
    </row>
    <row r="455" spans="2:31" ht="18" customHeight="1" x14ac:dyDescent="0.25">
      <c r="B455" s="48" t="str">
        <f>IF(C455="","",COUNT($C$9:C455))</f>
        <v/>
      </c>
      <c r="C455" s="49"/>
      <c r="D455" s="51"/>
      <c r="E455" s="53"/>
      <c r="F455" s="51"/>
      <c r="G455" s="51"/>
      <c r="H455" s="51"/>
      <c r="I455" s="51"/>
      <c r="J455" s="59"/>
      <c r="K455" s="60"/>
      <c r="L455" s="61"/>
      <c r="M455" s="62"/>
      <c r="N455" s="63" t="str">
        <f t="shared" si="78"/>
        <v/>
      </c>
      <c r="O455" s="64" t="str">
        <f t="shared" si="79"/>
        <v/>
      </c>
      <c r="P455" s="65" t="str">
        <f t="shared" si="80"/>
        <v/>
      </c>
      <c r="Q455" s="66" t="str">
        <f t="shared" si="86"/>
        <v/>
      </c>
      <c r="R455" s="51"/>
      <c r="S455" s="60"/>
      <c r="T455" s="52" t="str">
        <f t="shared" si="81"/>
        <v/>
      </c>
      <c r="U455" s="51"/>
      <c r="V455" s="56" t="str">
        <f t="shared" si="82"/>
        <v/>
      </c>
      <c r="X455" s="57" t="str">
        <f t="shared" si="83"/>
        <v/>
      </c>
      <c r="Y455" s="57">
        <f t="shared" si="84"/>
        <v>0</v>
      </c>
      <c r="Z455" s="57">
        <f t="shared" si="87"/>
        <v>59990</v>
      </c>
      <c r="AA455" s="57">
        <f t="shared" si="88"/>
        <v>0</v>
      </c>
      <c r="AB455" s="57">
        <f t="shared" si="85"/>
        <v>0.2</v>
      </c>
      <c r="AC455" s="57" t="str">
        <f t="shared" si="89"/>
        <v/>
      </c>
      <c r="AD455" s="57" t="str">
        <f t="shared" si="90"/>
        <v/>
      </c>
      <c r="AE455" s="57" t="str">
        <f>IF(AND($D455=RelConducteur,$S455="Oui",ISNUMBER($C455),$C455&gt;=RelDebut,$C455&lt;=RelFin),COUNTIFS($D$9:$D455,RelConducteur,$S$9:$S455,"Oui",$C$9:$C455,"&gt;="&amp;RelDebut,$C$9:$C455,"&lt;="&amp;RelFin),"")</f>
        <v/>
      </c>
    </row>
    <row r="456" spans="2:31" ht="18" customHeight="1" x14ac:dyDescent="0.25">
      <c r="B456" s="48" t="str">
        <f>IF(C456="","",COUNT($C$9:C456))</f>
        <v/>
      </c>
      <c r="C456" s="49"/>
      <c r="D456" s="51"/>
      <c r="E456" s="53"/>
      <c r="F456" s="51"/>
      <c r="G456" s="51"/>
      <c r="H456" s="51"/>
      <c r="I456" s="51"/>
      <c r="J456" s="59"/>
      <c r="K456" s="60"/>
      <c r="L456" s="61"/>
      <c r="M456" s="62"/>
      <c r="N456" s="63" t="str">
        <f t="shared" si="78"/>
        <v/>
      </c>
      <c r="O456" s="64" t="str">
        <f t="shared" si="79"/>
        <v/>
      </c>
      <c r="P456" s="65" t="str">
        <f t="shared" si="80"/>
        <v/>
      </c>
      <c r="Q456" s="66" t="str">
        <f t="shared" si="86"/>
        <v/>
      </c>
      <c r="R456" s="51"/>
      <c r="S456" s="60"/>
      <c r="T456" s="52" t="str">
        <f t="shared" si="81"/>
        <v/>
      </c>
      <c r="U456" s="51"/>
      <c r="V456" s="56" t="str">
        <f t="shared" si="82"/>
        <v/>
      </c>
      <c r="X456" s="57" t="str">
        <f t="shared" si="83"/>
        <v/>
      </c>
      <c r="Y456" s="57">
        <f t="shared" si="84"/>
        <v>0</v>
      </c>
      <c r="Z456" s="57">
        <f t="shared" si="87"/>
        <v>59990</v>
      </c>
      <c r="AA456" s="57">
        <f t="shared" si="88"/>
        <v>0</v>
      </c>
      <c r="AB456" s="57">
        <f t="shared" si="85"/>
        <v>0.2</v>
      </c>
      <c r="AC456" s="57" t="str">
        <f t="shared" si="89"/>
        <v/>
      </c>
      <c r="AD456" s="57" t="str">
        <f t="shared" si="90"/>
        <v/>
      </c>
      <c r="AE456" s="57" t="str">
        <f>IF(AND($D456=RelConducteur,$S456="Oui",ISNUMBER($C456),$C456&gt;=RelDebut,$C456&lt;=RelFin),COUNTIFS($D$9:$D456,RelConducteur,$S$9:$S456,"Oui",$C$9:$C456,"&gt;="&amp;RelDebut,$C$9:$C456,"&lt;="&amp;RelFin),"")</f>
        <v/>
      </c>
    </row>
    <row r="457" spans="2:31" ht="18" customHeight="1" x14ac:dyDescent="0.25">
      <c r="B457" s="48" t="str">
        <f>IF(C457="","",COUNT($C$9:C457))</f>
        <v/>
      </c>
      <c r="C457" s="49"/>
      <c r="D457" s="51"/>
      <c r="E457" s="53"/>
      <c r="F457" s="51"/>
      <c r="G457" s="51"/>
      <c r="H457" s="51"/>
      <c r="I457" s="51"/>
      <c r="J457" s="59"/>
      <c r="K457" s="60"/>
      <c r="L457" s="61"/>
      <c r="M457" s="62"/>
      <c r="N457" s="63" t="str">
        <f t="shared" ref="N457:N508" si="91">IF(L457="","",L457/(1+AB457))</f>
        <v/>
      </c>
      <c r="O457" s="64" t="str">
        <f t="shared" ref="O457:O520" si="92">IF(L457="","",L457-N457)</f>
        <v/>
      </c>
      <c r="P457" s="65" t="str">
        <f t="shared" ref="P457:P508" si="93">IF(AND(Y457=1,N(J457)&gt;0,ISNUMBER(L457)),L457/J457,"")</f>
        <v/>
      </c>
      <c r="Q457" s="66" t="str">
        <f t="shared" si="86"/>
        <v/>
      </c>
      <c r="R457" s="51"/>
      <c r="S457" s="60"/>
      <c r="T457" s="52" t="str">
        <f t="shared" ref="T457:T508" si="94">IF(C457="","",IF(D457="","Non affecté",IFERROR(INDEX(CondService,MATCH(D457,CondNoms,0))&amp;"","Non affecté")))</f>
        <v/>
      </c>
      <c r="U457" s="51"/>
      <c r="V457" s="56" t="str">
        <f t="shared" ref="V457:V508" si="95">IF(C457="","",IF(OR(F457="",L457=""),"Incomplet",IF(X457="Catégorie inconnue","Catégorie inconnue",IF(AND(Y457=1,OR(E457="",J457="",K457="")),"Plein incomplet",IF(AND(ISNUMBER(E457),E457&lt;N(KmOuverture)),"Compteur &lt; ouverture",IF(AND(Y457=1,N(Capacite)&gt;0,N(J457)&gt;Capacite*1.02),"Quantité &gt; réservoir",IF(ISNUMBER(Q457),IF(AND(ConsoRef&gt;0,ABS(Q457/MAX(ConsoRef,0.0001)-1)&gt;SeuilConso),"Conso. atypique","Conforme"),IF(AND(G457&lt;&gt;"",E457="",X457="Entretien et réparations"),"Compteur manquant","Conforme"))))))))</f>
        <v/>
      </c>
      <c r="X457" s="57" t="str">
        <f t="shared" ref="X457:X508" si="96">IF(F457="","",IFERROR(INDEX(CatGroupe,MATCH(F457,CatNoms,0))&amp;"","Catégorie inconnue"))</f>
        <v/>
      </c>
      <c r="Y457" s="57">
        <f t="shared" ref="Y457:Y520" si="97">IF(X457="Énergie",1,0)</f>
        <v>0</v>
      </c>
      <c r="Z457" s="57">
        <f t="shared" si="87"/>
        <v>59990</v>
      </c>
      <c r="AA457" s="57">
        <f t="shared" si="88"/>
        <v>0</v>
      </c>
      <c r="AB457" s="57">
        <f t="shared" ref="AB457:AB508" si="98">IF(ISNUMBER(M457),M457,IFERROR(INDEX(CatTVA,MATCH(F457,CatNoms,0))*1,0.2))</f>
        <v>0.2</v>
      </c>
      <c r="AC457" s="57" t="str">
        <f t="shared" si="89"/>
        <v/>
      </c>
      <c r="AD457" s="57" t="str">
        <f t="shared" si="90"/>
        <v/>
      </c>
      <c r="AE457" s="57" t="str">
        <f>IF(AND($D457=RelConducteur,$S457="Oui",ISNUMBER($C457),$C457&gt;=RelDebut,$C457&lt;=RelFin),COUNTIFS($D$9:$D457,RelConducteur,$S$9:$S457,"Oui",$C$9:$C457,"&gt;="&amp;RelDebut,$C$9:$C457,"&lt;="&amp;RelFin),"")</f>
        <v/>
      </c>
    </row>
    <row r="458" spans="2:31" ht="18" customHeight="1" x14ac:dyDescent="0.25">
      <c r="B458" s="48" t="str">
        <f>IF(C458="","",COUNT($C$9:C458))</f>
        <v/>
      </c>
      <c r="C458" s="49"/>
      <c r="D458" s="51"/>
      <c r="E458" s="53"/>
      <c r="F458" s="51"/>
      <c r="G458" s="51"/>
      <c r="H458" s="51"/>
      <c r="I458" s="51"/>
      <c r="J458" s="59"/>
      <c r="K458" s="60"/>
      <c r="L458" s="61"/>
      <c r="M458" s="62"/>
      <c r="N458" s="63" t="str">
        <f t="shared" si="91"/>
        <v/>
      </c>
      <c r="O458" s="64" t="str">
        <f t="shared" si="92"/>
        <v/>
      </c>
      <c r="P458" s="65" t="str">
        <f t="shared" si="93"/>
        <v/>
      </c>
      <c r="Q458" s="66" t="str">
        <f t="shared" ref="Q458:Q508" si="99">IF(AND(Y458=1,K458="Oui",ISNUMBER(E458),ISNUMBER(Z457),N(J458)&gt;0),IF(E458&gt;Z457,(N(AA457)+N(J458))/(E458-Z457)*100,""),"")</f>
        <v/>
      </c>
      <c r="R458" s="51"/>
      <c r="S458" s="60"/>
      <c r="T458" s="52" t="str">
        <f t="shared" si="94"/>
        <v/>
      </c>
      <c r="U458" s="51"/>
      <c r="V458" s="56" t="str">
        <f t="shared" si="95"/>
        <v/>
      </c>
      <c r="X458" s="57" t="str">
        <f t="shared" si="96"/>
        <v/>
      </c>
      <c r="Y458" s="57">
        <f t="shared" si="97"/>
        <v>0</v>
      </c>
      <c r="Z458" s="57">
        <f t="shared" ref="Z458:Z521" si="100">IF(AND(Y458=1,K458="Oui",ISNUMBER(E458)),E458,Z457)</f>
        <v>59990</v>
      </c>
      <c r="AA458" s="57">
        <f t="shared" ref="AA458:AA508" si="101">IF(Y458=1,IF(K458="Oui",0,N(AA457)+N(J458)),N(AA457))</f>
        <v>0</v>
      </c>
      <c r="AB458" s="57">
        <f t="shared" si="98"/>
        <v>0.2</v>
      </c>
      <c r="AC458" s="57" t="str">
        <f t="shared" ref="AC458:AC508" si="102">IF(Q458="","",E458-Z457)</f>
        <v/>
      </c>
      <c r="AD458" s="57" t="str">
        <f t="shared" ref="AD458:AD508" si="103">IF(Q458="","",N(AA457)+N(J458))</f>
        <v/>
      </c>
      <c r="AE458" s="57" t="str">
        <f>IF(AND($D458=RelConducteur,$S458="Oui",ISNUMBER($C458),$C458&gt;=RelDebut,$C458&lt;=RelFin),COUNTIFS($D$9:$D458,RelConducteur,$S$9:$S458,"Oui",$C$9:$C458,"&gt;="&amp;RelDebut,$C$9:$C458,"&lt;="&amp;RelFin),"")</f>
        <v/>
      </c>
    </row>
    <row r="459" spans="2:31" ht="18" customHeight="1" x14ac:dyDescent="0.25">
      <c r="B459" s="48" t="str">
        <f>IF(C459="","",COUNT($C$9:C459))</f>
        <v/>
      </c>
      <c r="C459" s="49"/>
      <c r="D459" s="51"/>
      <c r="E459" s="53"/>
      <c r="F459" s="51"/>
      <c r="G459" s="51"/>
      <c r="H459" s="51"/>
      <c r="I459" s="51"/>
      <c r="J459" s="59"/>
      <c r="K459" s="60"/>
      <c r="L459" s="61"/>
      <c r="M459" s="62"/>
      <c r="N459" s="63" t="str">
        <f t="shared" si="91"/>
        <v/>
      </c>
      <c r="O459" s="64" t="str">
        <f t="shared" si="92"/>
        <v/>
      </c>
      <c r="P459" s="65" t="str">
        <f t="shared" si="93"/>
        <v/>
      </c>
      <c r="Q459" s="66" t="str">
        <f t="shared" si="99"/>
        <v/>
      </c>
      <c r="R459" s="51"/>
      <c r="S459" s="60"/>
      <c r="T459" s="52" t="str">
        <f t="shared" si="94"/>
        <v/>
      </c>
      <c r="U459" s="51"/>
      <c r="V459" s="56" t="str">
        <f t="shared" si="95"/>
        <v/>
      </c>
      <c r="X459" s="57" t="str">
        <f t="shared" si="96"/>
        <v/>
      </c>
      <c r="Y459" s="57">
        <f t="shared" si="97"/>
        <v>0</v>
      </c>
      <c r="Z459" s="57">
        <f t="shared" si="100"/>
        <v>59990</v>
      </c>
      <c r="AA459" s="57">
        <f t="shared" si="101"/>
        <v>0</v>
      </c>
      <c r="AB459" s="57">
        <f t="shared" si="98"/>
        <v>0.2</v>
      </c>
      <c r="AC459" s="57" t="str">
        <f t="shared" si="102"/>
        <v/>
      </c>
      <c r="AD459" s="57" t="str">
        <f t="shared" si="103"/>
        <v/>
      </c>
      <c r="AE459" s="57" t="str">
        <f>IF(AND($D459=RelConducteur,$S459="Oui",ISNUMBER($C459),$C459&gt;=RelDebut,$C459&lt;=RelFin),COUNTIFS($D$9:$D459,RelConducteur,$S$9:$S459,"Oui",$C$9:$C459,"&gt;="&amp;RelDebut,$C$9:$C459,"&lt;="&amp;RelFin),"")</f>
        <v/>
      </c>
    </row>
    <row r="460" spans="2:31" ht="18" customHeight="1" x14ac:dyDescent="0.25">
      <c r="B460" s="48" t="str">
        <f>IF(C460="","",COUNT($C$9:C460))</f>
        <v/>
      </c>
      <c r="C460" s="49"/>
      <c r="D460" s="51"/>
      <c r="E460" s="53"/>
      <c r="F460" s="51"/>
      <c r="G460" s="51"/>
      <c r="H460" s="51"/>
      <c r="I460" s="51"/>
      <c r="J460" s="59"/>
      <c r="K460" s="60"/>
      <c r="L460" s="61"/>
      <c r="M460" s="62"/>
      <c r="N460" s="63" t="str">
        <f t="shared" si="91"/>
        <v/>
      </c>
      <c r="O460" s="64" t="str">
        <f t="shared" si="92"/>
        <v/>
      </c>
      <c r="P460" s="65" t="str">
        <f t="shared" si="93"/>
        <v/>
      </c>
      <c r="Q460" s="66" t="str">
        <f t="shared" si="99"/>
        <v/>
      </c>
      <c r="R460" s="51"/>
      <c r="S460" s="60"/>
      <c r="T460" s="52" t="str">
        <f t="shared" si="94"/>
        <v/>
      </c>
      <c r="U460" s="51"/>
      <c r="V460" s="56" t="str">
        <f t="shared" si="95"/>
        <v/>
      </c>
      <c r="X460" s="57" t="str">
        <f t="shared" si="96"/>
        <v/>
      </c>
      <c r="Y460" s="57">
        <f t="shared" si="97"/>
        <v>0</v>
      </c>
      <c r="Z460" s="57">
        <f t="shared" si="100"/>
        <v>59990</v>
      </c>
      <c r="AA460" s="57">
        <f t="shared" si="101"/>
        <v>0</v>
      </c>
      <c r="AB460" s="57">
        <f t="shared" si="98"/>
        <v>0.2</v>
      </c>
      <c r="AC460" s="57" t="str">
        <f t="shared" si="102"/>
        <v/>
      </c>
      <c r="AD460" s="57" t="str">
        <f t="shared" si="103"/>
        <v/>
      </c>
      <c r="AE460" s="57" t="str">
        <f>IF(AND($D460=RelConducteur,$S460="Oui",ISNUMBER($C460),$C460&gt;=RelDebut,$C460&lt;=RelFin),COUNTIFS($D$9:$D460,RelConducteur,$S$9:$S460,"Oui",$C$9:$C460,"&gt;="&amp;RelDebut,$C$9:$C460,"&lt;="&amp;RelFin),"")</f>
        <v/>
      </c>
    </row>
    <row r="461" spans="2:31" ht="18" customHeight="1" x14ac:dyDescent="0.25">
      <c r="B461" s="48" t="str">
        <f>IF(C461="","",COUNT($C$9:C461))</f>
        <v/>
      </c>
      <c r="C461" s="49"/>
      <c r="D461" s="51"/>
      <c r="E461" s="53"/>
      <c r="F461" s="51"/>
      <c r="G461" s="51"/>
      <c r="H461" s="51"/>
      <c r="I461" s="51"/>
      <c r="J461" s="59"/>
      <c r="K461" s="60"/>
      <c r="L461" s="61"/>
      <c r="M461" s="62"/>
      <c r="N461" s="63" t="str">
        <f t="shared" si="91"/>
        <v/>
      </c>
      <c r="O461" s="64" t="str">
        <f t="shared" si="92"/>
        <v/>
      </c>
      <c r="P461" s="65" t="str">
        <f t="shared" si="93"/>
        <v/>
      </c>
      <c r="Q461" s="66" t="str">
        <f t="shared" si="99"/>
        <v/>
      </c>
      <c r="R461" s="51"/>
      <c r="S461" s="60"/>
      <c r="T461" s="52" t="str">
        <f t="shared" si="94"/>
        <v/>
      </c>
      <c r="U461" s="51"/>
      <c r="V461" s="56" t="str">
        <f t="shared" si="95"/>
        <v/>
      </c>
      <c r="X461" s="57" t="str">
        <f t="shared" si="96"/>
        <v/>
      </c>
      <c r="Y461" s="57">
        <f t="shared" si="97"/>
        <v>0</v>
      </c>
      <c r="Z461" s="57">
        <f t="shared" si="100"/>
        <v>59990</v>
      </c>
      <c r="AA461" s="57">
        <f t="shared" si="101"/>
        <v>0</v>
      </c>
      <c r="AB461" s="57">
        <f t="shared" si="98"/>
        <v>0.2</v>
      </c>
      <c r="AC461" s="57" t="str">
        <f t="shared" si="102"/>
        <v/>
      </c>
      <c r="AD461" s="57" t="str">
        <f t="shared" si="103"/>
        <v/>
      </c>
      <c r="AE461" s="57" t="str">
        <f>IF(AND($D461=RelConducteur,$S461="Oui",ISNUMBER($C461),$C461&gt;=RelDebut,$C461&lt;=RelFin),COUNTIFS($D$9:$D461,RelConducteur,$S$9:$S461,"Oui",$C$9:$C461,"&gt;="&amp;RelDebut,$C$9:$C461,"&lt;="&amp;RelFin),"")</f>
        <v/>
      </c>
    </row>
    <row r="462" spans="2:31" ht="18" customHeight="1" x14ac:dyDescent="0.25">
      <c r="B462" s="48" t="str">
        <f>IF(C462="","",COUNT($C$9:C462))</f>
        <v/>
      </c>
      <c r="C462" s="49"/>
      <c r="D462" s="51"/>
      <c r="E462" s="53"/>
      <c r="F462" s="51"/>
      <c r="G462" s="51"/>
      <c r="H462" s="51"/>
      <c r="I462" s="51"/>
      <c r="J462" s="59"/>
      <c r="K462" s="60"/>
      <c r="L462" s="61"/>
      <c r="M462" s="62"/>
      <c r="N462" s="63" t="str">
        <f t="shared" si="91"/>
        <v/>
      </c>
      <c r="O462" s="64" t="str">
        <f t="shared" si="92"/>
        <v/>
      </c>
      <c r="P462" s="65" t="str">
        <f t="shared" si="93"/>
        <v/>
      </c>
      <c r="Q462" s="66" t="str">
        <f t="shared" si="99"/>
        <v/>
      </c>
      <c r="R462" s="51"/>
      <c r="S462" s="60"/>
      <c r="T462" s="52" t="str">
        <f t="shared" si="94"/>
        <v/>
      </c>
      <c r="U462" s="51"/>
      <c r="V462" s="56" t="str">
        <f t="shared" si="95"/>
        <v/>
      </c>
      <c r="X462" s="57" t="str">
        <f t="shared" si="96"/>
        <v/>
      </c>
      <c r="Y462" s="57">
        <f t="shared" si="97"/>
        <v>0</v>
      </c>
      <c r="Z462" s="57">
        <f t="shared" si="100"/>
        <v>59990</v>
      </c>
      <c r="AA462" s="57">
        <f t="shared" si="101"/>
        <v>0</v>
      </c>
      <c r="AB462" s="57">
        <f t="shared" si="98"/>
        <v>0.2</v>
      </c>
      <c r="AC462" s="57" t="str">
        <f t="shared" si="102"/>
        <v/>
      </c>
      <c r="AD462" s="57" t="str">
        <f t="shared" si="103"/>
        <v/>
      </c>
      <c r="AE462" s="57" t="str">
        <f>IF(AND($D462=RelConducteur,$S462="Oui",ISNUMBER($C462),$C462&gt;=RelDebut,$C462&lt;=RelFin),COUNTIFS($D$9:$D462,RelConducteur,$S$9:$S462,"Oui",$C$9:$C462,"&gt;="&amp;RelDebut,$C$9:$C462,"&lt;="&amp;RelFin),"")</f>
        <v/>
      </c>
    </row>
    <row r="463" spans="2:31" ht="18" customHeight="1" x14ac:dyDescent="0.25">
      <c r="B463" s="48" t="str">
        <f>IF(C463="","",COUNT($C$9:C463))</f>
        <v/>
      </c>
      <c r="C463" s="49"/>
      <c r="D463" s="51"/>
      <c r="E463" s="53"/>
      <c r="F463" s="51"/>
      <c r="G463" s="51"/>
      <c r="H463" s="51"/>
      <c r="I463" s="51"/>
      <c r="J463" s="59"/>
      <c r="K463" s="60"/>
      <c r="L463" s="61"/>
      <c r="M463" s="62"/>
      <c r="N463" s="63" t="str">
        <f t="shared" si="91"/>
        <v/>
      </c>
      <c r="O463" s="64" t="str">
        <f t="shared" si="92"/>
        <v/>
      </c>
      <c r="P463" s="65" t="str">
        <f t="shared" si="93"/>
        <v/>
      </c>
      <c r="Q463" s="66" t="str">
        <f t="shared" si="99"/>
        <v/>
      </c>
      <c r="R463" s="51"/>
      <c r="S463" s="60"/>
      <c r="T463" s="52" t="str">
        <f t="shared" si="94"/>
        <v/>
      </c>
      <c r="U463" s="51"/>
      <c r="V463" s="56" t="str">
        <f t="shared" si="95"/>
        <v/>
      </c>
      <c r="X463" s="57" t="str">
        <f t="shared" si="96"/>
        <v/>
      </c>
      <c r="Y463" s="57">
        <f t="shared" si="97"/>
        <v>0</v>
      </c>
      <c r="Z463" s="57">
        <f t="shared" si="100"/>
        <v>59990</v>
      </c>
      <c r="AA463" s="57">
        <f t="shared" si="101"/>
        <v>0</v>
      </c>
      <c r="AB463" s="57">
        <f t="shared" si="98"/>
        <v>0.2</v>
      </c>
      <c r="AC463" s="57" t="str">
        <f t="shared" si="102"/>
        <v/>
      </c>
      <c r="AD463" s="57" t="str">
        <f t="shared" si="103"/>
        <v/>
      </c>
      <c r="AE463" s="57" t="str">
        <f>IF(AND($D463=RelConducteur,$S463="Oui",ISNUMBER($C463),$C463&gt;=RelDebut,$C463&lt;=RelFin),COUNTIFS($D$9:$D463,RelConducteur,$S$9:$S463,"Oui",$C$9:$C463,"&gt;="&amp;RelDebut,$C$9:$C463,"&lt;="&amp;RelFin),"")</f>
        <v/>
      </c>
    </row>
    <row r="464" spans="2:31" ht="18" customHeight="1" x14ac:dyDescent="0.25">
      <c r="B464" s="48" t="str">
        <f>IF(C464="","",COUNT($C$9:C464))</f>
        <v/>
      </c>
      <c r="C464" s="49"/>
      <c r="D464" s="51"/>
      <c r="E464" s="53"/>
      <c r="F464" s="51"/>
      <c r="G464" s="51"/>
      <c r="H464" s="51"/>
      <c r="I464" s="51"/>
      <c r="J464" s="59"/>
      <c r="K464" s="60"/>
      <c r="L464" s="61"/>
      <c r="M464" s="62"/>
      <c r="N464" s="63" t="str">
        <f t="shared" si="91"/>
        <v/>
      </c>
      <c r="O464" s="64" t="str">
        <f t="shared" si="92"/>
        <v/>
      </c>
      <c r="P464" s="65" t="str">
        <f t="shared" si="93"/>
        <v/>
      </c>
      <c r="Q464" s="66" t="str">
        <f t="shared" si="99"/>
        <v/>
      </c>
      <c r="R464" s="51"/>
      <c r="S464" s="60"/>
      <c r="T464" s="52" t="str">
        <f t="shared" si="94"/>
        <v/>
      </c>
      <c r="U464" s="51"/>
      <c r="V464" s="56" t="str">
        <f t="shared" si="95"/>
        <v/>
      </c>
      <c r="X464" s="57" t="str">
        <f t="shared" si="96"/>
        <v/>
      </c>
      <c r="Y464" s="57">
        <f t="shared" si="97"/>
        <v>0</v>
      </c>
      <c r="Z464" s="57">
        <f t="shared" si="100"/>
        <v>59990</v>
      </c>
      <c r="AA464" s="57">
        <f t="shared" si="101"/>
        <v>0</v>
      </c>
      <c r="AB464" s="57">
        <f t="shared" si="98"/>
        <v>0.2</v>
      </c>
      <c r="AC464" s="57" t="str">
        <f t="shared" si="102"/>
        <v/>
      </c>
      <c r="AD464" s="57" t="str">
        <f t="shared" si="103"/>
        <v/>
      </c>
      <c r="AE464" s="57" t="str">
        <f>IF(AND($D464=RelConducteur,$S464="Oui",ISNUMBER($C464),$C464&gt;=RelDebut,$C464&lt;=RelFin),COUNTIFS($D$9:$D464,RelConducteur,$S$9:$S464,"Oui",$C$9:$C464,"&gt;="&amp;RelDebut,$C$9:$C464,"&lt;="&amp;RelFin),"")</f>
        <v/>
      </c>
    </row>
    <row r="465" spans="2:31" ht="18" customHeight="1" x14ac:dyDescent="0.25">
      <c r="B465" s="48" t="str">
        <f>IF(C465="","",COUNT($C$9:C465))</f>
        <v/>
      </c>
      <c r="C465" s="49"/>
      <c r="D465" s="51"/>
      <c r="E465" s="53"/>
      <c r="F465" s="51"/>
      <c r="G465" s="51"/>
      <c r="H465" s="51"/>
      <c r="I465" s="51"/>
      <c r="J465" s="59"/>
      <c r="K465" s="60"/>
      <c r="L465" s="61"/>
      <c r="M465" s="62"/>
      <c r="N465" s="63" t="str">
        <f t="shared" si="91"/>
        <v/>
      </c>
      <c r="O465" s="64" t="str">
        <f t="shared" si="92"/>
        <v/>
      </c>
      <c r="P465" s="65" t="str">
        <f t="shared" si="93"/>
        <v/>
      </c>
      <c r="Q465" s="66" t="str">
        <f t="shared" si="99"/>
        <v/>
      </c>
      <c r="R465" s="51"/>
      <c r="S465" s="60"/>
      <c r="T465" s="52" t="str">
        <f t="shared" si="94"/>
        <v/>
      </c>
      <c r="U465" s="51"/>
      <c r="V465" s="56" t="str">
        <f t="shared" si="95"/>
        <v/>
      </c>
      <c r="X465" s="57" t="str">
        <f t="shared" si="96"/>
        <v/>
      </c>
      <c r="Y465" s="57">
        <f t="shared" si="97"/>
        <v>0</v>
      </c>
      <c r="Z465" s="57">
        <f t="shared" si="100"/>
        <v>59990</v>
      </c>
      <c r="AA465" s="57">
        <f t="shared" si="101"/>
        <v>0</v>
      </c>
      <c r="AB465" s="57">
        <f t="shared" si="98"/>
        <v>0.2</v>
      </c>
      <c r="AC465" s="57" t="str">
        <f t="shared" si="102"/>
        <v/>
      </c>
      <c r="AD465" s="57" t="str">
        <f t="shared" si="103"/>
        <v/>
      </c>
      <c r="AE465" s="57" t="str">
        <f>IF(AND($D465=RelConducteur,$S465="Oui",ISNUMBER($C465),$C465&gt;=RelDebut,$C465&lt;=RelFin),COUNTIFS($D$9:$D465,RelConducteur,$S$9:$S465,"Oui",$C$9:$C465,"&gt;="&amp;RelDebut,$C$9:$C465,"&lt;="&amp;RelFin),"")</f>
        <v/>
      </c>
    </row>
    <row r="466" spans="2:31" ht="18" customHeight="1" x14ac:dyDescent="0.25">
      <c r="B466" s="48" t="str">
        <f>IF(C466="","",COUNT($C$9:C466))</f>
        <v/>
      </c>
      <c r="C466" s="49"/>
      <c r="D466" s="51"/>
      <c r="E466" s="53"/>
      <c r="F466" s="51"/>
      <c r="G466" s="51"/>
      <c r="H466" s="51"/>
      <c r="I466" s="51"/>
      <c r="J466" s="59"/>
      <c r="K466" s="60"/>
      <c r="L466" s="61"/>
      <c r="M466" s="62"/>
      <c r="N466" s="63" t="str">
        <f t="shared" si="91"/>
        <v/>
      </c>
      <c r="O466" s="64" t="str">
        <f t="shared" si="92"/>
        <v/>
      </c>
      <c r="P466" s="65" t="str">
        <f t="shared" si="93"/>
        <v/>
      </c>
      <c r="Q466" s="66" t="str">
        <f t="shared" si="99"/>
        <v/>
      </c>
      <c r="R466" s="51"/>
      <c r="S466" s="60"/>
      <c r="T466" s="52" t="str">
        <f t="shared" si="94"/>
        <v/>
      </c>
      <c r="U466" s="51"/>
      <c r="V466" s="56" t="str">
        <f t="shared" si="95"/>
        <v/>
      </c>
      <c r="X466" s="57" t="str">
        <f t="shared" si="96"/>
        <v/>
      </c>
      <c r="Y466" s="57">
        <f t="shared" si="97"/>
        <v>0</v>
      </c>
      <c r="Z466" s="57">
        <f t="shared" si="100"/>
        <v>59990</v>
      </c>
      <c r="AA466" s="57">
        <f t="shared" si="101"/>
        <v>0</v>
      </c>
      <c r="AB466" s="57">
        <f t="shared" si="98"/>
        <v>0.2</v>
      </c>
      <c r="AC466" s="57" t="str">
        <f t="shared" si="102"/>
        <v/>
      </c>
      <c r="AD466" s="57" t="str">
        <f t="shared" si="103"/>
        <v/>
      </c>
      <c r="AE466" s="57" t="str">
        <f>IF(AND($D466=RelConducteur,$S466="Oui",ISNUMBER($C466),$C466&gt;=RelDebut,$C466&lt;=RelFin),COUNTIFS($D$9:$D466,RelConducteur,$S$9:$S466,"Oui",$C$9:$C466,"&gt;="&amp;RelDebut,$C$9:$C466,"&lt;="&amp;RelFin),"")</f>
        <v/>
      </c>
    </row>
    <row r="467" spans="2:31" ht="18" customHeight="1" x14ac:dyDescent="0.25">
      <c r="B467" s="48" t="str">
        <f>IF(C467="","",COUNT($C$9:C467))</f>
        <v/>
      </c>
      <c r="C467" s="49"/>
      <c r="D467" s="51"/>
      <c r="E467" s="53"/>
      <c r="F467" s="51"/>
      <c r="G467" s="51"/>
      <c r="H467" s="51"/>
      <c r="I467" s="51"/>
      <c r="J467" s="59"/>
      <c r="K467" s="60"/>
      <c r="L467" s="61"/>
      <c r="M467" s="62"/>
      <c r="N467" s="63" t="str">
        <f t="shared" si="91"/>
        <v/>
      </c>
      <c r="O467" s="64" t="str">
        <f t="shared" si="92"/>
        <v/>
      </c>
      <c r="P467" s="65" t="str">
        <f t="shared" si="93"/>
        <v/>
      </c>
      <c r="Q467" s="66" t="str">
        <f t="shared" si="99"/>
        <v/>
      </c>
      <c r="R467" s="51"/>
      <c r="S467" s="60"/>
      <c r="T467" s="52" t="str">
        <f t="shared" si="94"/>
        <v/>
      </c>
      <c r="U467" s="51"/>
      <c r="V467" s="56" t="str">
        <f t="shared" si="95"/>
        <v/>
      </c>
      <c r="X467" s="57" t="str">
        <f t="shared" si="96"/>
        <v/>
      </c>
      <c r="Y467" s="57">
        <f t="shared" si="97"/>
        <v>0</v>
      </c>
      <c r="Z467" s="57">
        <f t="shared" si="100"/>
        <v>59990</v>
      </c>
      <c r="AA467" s="57">
        <f t="shared" si="101"/>
        <v>0</v>
      </c>
      <c r="AB467" s="57">
        <f t="shared" si="98"/>
        <v>0.2</v>
      </c>
      <c r="AC467" s="57" t="str">
        <f t="shared" si="102"/>
        <v/>
      </c>
      <c r="AD467" s="57" t="str">
        <f t="shared" si="103"/>
        <v/>
      </c>
      <c r="AE467" s="57" t="str">
        <f>IF(AND($D467=RelConducteur,$S467="Oui",ISNUMBER($C467),$C467&gt;=RelDebut,$C467&lt;=RelFin),COUNTIFS($D$9:$D467,RelConducteur,$S$9:$S467,"Oui",$C$9:$C467,"&gt;="&amp;RelDebut,$C$9:$C467,"&lt;="&amp;RelFin),"")</f>
        <v/>
      </c>
    </row>
    <row r="468" spans="2:31" ht="18" customHeight="1" x14ac:dyDescent="0.25">
      <c r="B468" s="48" t="str">
        <f>IF(C468="","",COUNT($C$9:C468))</f>
        <v/>
      </c>
      <c r="C468" s="49"/>
      <c r="D468" s="51"/>
      <c r="E468" s="53"/>
      <c r="F468" s="51"/>
      <c r="G468" s="51"/>
      <c r="H468" s="51"/>
      <c r="I468" s="51"/>
      <c r="J468" s="59"/>
      <c r="K468" s="60"/>
      <c r="L468" s="61"/>
      <c r="M468" s="62"/>
      <c r="N468" s="63" t="str">
        <f t="shared" si="91"/>
        <v/>
      </c>
      <c r="O468" s="64" t="str">
        <f t="shared" si="92"/>
        <v/>
      </c>
      <c r="P468" s="65" t="str">
        <f t="shared" si="93"/>
        <v/>
      </c>
      <c r="Q468" s="66" t="str">
        <f t="shared" si="99"/>
        <v/>
      </c>
      <c r="R468" s="51"/>
      <c r="S468" s="60"/>
      <c r="T468" s="52" t="str">
        <f t="shared" si="94"/>
        <v/>
      </c>
      <c r="U468" s="51"/>
      <c r="V468" s="56" t="str">
        <f t="shared" si="95"/>
        <v/>
      </c>
      <c r="X468" s="57" t="str">
        <f t="shared" si="96"/>
        <v/>
      </c>
      <c r="Y468" s="57">
        <f t="shared" si="97"/>
        <v>0</v>
      </c>
      <c r="Z468" s="57">
        <f t="shared" si="100"/>
        <v>59990</v>
      </c>
      <c r="AA468" s="57">
        <f t="shared" si="101"/>
        <v>0</v>
      </c>
      <c r="AB468" s="57">
        <f t="shared" si="98"/>
        <v>0.2</v>
      </c>
      <c r="AC468" s="57" t="str">
        <f t="shared" si="102"/>
        <v/>
      </c>
      <c r="AD468" s="57" t="str">
        <f t="shared" si="103"/>
        <v/>
      </c>
      <c r="AE468" s="57" t="str">
        <f>IF(AND($D468=RelConducteur,$S468="Oui",ISNUMBER($C468),$C468&gt;=RelDebut,$C468&lt;=RelFin),COUNTIFS($D$9:$D468,RelConducteur,$S$9:$S468,"Oui",$C$9:$C468,"&gt;="&amp;RelDebut,$C$9:$C468,"&lt;="&amp;RelFin),"")</f>
        <v/>
      </c>
    </row>
    <row r="469" spans="2:31" ht="18" customHeight="1" x14ac:dyDescent="0.25">
      <c r="B469" s="48" t="str">
        <f>IF(C469="","",COUNT($C$9:C469))</f>
        <v/>
      </c>
      <c r="C469" s="49"/>
      <c r="D469" s="51"/>
      <c r="E469" s="53"/>
      <c r="F469" s="51"/>
      <c r="G469" s="51"/>
      <c r="H469" s="51"/>
      <c r="I469" s="51"/>
      <c r="J469" s="59"/>
      <c r="K469" s="60"/>
      <c r="L469" s="61"/>
      <c r="M469" s="62"/>
      <c r="N469" s="63" t="str">
        <f t="shared" si="91"/>
        <v/>
      </c>
      <c r="O469" s="64" t="str">
        <f t="shared" si="92"/>
        <v/>
      </c>
      <c r="P469" s="65" t="str">
        <f t="shared" si="93"/>
        <v/>
      </c>
      <c r="Q469" s="66" t="str">
        <f t="shared" si="99"/>
        <v/>
      </c>
      <c r="R469" s="51"/>
      <c r="S469" s="60"/>
      <c r="T469" s="52" t="str">
        <f t="shared" si="94"/>
        <v/>
      </c>
      <c r="U469" s="51"/>
      <c r="V469" s="56" t="str">
        <f t="shared" si="95"/>
        <v/>
      </c>
      <c r="X469" s="57" t="str">
        <f t="shared" si="96"/>
        <v/>
      </c>
      <c r="Y469" s="57">
        <f t="shared" si="97"/>
        <v>0</v>
      </c>
      <c r="Z469" s="57">
        <f t="shared" si="100"/>
        <v>59990</v>
      </c>
      <c r="AA469" s="57">
        <f t="shared" si="101"/>
        <v>0</v>
      </c>
      <c r="AB469" s="57">
        <f t="shared" si="98"/>
        <v>0.2</v>
      </c>
      <c r="AC469" s="57" t="str">
        <f t="shared" si="102"/>
        <v/>
      </c>
      <c r="AD469" s="57" t="str">
        <f t="shared" si="103"/>
        <v/>
      </c>
      <c r="AE469" s="57" t="str">
        <f>IF(AND($D469=RelConducteur,$S469="Oui",ISNUMBER($C469),$C469&gt;=RelDebut,$C469&lt;=RelFin),COUNTIFS($D$9:$D469,RelConducteur,$S$9:$S469,"Oui",$C$9:$C469,"&gt;="&amp;RelDebut,$C$9:$C469,"&lt;="&amp;RelFin),"")</f>
        <v/>
      </c>
    </row>
    <row r="470" spans="2:31" ht="18" customHeight="1" x14ac:dyDescent="0.25">
      <c r="B470" s="48" t="str">
        <f>IF(C470="","",COUNT($C$9:C470))</f>
        <v/>
      </c>
      <c r="C470" s="49"/>
      <c r="D470" s="51"/>
      <c r="E470" s="53"/>
      <c r="F470" s="51"/>
      <c r="G470" s="51"/>
      <c r="H470" s="51"/>
      <c r="I470" s="51"/>
      <c r="J470" s="59"/>
      <c r="K470" s="60"/>
      <c r="L470" s="61"/>
      <c r="M470" s="62"/>
      <c r="N470" s="63" t="str">
        <f t="shared" si="91"/>
        <v/>
      </c>
      <c r="O470" s="64" t="str">
        <f t="shared" si="92"/>
        <v/>
      </c>
      <c r="P470" s="65" t="str">
        <f t="shared" si="93"/>
        <v/>
      </c>
      <c r="Q470" s="66" t="str">
        <f t="shared" si="99"/>
        <v/>
      </c>
      <c r="R470" s="51"/>
      <c r="S470" s="60"/>
      <c r="T470" s="52" t="str">
        <f t="shared" si="94"/>
        <v/>
      </c>
      <c r="U470" s="51"/>
      <c r="V470" s="56" t="str">
        <f t="shared" si="95"/>
        <v/>
      </c>
      <c r="X470" s="57" t="str">
        <f t="shared" si="96"/>
        <v/>
      </c>
      <c r="Y470" s="57">
        <f t="shared" si="97"/>
        <v>0</v>
      </c>
      <c r="Z470" s="57">
        <f t="shared" si="100"/>
        <v>59990</v>
      </c>
      <c r="AA470" s="57">
        <f t="shared" si="101"/>
        <v>0</v>
      </c>
      <c r="AB470" s="57">
        <f t="shared" si="98"/>
        <v>0.2</v>
      </c>
      <c r="AC470" s="57" t="str">
        <f t="shared" si="102"/>
        <v/>
      </c>
      <c r="AD470" s="57" t="str">
        <f t="shared" si="103"/>
        <v/>
      </c>
      <c r="AE470" s="57" t="str">
        <f>IF(AND($D470=RelConducteur,$S470="Oui",ISNUMBER($C470),$C470&gt;=RelDebut,$C470&lt;=RelFin),COUNTIFS($D$9:$D470,RelConducteur,$S$9:$S470,"Oui",$C$9:$C470,"&gt;="&amp;RelDebut,$C$9:$C470,"&lt;="&amp;RelFin),"")</f>
        <v/>
      </c>
    </row>
    <row r="471" spans="2:31" ht="18" customHeight="1" x14ac:dyDescent="0.25">
      <c r="B471" s="48" t="str">
        <f>IF(C471="","",COUNT($C$9:C471))</f>
        <v/>
      </c>
      <c r="C471" s="49"/>
      <c r="D471" s="51"/>
      <c r="E471" s="53"/>
      <c r="F471" s="51"/>
      <c r="G471" s="51"/>
      <c r="H471" s="51"/>
      <c r="I471" s="51"/>
      <c r="J471" s="59"/>
      <c r="K471" s="60"/>
      <c r="L471" s="61"/>
      <c r="M471" s="62"/>
      <c r="N471" s="63" t="str">
        <f t="shared" si="91"/>
        <v/>
      </c>
      <c r="O471" s="64" t="str">
        <f t="shared" si="92"/>
        <v/>
      </c>
      <c r="P471" s="65" t="str">
        <f t="shared" si="93"/>
        <v/>
      </c>
      <c r="Q471" s="66" t="str">
        <f t="shared" si="99"/>
        <v/>
      </c>
      <c r="R471" s="51"/>
      <c r="S471" s="60"/>
      <c r="T471" s="52" t="str">
        <f t="shared" si="94"/>
        <v/>
      </c>
      <c r="U471" s="51"/>
      <c r="V471" s="56" t="str">
        <f t="shared" si="95"/>
        <v/>
      </c>
      <c r="X471" s="57" t="str">
        <f t="shared" si="96"/>
        <v/>
      </c>
      <c r="Y471" s="57">
        <f t="shared" si="97"/>
        <v>0</v>
      </c>
      <c r="Z471" s="57">
        <f t="shared" si="100"/>
        <v>59990</v>
      </c>
      <c r="AA471" s="57">
        <f t="shared" si="101"/>
        <v>0</v>
      </c>
      <c r="AB471" s="57">
        <f t="shared" si="98"/>
        <v>0.2</v>
      </c>
      <c r="AC471" s="57" t="str">
        <f t="shared" si="102"/>
        <v/>
      </c>
      <c r="AD471" s="57" t="str">
        <f t="shared" si="103"/>
        <v/>
      </c>
      <c r="AE471" s="57" t="str">
        <f>IF(AND($D471=RelConducteur,$S471="Oui",ISNUMBER($C471),$C471&gt;=RelDebut,$C471&lt;=RelFin),COUNTIFS($D$9:$D471,RelConducteur,$S$9:$S471,"Oui",$C$9:$C471,"&gt;="&amp;RelDebut,$C$9:$C471,"&lt;="&amp;RelFin),"")</f>
        <v/>
      </c>
    </row>
    <row r="472" spans="2:31" ht="18" customHeight="1" x14ac:dyDescent="0.25">
      <c r="B472" s="48" t="str">
        <f>IF(C472="","",COUNT($C$9:C472))</f>
        <v/>
      </c>
      <c r="C472" s="49"/>
      <c r="D472" s="51"/>
      <c r="E472" s="53"/>
      <c r="F472" s="51"/>
      <c r="G472" s="51"/>
      <c r="H472" s="51"/>
      <c r="I472" s="51"/>
      <c r="J472" s="59"/>
      <c r="K472" s="60"/>
      <c r="L472" s="61"/>
      <c r="M472" s="62"/>
      <c r="N472" s="63" t="str">
        <f t="shared" si="91"/>
        <v/>
      </c>
      <c r="O472" s="64" t="str">
        <f t="shared" si="92"/>
        <v/>
      </c>
      <c r="P472" s="65" t="str">
        <f t="shared" si="93"/>
        <v/>
      </c>
      <c r="Q472" s="66" t="str">
        <f t="shared" si="99"/>
        <v/>
      </c>
      <c r="R472" s="51"/>
      <c r="S472" s="60"/>
      <c r="T472" s="52" t="str">
        <f t="shared" si="94"/>
        <v/>
      </c>
      <c r="U472" s="51"/>
      <c r="V472" s="56" t="str">
        <f t="shared" si="95"/>
        <v/>
      </c>
      <c r="X472" s="57" t="str">
        <f t="shared" si="96"/>
        <v/>
      </c>
      <c r="Y472" s="57">
        <f t="shared" si="97"/>
        <v>0</v>
      </c>
      <c r="Z472" s="57">
        <f t="shared" si="100"/>
        <v>59990</v>
      </c>
      <c r="AA472" s="57">
        <f t="shared" si="101"/>
        <v>0</v>
      </c>
      <c r="AB472" s="57">
        <f t="shared" si="98"/>
        <v>0.2</v>
      </c>
      <c r="AC472" s="57" t="str">
        <f t="shared" si="102"/>
        <v/>
      </c>
      <c r="AD472" s="57" t="str">
        <f t="shared" si="103"/>
        <v/>
      </c>
      <c r="AE472" s="57" t="str">
        <f>IF(AND($D472=RelConducteur,$S472="Oui",ISNUMBER($C472),$C472&gt;=RelDebut,$C472&lt;=RelFin),COUNTIFS($D$9:$D472,RelConducteur,$S$9:$S472,"Oui",$C$9:$C472,"&gt;="&amp;RelDebut,$C$9:$C472,"&lt;="&amp;RelFin),"")</f>
        <v/>
      </c>
    </row>
    <row r="473" spans="2:31" ht="18" customHeight="1" x14ac:dyDescent="0.25">
      <c r="B473" s="48" t="str">
        <f>IF(C473="","",COUNT($C$9:C473))</f>
        <v/>
      </c>
      <c r="C473" s="49"/>
      <c r="D473" s="51"/>
      <c r="E473" s="53"/>
      <c r="F473" s="51"/>
      <c r="G473" s="51"/>
      <c r="H473" s="51"/>
      <c r="I473" s="51"/>
      <c r="J473" s="59"/>
      <c r="K473" s="60"/>
      <c r="L473" s="61"/>
      <c r="M473" s="62"/>
      <c r="N473" s="63" t="str">
        <f t="shared" si="91"/>
        <v/>
      </c>
      <c r="O473" s="64" t="str">
        <f t="shared" si="92"/>
        <v/>
      </c>
      <c r="P473" s="65" t="str">
        <f t="shared" si="93"/>
        <v/>
      </c>
      <c r="Q473" s="66" t="str">
        <f t="shared" si="99"/>
        <v/>
      </c>
      <c r="R473" s="51"/>
      <c r="S473" s="60"/>
      <c r="T473" s="52" t="str">
        <f t="shared" si="94"/>
        <v/>
      </c>
      <c r="U473" s="51"/>
      <c r="V473" s="56" t="str">
        <f t="shared" si="95"/>
        <v/>
      </c>
      <c r="X473" s="57" t="str">
        <f t="shared" si="96"/>
        <v/>
      </c>
      <c r="Y473" s="57">
        <f t="shared" si="97"/>
        <v>0</v>
      </c>
      <c r="Z473" s="57">
        <f t="shared" si="100"/>
        <v>59990</v>
      </c>
      <c r="AA473" s="57">
        <f t="shared" si="101"/>
        <v>0</v>
      </c>
      <c r="AB473" s="57">
        <f t="shared" si="98"/>
        <v>0.2</v>
      </c>
      <c r="AC473" s="57" t="str">
        <f t="shared" si="102"/>
        <v/>
      </c>
      <c r="AD473" s="57" t="str">
        <f t="shared" si="103"/>
        <v/>
      </c>
      <c r="AE473" s="57" t="str">
        <f>IF(AND($D473=RelConducteur,$S473="Oui",ISNUMBER($C473),$C473&gt;=RelDebut,$C473&lt;=RelFin),COUNTIFS($D$9:$D473,RelConducteur,$S$9:$S473,"Oui",$C$9:$C473,"&gt;="&amp;RelDebut,$C$9:$C473,"&lt;="&amp;RelFin),"")</f>
        <v/>
      </c>
    </row>
    <row r="474" spans="2:31" ht="18" customHeight="1" x14ac:dyDescent="0.25">
      <c r="B474" s="48" t="str">
        <f>IF(C474="","",COUNT($C$9:C474))</f>
        <v/>
      </c>
      <c r="C474" s="49"/>
      <c r="D474" s="51"/>
      <c r="E474" s="53"/>
      <c r="F474" s="51"/>
      <c r="G474" s="51"/>
      <c r="H474" s="51"/>
      <c r="I474" s="51"/>
      <c r="J474" s="59"/>
      <c r="K474" s="60"/>
      <c r="L474" s="61"/>
      <c r="M474" s="62"/>
      <c r="N474" s="63" t="str">
        <f t="shared" si="91"/>
        <v/>
      </c>
      <c r="O474" s="64" t="str">
        <f t="shared" si="92"/>
        <v/>
      </c>
      <c r="P474" s="65" t="str">
        <f t="shared" si="93"/>
        <v/>
      </c>
      <c r="Q474" s="66" t="str">
        <f t="shared" si="99"/>
        <v/>
      </c>
      <c r="R474" s="51"/>
      <c r="S474" s="60"/>
      <c r="T474" s="52" t="str">
        <f t="shared" si="94"/>
        <v/>
      </c>
      <c r="U474" s="51"/>
      <c r="V474" s="56" t="str">
        <f t="shared" si="95"/>
        <v/>
      </c>
      <c r="X474" s="57" t="str">
        <f t="shared" si="96"/>
        <v/>
      </c>
      <c r="Y474" s="57">
        <f t="shared" si="97"/>
        <v>0</v>
      </c>
      <c r="Z474" s="57">
        <f t="shared" si="100"/>
        <v>59990</v>
      </c>
      <c r="AA474" s="57">
        <f t="shared" si="101"/>
        <v>0</v>
      </c>
      <c r="AB474" s="57">
        <f t="shared" si="98"/>
        <v>0.2</v>
      </c>
      <c r="AC474" s="57" t="str">
        <f t="shared" si="102"/>
        <v/>
      </c>
      <c r="AD474" s="57" t="str">
        <f t="shared" si="103"/>
        <v/>
      </c>
      <c r="AE474" s="57" t="str">
        <f>IF(AND($D474=RelConducteur,$S474="Oui",ISNUMBER($C474),$C474&gt;=RelDebut,$C474&lt;=RelFin),COUNTIFS($D$9:$D474,RelConducteur,$S$9:$S474,"Oui",$C$9:$C474,"&gt;="&amp;RelDebut,$C$9:$C474,"&lt;="&amp;RelFin),"")</f>
        <v/>
      </c>
    </row>
    <row r="475" spans="2:31" ht="18" customHeight="1" x14ac:dyDescent="0.25">
      <c r="B475" s="48" t="str">
        <f>IF(C475="","",COUNT($C$9:C475))</f>
        <v/>
      </c>
      <c r="C475" s="49"/>
      <c r="D475" s="51"/>
      <c r="E475" s="53"/>
      <c r="F475" s="51"/>
      <c r="G475" s="51"/>
      <c r="H475" s="51"/>
      <c r="I475" s="51"/>
      <c r="J475" s="59"/>
      <c r="K475" s="60"/>
      <c r="L475" s="61"/>
      <c r="M475" s="62"/>
      <c r="N475" s="63" t="str">
        <f t="shared" si="91"/>
        <v/>
      </c>
      <c r="O475" s="64" t="str">
        <f t="shared" si="92"/>
        <v/>
      </c>
      <c r="P475" s="65" t="str">
        <f t="shared" si="93"/>
        <v/>
      </c>
      <c r="Q475" s="66" t="str">
        <f t="shared" si="99"/>
        <v/>
      </c>
      <c r="R475" s="51"/>
      <c r="S475" s="60"/>
      <c r="T475" s="52" t="str">
        <f t="shared" si="94"/>
        <v/>
      </c>
      <c r="U475" s="51"/>
      <c r="V475" s="56" t="str">
        <f t="shared" si="95"/>
        <v/>
      </c>
      <c r="X475" s="57" t="str">
        <f t="shared" si="96"/>
        <v/>
      </c>
      <c r="Y475" s="57">
        <f t="shared" si="97"/>
        <v>0</v>
      </c>
      <c r="Z475" s="57">
        <f t="shared" si="100"/>
        <v>59990</v>
      </c>
      <c r="AA475" s="57">
        <f t="shared" si="101"/>
        <v>0</v>
      </c>
      <c r="AB475" s="57">
        <f t="shared" si="98"/>
        <v>0.2</v>
      </c>
      <c r="AC475" s="57" t="str">
        <f t="shared" si="102"/>
        <v/>
      </c>
      <c r="AD475" s="57" t="str">
        <f t="shared" si="103"/>
        <v/>
      </c>
      <c r="AE475" s="57" t="str">
        <f>IF(AND($D475=RelConducteur,$S475="Oui",ISNUMBER($C475),$C475&gt;=RelDebut,$C475&lt;=RelFin),COUNTIFS($D$9:$D475,RelConducteur,$S$9:$S475,"Oui",$C$9:$C475,"&gt;="&amp;RelDebut,$C$9:$C475,"&lt;="&amp;RelFin),"")</f>
        <v/>
      </c>
    </row>
    <row r="476" spans="2:31" ht="18" customHeight="1" x14ac:dyDescent="0.25">
      <c r="B476" s="48" t="str">
        <f>IF(C476="","",COUNT($C$9:C476))</f>
        <v/>
      </c>
      <c r="C476" s="49"/>
      <c r="D476" s="51"/>
      <c r="E476" s="53"/>
      <c r="F476" s="51"/>
      <c r="G476" s="51"/>
      <c r="H476" s="51"/>
      <c r="I476" s="51"/>
      <c r="J476" s="59"/>
      <c r="K476" s="60"/>
      <c r="L476" s="61"/>
      <c r="M476" s="62"/>
      <c r="N476" s="63" t="str">
        <f t="shared" si="91"/>
        <v/>
      </c>
      <c r="O476" s="64" t="str">
        <f t="shared" si="92"/>
        <v/>
      </c>
      <c r="P476" s="65" t="str">
        <f t="shared" si="93"/>
        <v/>
      </c>
      <c r="Q476" s="66" t="str">
        <f t="shared" si="99"/>
        <v/>
      </c>
      <c r="R476" s="51"/>
      <c r="S476" s="60"/>
      <c r="T476" s="52" t="str">
        <f t="shared" si="94"/>
        <v/>
      </c>
      <c r="U476" s="51"/>
      <c r="V476" s="56" t="str">
        <f t="shared" si="95"/>
        <v/>
      </c>
      <c r="X476" s="57" t="str">
        <f t="shared" si="96"/>
        <v/>
      </c>
      <c r="Y476" s="57">
        <f t="shared" si="97"/>
        <v>0</v>
      </c>
      <c r="Z476" s="57">
        <f t="shared" si="100"/>
        <v>59990</v>
      </c>
      <c r="AA476" s="57">
        <f t="shared" si="101"/>
        <v>0</v>
      </c>
      <c r="AB476" s="57">
        <f t="shared" si="98"/>
        <v>0.2</v>
      </c>
      <c r="AC476" s="57" t="str">
        <f t="shared" si="102"/>
        <v/>
      </c>
      <c r="AD476" s="57" t="str">
        <f t="shared" si="103"/>
        <v/>
      </c>
      <c r="AE476" s="57" t="str">
        <f>IF(AND($D476=RelConducteur,$S476="Oui",ISNUMBER($C476),$C476&gt;=RelDebut,$C476&lt;=RelFin),COUNTIFS($D$9:$D476,RelConducteur,$S$9:$S476,"Oui",$C$9:$C476,"&gt;="&amp;RelDebut,$C$9:$C476,"&lt;="&amp;RelFin),"")</f>
        <v/>
      </c>
    </row>
    <row r="477" spans="2:31" ht="18" customHeight="1" x14ac:dyDescent="0.25">
      <c r="B477" s="48" t="str">
        <f>IF(C477="","",COUNT($C$9:C477))</f>
        <v/>
      </c>
      <c r="C477" s="49"/>
      <c r="D477" s="51"/>
      <c r="E477" s="53"/>
      <c r="F477" s="51"/>
      <c r="G477" s="51"/>
      <c r="H477" s="51"/>
      <c r="I477" s="51"/>
      <c r="J477" s="59"/>
      <c r="K477" s="60"/>
      <c r="L477" s="61"/>
      <c r="M477" s="62"/>
      <c r="N477" s="63" t="str">
        <f t="shared" si="91"/>
        <v/>
      </c>
      <c r="O477" s="64" t="str">
        <f t="shared" si="92"/>
        <v/>
      </c>
      <c r="P477" s="65" t="str">
        <f t="shared" si="93"/>
        <v/>
      </c>
      <c r="Q477" s="66" t="str">
        <f t="shared" si="99"/>
        <v/>
      </c>
      <c r="R477" s="51"/>
      <c r="S477" s="60"/>
      <c r="T477" s="52" t="str">
        <f t="shared" si="94"/>
        <v/>
      </c>
      <c r="U477" s="51"/>
      <c r="V477" s="56" t="str">
        <f t="shared" si="95"/>
        <v/>
      </c>
      <c r="X477" s="57" t="str">
        <f t="shared" si="96"/>
        <v/>
      </c>
      <c r="Y477" s="57">
        <f t="shared" si="97"/>
        <v>0</v>
      </c>
      <c r="Z477" s="57">
        <f t="shared" si="100"/>
        <v>59990</v>
      </c>
      <c r="AA477" s="57">
        <f t="shared" si="101"/>
        <v>0</v>
      </c>
      <c r="AB477" s="57">
        <f t="shared" si="98"/>
        <v>0.2</v>
      </c>
      <c r="AC477" s="57" t="str">
        <f t="shared" si="102"/>
        <v/>
      </c>
      <c r="AD477" s="57" t="str">
        <f t="shared" si="103"/>
        <v/>
      </c>
      <c r="AE477" s="57" t="str">
        <f>IF(AND($D477=RelConducteur,$S477="Oui",ISNUMBER($C477),$C477&gt;=RelDebut,$C477&lt;=RelFin),COUNTIFS($D$9:$D477,RelConducteur,$S$9:$S477,"Oui",$C$9:$C477,"&gt;="&amp;RelDebut,$C$9:$C477,"&lt;="&amp;RelFin),"")</f>
        <v/>
      </c>
    </row>
    <row r="478" spans="2:31" ht="18" customHeight="1" x14ac:dyDescent="0.25">
      <c r="B478" s="48" t="str">
        <f>IF(C478="","",COUNT($C$9:C478))</f>
        <v/>
      </c>
      <c r="C478" s="49"/>
      <c r="D478" s="51"/>
      <c r="E478" s="53"/>
      <c r="F478" s="51"/>
      <c r="G478" s="51"/>
      <c r="H478" s="51"/>
      <c r="I478" s="51"/>
      <c r="J478" s="59"/>
      <c r="K478" s="60"/>
      <c r="L478" s="61"/>
      <c r="M478" s="62"/>
      <c r="N478" s="63" t="str">
        <f t="shared" si="91"/>
        <v/>
      </c>
      <c r="O478" s="64" t="str">
        <f t="shared" si="92"/>
        <v/>
      </c>
      <c r="P478" s="65" t="str">
        <f t="shared" si="93"/>
        <v/>
      </c>
      <c r="Q478" s="66" t="str">
        <f t="shared" si="99"/>
        <v/>
      </c>
      <c r="R478" s="51"/>
      <c r="S478" s="60"/>
      <c r="T478" s="52" t="str">
        <f t="shared" si="94"/>
        <v/>
      </c>
      <c r="U478" s="51"/>
      <c r="V478" s="56" t="str">
        <f t="shared" si="95"/>
        <v/>
      </c>
      <c r="X478" s="57" t="str">
        <f t="shared" si="96"/>
        <v/>
      </c>
      <c r="Y478" s="57">
        <f t="shared" si="97"/>
        <v>0</v>
      </c>
      <c r="Z478" s="57">
        <f t="shared" si="100"/>
        <v>59990</v>
      </c>
      <c r="AA478" s="57">
        <f t="shared" si="101"/>
        <v>0</v>
      </c>
      <c r="AB478" s="57">
        <f t="shared" si="98"/>
        <v>0.2</v>
      </c>
      <c r="AC478" s="57" t="str">
        <f t="shared" si="102"/>
        <v/>
      </c>
      <c r="AD478" s="57" t="str">
        <f t="shared" si="103"/>
        <v/>
      </c>
      <c r="AE478" s="57" t="str">
        <f>IF(AND($D478=RelConducteur,$S478="Oui",ISNUMBER($C478),$C478&gt;=RelDebut,$C478&lt;=RelFin),COUNTIFS($D$9:$D478,RelConducteur,$S$9:$S478,"Oui",$C$9:$C478,"&gt;="&amp;RelDebut,$C$9:$C478,"&lt;="&amp;RelFin),"")</f>
        <v/>
      </c>
    </row>
    <row r="479" spans="2:31" ht="18" customHeight="1" x14ac:dyDescent="0.25">
      <c r="B479" s="48" t="str">
        <f>IF(C479="","",COUNT($C$9:C479))</f>
        <v/>
      </c>
      <c r="C479" s="49"/>
      <c r="D479" s="51"/>
      <c r="E479" s="53"/>
      <c r="F479" s="51"/>
      <c r="G479" s="51"/>
      <c r="H479" s="51"/>
      <c r="I479" s="51"/>
      <c r="J479" s="59"/>
      <c r="K479" s="60"/>
      <c r="L479" s="61"/>
      <c r="M479" s="62"/>
      <c r="N479" s="63" t="str">
        <f t="shared" si="91"/>
        <v/>
      </c>
      <c r="O479" s="64" t="str">
        <f t="shared" si="92"/>
        <v/>
      </c>
      <c r="P479" s="65" t="str">
        <f t="shared" si="93"/>
        <v/>
      </c>
      <c r="Q479" s="66" t="str">
        <f t="shared" si="99"/>
        <v/>
      </c>
      <c r="R479" s="51"/>
      <c r="S479" s="60"/>
      <c r="T479" s="52" t="str">
        <f t="shared" si="94"/>
        <v/>
      </c>
      <c r="U479" s="51"/>
      <c r="V479" s="56" t="str">
        <f t="shared" si="95"/>
        <v/>
      </c>
      <c r="X479" s="57" t="str">
        <f t="shared" si="96"/>
        <v/>
      </c>
      <c r="Y479" s="57">
        <f t="shared" si="97"/>
        <v>0</v>
      </c>
      <c r="Z479" s="57">
        <f t="shared" si="100"/>
        <v>59990</v>
      </c>
      <c r="AA479" s="57">
        <f t="shared" si="101"/>
        <v>0</v>
      </c>
      <c r="AB479" s="57">
        <f t="shared" si="98"/>
        <v>0.2</v>
      </c>
      <c r="AC479" s="57" t="str">
        <f t="shared" si="102"/>
        <v/>
      </c>
      <c r="AD479" s="57" t="str">
        <f t="shared" si="103"/>
        <v/>
      </c>
      <c r="AE479" s="57" t="str">
        <f>IF(AND($D479=RelConducteur,$S479="Oui",ISNUMBER($C479),$C479&gt;=RelDebut,$C479&lt;=RelFin),COUNTIFS($D$9:$D479,RelConducteur,$S$9:$S479,"Oui",$C$9:$C479,"&gt;="&amp;RelDebut,$C$9:$C479,"&lt;="&amp;RelFin),"")</f>
        <v/>
      </c>
    </row>
    <row r="480" spans="2:31" ht="18" customHeight="1" x14ac:dyDescent="0.25">
      <c r="B480" s="48" t="str">
        <f>IF(C480="","",COUNT($C$9:C480))</f>
        <v/>
      </c>
      <c r="C480" s="49"/>
      <c r="D480" s="51"/>
      <c r="E480" s="53"/>
      <c r="F480" s="51"/>
      <c r="G480" s="51"/>
      <c r="H480" s="51"/>
      <c r="I480" s="51"/>
      <c r="J480" s="59"/>
      <c r="K480" s="60"/>
      <c r="L480" s="61"/>
      <c r="M480" s="62"/>
      <c r="N480" s="63" t="str">
        <f t="shared" si="91"/>
        <v/>
      </c>
      <c r="O480" s="64" t="str">
        <f t="shared" si="92"/>
        <v/>
      </c>
      <c r="P480" s="65" t="str">
        <f t="shared" si="93"/>
        <v/>
      </c>
      <c r="Q480" s="66" t="str">
        <f t="shared" si="99"/>
        <v/>
      </c>
      <c r="R480" s="51"/>
      <c r="S480" s="60"/>
      <c r="T480" s="52" t="str">
        <f t="shared" si="94"/>
        <v/>
      </c>
      <c r="U480" s="51"/>
      <c r="V480" s="56" t="str">
        <f t="shared" si="95"/>
        <v/>
      </c>
      <c r="X480" s="57" t="str">
        <f t="shared" si="96"/>
        <v/>
      </c>
      <c r="Y480" s="57">
        <f t="shared" si="97"/>
        <v>0</v>
      </c>
      <c r="Z480" s="57">
        <f t="shared" si="100"/>
        <v>59990</v>
      </c>
      <c r="AA480" s="57">
        <f t="shared" si="101"/>
        <v>0</v>
      </c>
      <c r="AB480" s="57">
        <f t="shared" si="98"/>
        <v>0.2</v>
      </c>
      <c r="AC480" s="57" t="str">
        <f t="shared" si="102"/>
        <v/>
      </c>
      <c r="AD480" s="57" t="str">
        <f t="shared" si="103"/>
        <v/>
      </c>
      <c r="AE480" s="57" t="str">
        <f>IF(AND($D480=RelConducteur,$S480="Oui",ISNUMBER($C480),$C480&gt;=RelDebut,$C480&lt;=RelFin),COUNTIFS($D$9:$D480,RelConducteur,$S$9:$S480,"Oui",$C$9:$C480,"&gt;="&amp;RelDebut,$C$9:$C480,"&lt;="&amp;RelFin),"")</f>
        <v/>
      </c>
    </row>
    <row r="481" spans="2:31" ht="18" customHeight="1" x14ac:dyDescent="0.25">
      <c r="B481" s="48" t="str">
        <f>IF(C481="","",COUNT($C$9:C481))</f>
        <v/>
      </c>
      <c r="C481" s="49"/>
      <c r="D481" s="51"/>
      <c r="E481" s="53"/>
      <c r="F481" s="51"/>
      <c r="G481" s="51"/>
      <c r="H481" s="51"/>
      <c r="I481" s="51"/>
      <c r="J481" s="59"/>
      <c r="K481" s="60"/>
      <c r="L481" s="61"/>
      <c r="M481" s="62"/>
      <c r="N481" s="63" t="str">
        <f t="shared" si="91"/>
        <v/>
      </c>
      <c r="O481" s="64" t="str">
        <f t="shared" si="92"/>
        <v/>
      </c>
      <c r="P481" s="65" t="str">
        <f t="shared" si="93"/>
        <v/>
      </c>
      <c r="Q481" s="66" t="str">
        <f t="shared" si="99"/>
        <v/>
      </c>
      <c r="R481" s="51"/>
      <c r="S481" s="60"/>
      <c r="T481" s="52" t="str">
        <f t="shared" si="94"/>
        <v/>
      </c>
      <c r="U481" s="51"/>
      <c r="V481" s="56" t="str">
        <f t="shared" si="95"/>
        <v/>
      </c>
      <c r="X481" s="57" t="str">
        <f t="shared" si="96"/>
        <v/>
      </c>
      <c r="Y481" s="57">
        <f t="shared" si="97"/>
        <v>0</v>
      </c>
      <c r="Z481" s="57">
        <f t="shared" si="100"/>
        <v>59990</v>
      </c>
      <c r="AA481" s="57">
        <f t="shared" si="101"/>
        <v>0</v>
      </c>
      <c r="AB481" s="57">
        <f t="shared" si="98"/>
        <v>0.2</v>
      </c>
      <c r="AC481" s="57" t="str">
        <f t="shared" si="102"/>
        <v/>
      </c>
      <c r="AD481" s="57" t="str">
        <f t="shared" si="103"/>
        <v/>
      </c>
      <c r="AE481" s="57" t="str">
        <f>IF(AND($D481=RelConducteur,$S481="Oui",ISNUMBER($C481),$C481&gt;=RelDebut,$C481&lt;=RelFin),COUNTIFS($D$9:$D481,RelConducteur,$S$9:$S481,"Oui",$C$9:$C481,"&gt;="&amp;RelDebut,$C$9:$C481,"&lt;="&amp;RelFin),"")</f>
        <v/>
      </c>
    </row>
    <row r="482" spans="2:31" ht="18" customHeight="1" x14ac:dyDescent="0.25">
      <c r="B482" s="48" t="str">
        <f>IF(C482="","",COUNT($C$9:C482))</f>
        <v/>
      </c>
      <c r="C482" s="49"/>
      <c r="D482" s="51"/>
      <c r="E482" s="53"/>
      <c r="F482" s="51"/>
      <c r="G482" s="51"/>
      <c r="H482" s="51"/>
      <c r="I482" s="51"/>
      <c r="J482" s="59"/>
      <c r="K482" s="60"/>
      <c r="L482" s="61"/>
      <c r="M482" s="62"/>
      <c r="N482" s="63" t="str">
        <f t="shared" si="91"/>
        <v/>
      </c>
      <c r="O482" s="64" t="str">
        <f t="shared" si="92"/>
        <v/>
      </c>
      <c r="P482" s="65" t="str">
        <f t="shared" si="93"/>
        <v/>
      </c>
      <c r="Q482" s="66" t="str">
        <f t="shared" si="99"/>
        <v/>
      </c>
      <c r="R482" s="51"/>
      <c r="S482" s="60"/>
      <c r="T482" s="52" t="str">
        <f t="shared" si="94"/>
        <v/>
      </c>
      <c r="U482" s="51"/>
      <c r="V482" s="56" t="str">
        <f t="shared" si="95"/>
        <v/>
      </c>
      <c r="X482" s="57" t="str">
        <f t="shared" si="96"/>
        <v/>
      </c>
      <c r="Y482" s="57">
        <f t="shared" si="97"/>
        <v>0</v>
      </c>
      <c r="Z482" s="57">
        <f t="shared" si="100"/>
        <v>59990</v>
      </c>
      <c r="AA482" s="57">
        <f t="shared" si="101"/>
        <v>0</v>
      </c>
      <c r="AB482" s="57">
        <f t="shared" si="98"/>
        <v>0.2</v>
      </c>
      <c r="AC482" s="57" t="str">
        <f t="shared" si="102"/>
        <v/>
      </c>
      <c r="AD482" s="57" t="str">
        <f t="shared" si="103"/>
        <v/>
      </c>
      <c r="AE482" s="57" t="str">
        <f>IF(AND($D482=RelConducteur,$S482="Oui",ISNUMBER($C482),$C482&gt;=RelDebut,$C482&lt;=RelFin),COUNTIFS($D$9:$D482,RelConducteur,$S$9:$S482,"Oui",$C$9:$C482,"&gt;="&amp;RelDebut,$C$9:$C482,"&lt;="&amp;RelFin),"")</f>
        <v/>
      </c>
    </row>
    <row r="483" spans="2:31" ht="18" customHeight="1" x14ac:dyDescent="0.25">
      <c r="B483" s="48" t="str">
        <f>IF(C483="","",COUNT($C$9:C483))</f>
        <v/>
      </c>
      <c r="C483" s="49"/>
      <c r="D483" s="51"/>
      <c r="E483" s="53"/>
      <c r="F483" s="51"/>
      <c r="G483" s="51"/>
      <c r="H483" s="51"/>
      <c r="I483" s="51"/>
      <c r="J483" s="59"/>
      <c r="K483" s="60"/>
      <c r="L483" s="61"/>
      <c r="M483" s="62"/>
      <c r="N483" s="63" t="str">
        <f t="shared" si="91"/>
        <v/>
      </c>
      <c r="O483" s="64" t="str">
        <f t="shared" si="92"/>
        <v/>
      </c>
      <c r="P483" s="65" t="str">
        <f t="shared" si="93"/>
        <v/>
      </c>
      <c r="Q483" s="66" t="str">
        <f t="shared" si="99"/>
        <v/>
      </c>
      <c r="R483" s="51"/>
      <c r="S483" s="60"/>
      <c r="T483" s="52" t="str">
        <f t="shared" si="94"/>
        <v/>
      </c>
      <c r="U483" s="51"/>
      <c r="V483" s="56" t="str">
        <f t="shared" si="95"/>
        <v/>
      </c>
      <c r="X483" s="57" t="str">
        <f t="shared" si="96"/>
        <v/>
      </c>
      <c r="Y483" s="57">
        <f t="shared" si="97"/>
        <v>0</v>
      </c>
      <c r="Z483" s="57">
        <f t="shared" si="100"/>
        <v>59990</v>
      </c>
      <c r="AA483" s="57">
        <f t="shared" si="101"/>
        <v>0</v>
      </c>
      <c r="AB483" s="57">
        <f t="shared" si="98"/>
        <v>0.2</v>
      </c>
      <c r="AC483" s="57" t="str">
        <f t="shared" si="102"/>
        <v/>
      </c>
      <c r="AD483" s="57" t="str">
        <f t="shared" si="103"/>
        <v/>
      </c>
      <c r="AE483" s="57" t="str">
        <f>IF(AND($D483=RelConducteur,$S483="Oui",ISNUMBER($C483),$C483&gt;=RelDebut,$C483&lt;=RelFin),COUNTIFS($D$9:$D483,RelConducteur,$S$9:$S483,"Oui",$C$9:$C483,"&gt;="&amp;RelDebut,$C$9:$C483,"&lt;="&amp;RelFin),"")</f>
        <v/>
      </c>
    </row>
    <row r="484" spans="2:31" ht="18" customHeight="1" x14ac:dyDescent="0.25">
      <c r="B484" s="48" t="str">
        <f>IF(C484="","",COUNT($C$9:C484))</f>
        <v/>
      </c>
      <c r="C484" s="49"/>
      <c r="D484" s="51"/>
      <c r="E484" s="53"/>
      <c r="F484" s="51"/>
      <c r="G484" s="51"/>
      <c r="H484" s="51"/>
      <c r="I484" s="51"/>
      <c r="J484" s="59"/>
      <c r="K484" s="60"/>
      <c r="L484" s="61"/>
      <c r="M484" s="62"/>
      <c r="N484" s="63" t="str">
        <f t="shared" si="91"/>
        <v/>
      </c>
      <c r="O484" s="64" t="str">
        <f t="shared" si="92"/>
        <v/>
      </c>
      <c r="P484" s="65" t="str">
        <f t="shared" si="93"/>
        <v/>
      </c>
      <c r="Q484" s="66" t="str">
        <f t="shared" si="99"/>
        <v/>
      </c>
      <c r="R484" s="51"/>
      <c r="S484" s="60"/>
      <c r="T484" s="52" t="str">
        <f t="shared" si="94"/>
        <v/>
      </c>
      <c r="U484" s="51"/>
      <c r="V484" s="56" t="str">
        <f t="shared" si="95"/>
        <v/>
      </c>
      <c r="X484" s="57" t="str">
        <f t="shared" si="96"/>
        <v/>
      </c>
      <c r="Y484" s="57">
        <f t="shared" si="97"/>
        <v>0</v>
      </c>
      <c r="Z484" s="57">
        <f t="shared" si="100"/>
        <v>59990</v>
      </c>
      <c r="AA484" s="57">
        <f t="shared" si="101"/>
        <v>0</v>
      </c>
      <c r="AB484" s="57">
        <f t="shared" si="98"/>
        <v>0.2</v>
      </c>
      <c r="AC484" s="57" t="str">
        <f t="shared" si="102"/>
        <v/>
      </c>
      <c r="AD484" s="57" t="str">
        <f t="shared" si="103"/>
        <v/>
      </c>
      <c r="AE484" s="57" t="str">
        <f>IF(AND($D484=RelConducteur,$S484="Oui",ISNUMBER($C484),$C484&gt;=RelDebut,$C484&lt;=RelFin),COUNTIFS($D$9:$D484,RelConducteur,$S$9:$S484,"Oui",$C$9:$C484,"&gt;="&amp;RelDebut,$C$9:$C484,"&lt;="&amp;RelFin),"")</f>
        <v/>
      </c>
    </row>
    <row r="485" spans="2:31" ht="18" customHeight="1" x14ac:dyDescent="0.25">
      <c r="B485" s="48" t="str">
        <f>IF(C485="","",COUNT($C$9:C485))</f>
        <v/>
      </c>
      <c r="C485" s="49"/>
      <c r="D485" s="51"/>
      <c r="E485" s="53"/>
      <c r="F485" s="51"/>
      <c r="G485" s="51"/>
      <c r="H485" s="51"/>
      <c r="I485" s="51"/>
      <c r="J485" s="59"/>
      <c r="K485" s="60"/>
      <c r="L485" s="61"/>
      <c r="M485" s="62"/>
      <c r="N485" s="63" t="str">
        <f t="shared" si="91"/>
        <v/>
      </c>
      <c r="O485" s="64" t="str">
        <f t="shared" si="92"/>
        <v/>
      </c>
      <c r="P485" s="65" t="str">
        <f t="shared" si="93"/>
        <v/>
      </c>
      <c r="Q485" s="66" t="str">
        <f t="shared" si="99"/>
        <v/>
      </c>
      <c r="R485" s="51"/>
      <c r="S485" s="60"/>
      <c r="T485" s="52" t="str">
        <f t="shared" si="94"/>
        <v/>
      </c>
      <c r="U485" s="51"/>
      <c r="V485" s="56" t="str">
        <f t="shared" si="95"/>
        <v/>
      </c>
      <c r="X485" s="57" t="str">
        <f t="shared" si="96"/>
        <v/>
      </c>
      <c r="Y485" s="57">
        <f t="shared" si="97"/>
        <v>0</v>
      </c>
      <c r="Z485" s="57">
        <f t="shared" si="100"/>
        <v>59990</v>
      </c>
      <c r="AA485" s="57">
        <f t="shared" si="101"/>
        <v>0</v>
      </c>
      <c r="AB485" s="57">
        <f t="shared" si="98"/>
        <v>0.2</v>
      </c>
      <c r="AC485" s="57" t="str">
        <f t="shared" si="102"/>
        <v/>
      </c>
      <c r="AD485" s="57" t="str">
        <f t="shared" si="103"/>
        <v/>
      </c>
      <c r="AE485" s="57" t="str">
        <f>IF(AND($D485=RelConducteur,$S485="Oui",ISNUMBER($C485),$C485&gt;=RelDebut,$C485&lt;=RelFin),COUNTIFS($D$9:$D485,RelConducteur,$S$9:$S485,"Oui",$C$9:$C485,"&gt;="&amp;RelDebut,$C$9:$C485,"&lt;="&amp;RelFin),"")</f>
        <v/>
      </c>
    </row>
    <row r="486" spans="2:31" ht="18" customHeight="1" x14ac:dyDescent="0.25">
      <c r="B486" s="48" t="str">
        <f>IF(C486="","",COUNT($C$9:C486))</f>
        <v/>
      </c>
      <c r="C486" s="49"/>
      <c r="D486" s="51"/>
      <c r="E486" s="53"/>
      <c r="F486" s="51"/>
      <c r="G486" s="51"/>
      <c r="H486" s="51"/>
      <c r="I486" s="51"/>
      <c r="J486" s="59"/>
      <c r="K486" s="60"/>
      <c r="L486" s="61"/>
      <c r="M486" s="62"/>
      <c r="N486" s="63" t="str">
        <f t="shared" si="91"/>
        <v/>
      </c>
      <c r="O486" s="64" t="str">
        <f t="shared" si="92"/>
        <v/>
      </c>
      <c r="P486" s="65" t="str">
        <f t="shared" si="93"/>
        <v/>
      </c>
      <c r="Q486" s="66" t="str">
        <f t="shared" si="99"/>
        <v/>
      </c>
      <c r="R486" s="51"/>
      <c r="S486" s="60"/>
      <c r="T486" s="52" t="str">
        <f t="shared" si="94"/>
        <v/>
      </c>
      <c r="U486" s="51"/>
      <c r="V486" s="56" t="str">
        <f t="shared" si="95"/>
        <v/>
      </c>
      <c r="X486" s="57" t="str">
        <f t="shared" si="96"/>
        <v/>
      </c>
      <c r="Y486" s="57">
        <f t="shared" si="97"/>
        <v>0</v>
      </c>
      <c r="Z486" s="57">
        <f t="shared" si="100"/>
        <v>59990</v>
      </c>
      <c r="AA486" s="57">
        <f t="shared" si="101"/>
        <v>0</v>
      </c>
      <c r="AB486" s="57">
        <f t="shared" si="98"/>
        <v>0.2</v>
      </c>
      <c r="AC486" s="57" t="str">
        <f t="shared" si="102"/>
        <v/>
      </c>
      <c r="AD486" s="57" t="str">
        <f t="shared" si="103"/>
        <v/>
      </c>
      <c r="AE486" s="57" t="str">
        <f>IF(AND($D486=RelConducteur,$S486="Oui",ISNUMBER($C486),$C486&gt;=RelDebut,$C486&lt;=RelFin),COUNTIFS($D$9:$D486,RelConducteur,$S$9:$S486,"Oui",$C$9:$C486,"&gt;="&amp;RelDebut,$C$9:$C486,"&lt;="&amp;RelFin),"")</f>
        <v/>
      </c>
    </row>
    <row r="487" spans="2:31" ht="18" customHeight="1" x14ac:dyDescent="0.25">
      <c r="B487" s="48" t="str">
        <f>IF(C487="","",COUNT($C$9:C487))</f>
        <v/>
      </c>
      <c r="C487" s="49"/>
      <c r="D487" s="51"/>
      <c r="E487" s="53"/>
      <c r="F487" s="51"/>
      <c r="G487" s="51"/>
      <c r="H487" s="51"/>
      <c r="I487" s="51"/>
      <c r="J487" s="59"/>
      <c r="K487" s="60"/>
      <c r="L487" s="61"/>
      <c r="M487" s="62"/>
      <c r="N487" s="63" t="str">
        <f t="shared" si="91"/>
        <v/>
      </c>
      <c r="O487" s="64" t="str">
        <f t="shared" si="92"/>
        <v/>
      </c>
      <c r="P487" s="65" t="str">
        <f t="shared" si="93"/>
        <v/>
      </c>
      <c r="Q487" s="66" t="str">
        <f t="shared" si="99"/>
        <v/>
      </c>
      <c r="R487" s="51"/>
      <c r="S487" s="60"/>
      <c r="T487" s="52" t="str">
        <f t="shared" si="94"/>
        <v/>
      </c>
      <c r="U487" s="51"/>
      <c r="V487" s="56" t="str">
        <f t="shared" si="95"/>
        <v/>
      </c>
      <c r="X487" s="57" t="str">
        <f t="shared" si="96"/>
        <v/>
      </c>
      <c r="Y487" s="57">
        <f t="shared" si="97"/>
        <v>0</v>
      </c>
      <c r="Z487" s="57">
        <f t="shared" si="100"/>
        <v>59990</v>
      </c>
      <c r="AA487" s="57">
        <f t="shared" si="101"/>
        <v>0</v>
      </c>
      <c r="AB487" s="57">
        <f t="shared" si="98"/>
        <v>0.2</v>
      </c>
      <c r="AC487" s="57" t="str">
        <f t="shared" si="102"/>
        <v/>
      </c>
      <c r="AD487" s="57" t="str">
        <f t="shared" si="103"/>
        <v/>
      </c>
      <c r="AE487" s="57" t="str">
        <f>IF(AND($D487=RelConducteur,$S487="Oui",ISNUMBER($C487),$C487&gt;=RelDebut,$C487&lt;=RelFin),COUNTIFS($D$9:$D487,RelConducteur,$S$9:$S487,"Oui",$C$9:$C487,"&gt;="&amp;RelDebut,$C$9:$C487,"&lt;="&amp;RelFin),"")</f>
        <v/>
      </c>
    </row>
    <row r="488" spans="2:31" ht="18" customHeight="1" x14ac:dyDescent="0.25">
      <c r="B488" s="48" t="str">
        <f>IF(C488="","",COUNT($C$9:C488))</f>
        <v/>
      </c>
      <c r="C488" s="49"/>
      <c r="D488" s="51"/>
      <c r="E488" s="53"/>
      <c r="F488" s="51"/>
      <c r="G488" s="51"/>
      <c r="H488" s="51"/>
      <c r="I488" s="51"/>
      <c r="J488" s="59"/>
      <c r="K488" s="60"/>
      <c r="L488" s="61"/>
      <c r="M488" s="62"/>
      <c r="N488" s="63" t="str">
        <f t="shared" si="91"/>
        <v/>
      </c>
      <c r="O488" s="64" t="str">
        <f t="shared" si="92"/>
        <v/>
      </c>
      <c r="P488" s="65" t="str">
        <f t="shared" si="93"/>
        <v/>
      </c>
      <c r="Q488" s="66" t="str">
        <f t="shared" si="99"/>
        <v/>
      </c>
      <c r="R488" s="51"/>
      <c r="S488" s="60"/>
      <c r="T488" s="52" t="str">
        <f t="shared" si="94"/>
        <v/>
      </c>
      <c r="U488" s="51"/>
      <c r="V488" s="56" t="str">
        <f t="shared" si="95"/>
        <v/>
      </c>
      <c r="X488" s="57" t="str">
        <f t="shared" si="96"/>
        <v/>
      </c>
      <c r="Y488" s="57">
        <f t="shared" si="97"/>
        <v>0</v>
      </c>
      <c r="Z488" s="57">
        <f t="shared" si="100"/>
        <v>59990</v>
      </c>
      <c r="AA488" s="57">
        <f t="shared" si="101"/>
        <v>0</v>
      </c>
      <c r="AB488" s="57">
        <f t="shared" si="98"/>
        <v>0.2</v>
      </c>
      <c r="AC488" s="57" t="str">
        <f t="shared" si="102"/>
        <v/>
      </c>
      <c r="AD488" s="57" t="str">
        <f t="shared" si="103"/>
        <v/>
      </c>
      <c r="AE488" s="57" t="str">
        <f>IF(AND($D488=RelConducteur,$S488="Oui",ISNUMBER($C488),$C488&gt;=RelDebut,$C488&lt;=RelFin),COUNTIFS($D$9:$D488,RelConducteur,$S$9:$S488,"Oui",$C$9:$C488,"&gt;="&amp;RelDebut,$C$9:$C488,"&lt;="&amp;RelFin),"")</f>
        <v/>
      </c>
    </row>
    <row r="489" spans="2:31" ht="18" customHeight="1" x14ac:dyDescent="0.25">
      <c r="B489" s="48" t="str">
        <f>IF(C489="","",COUNT($C$9:C489))</f>
        <v/>
      </c>
      <c r="C489" s="49"/>
      <c r="D489" s="51"/>
      <c r="E489" s="53"/>
      <c r="F489" s="51"/>
      <c r="G489" s="51"/>
      <c r="H489" s="51"/>
      <c r="I489" s="51"/>
      <c r="J489" s="59"/>
      <c r="K489" s="60"/>
      <c r="L489" s="61"/>
      <c r="M489" s="62"/>
      <c r="N489" s="63" t="str">
        <f t="shared" si="91"/>
        <v/>
      </c>
      <c r="O489" s="64" t="str">
        <f t="shared" si="92"/>
        <v/>
      </c>
      <c r="P489" s="65" t="str">
        <f t="shared" si="93"/>
        <v/>
      </c>
      <c r="Q489" s="66" t="str">
        <f t="shared" si="99"/>
        <v/>
      </c>
      <c r="R489" s="51"/>
      <c r="S489" s="60"/>
      <c r="T489" s="52" t="str">
        <f t="shared" si="94"/>
        <v/>
      </c>
      <c r="U489" s="51"/>
      <c r="V489" s="56" t="str">
        <f t="shared" si="95"/>
        <v/>
      </c>
      <c r="X489" s="57" t="str">
        <f t="shared" si="96"/>
        <v/>
      </c>
      <c r="Y489" s="57">
        <f t="shared" si="97"/>
        <v>0</v>
      </c>
      <c r="Z489" s="57">
        <f t="shared" si="100"/>
        <v>59990</v>
      </c>
      <c r="AA489" s="57">
        <f t="shared" si="101"/>
        <v>0</v>
      </c>
      <c r="AB489" s="57">
        <f t="shared" si="98"/>
        <v>0.2</v>
      </c>
      <c r="AC489" s="57" t="str">
        <f t="shared" si="102"/>
        <v/>
      </c>
      <c r="AD489" s="57" t="str">
        <f t="shared" si="103"/>
        <v/>
      </c>
      <c r="AE489" s="57" t="str">
        <f>IF(AND($D489=RelConducteur,$S489="Oui",ISNUMBER($C489),$C489&gt;=RelDebut,$C489&lt;=RelFin),COUNTIFS($D$9:$D489,RelConducteur,$S$9:$S489,"Oui",$C$9:$C489,"&gt;="&amp;RelDebut,$C$9:$C489,"&lt;="&amp;RelFin),"")</f>
        <v/>
      </c>
    </row>
    <row r="490" spans="2:31" ht="18" customHeight="1" x14ac:dyDescent="0.25">
      <c r="B490" s="48" t="str">
        <f>IF(C490="","",COUNT($C$9:C490))</f>
        <v/>
      </c>
      <c r="C490" s="49"/>
      <c r="D490" s="51"/>
      <c r="E490" s="53"/>
      <c r="F490" s="51"/>
      <c r="G490" s="51"/>
      <c r="H490" s="51"/>
      <c r="I490" s="51"/>
      <c r="J490" s="59"/>
      <c r="K490" s="60"/>
      <c r="L490" s="61"/>
      <c r="M490" s="62"/>
      <c r="N490" s="63" t="str">
        <f t="shared" si="91"/>
        <v/>
      </c>
      <c r="O490" s="64" t="str">
        <f t="shared" si="92"/>
        <v/>
      </c>
      <c r="P490" s="65" t="str">
        <f t="shared" si="93"/>
        <v/>
      </c>
      <c r="Q490" s="66" t="str">
        <f t="shared" si="99"/>
        <v/>
      </c>
      <c r="R490" s="51"/>
      <c r="S490" s="60"/>
      <c r="T490" s="52" t="str">
        <f t="shared" si="94"/>
        <v/>
      </c>
      <c r="U490" s="51"/>
      <c r="V490" s="56" t="str">
        <f t="shared" si="95"/>
        <v/>
      </c>
      <c r="X490" s="57" t="str">
        <f t="shared" si="96"/>
        <v/>
      </c>
      <c r="Y490" s="57">
        <f t="shared" si="97"/>
        <v>0</v>
      </c>
      <c r="Z490" s="57">
        <f t="shared" si="100"/>
        <v>59990</v>
      </c>
      <c r="AA490" s="57">
        <f t="shared" si="101"/>
        <v>0</v>
      </c>
      <c r="AB490" s="57">
        <f t="shared" si="98"/>
        <v>0.2</v>
      </c>
      <c r="AC490" s="57" t="str">
        <f t="shared" si="102"/>
        <v/>
      </c>
      <c r="AD490" s="57" t="str">
        <f t="shared" si="103"/>
        <v/>
      </c>
      <c r="AE490" s="57" t="str">
        <f>IF(AND($D490=RelConducteur,$S490="Oui",ISNUMBER($C490),$C490&gt;=RelDebut,$C490&lt;=RelFin),COUNTIFS($D$9:$D490,RelConducteur,$S$9:$S490,"Oui",$C$9:$C490,"&gt;="&amp;RelDebut,$C$9:$C490,"&lt;="&amp;RelFin),"")</f>
        <v/>
      </c>
    </row>
    <row r="491" spans="2:31" ht="18" customHeight="1" x14ac:dyDescent="0.25">
      <c r="B491" s="48" t="str">
        <f>IF(C491="","",COUNT($C$9:C491))</f>
        <v/>
      </c>
      <c r="C491" s="49"/>
      <c r="D491" s="51"/>
      <c r="E491" s="53"/>
      <c r="F491" s="51"/>
      <c r="G491" s="51"/>
      <c r="H491" s="51"/>
      <c r="I491" s="51"/>
      <c r="J491" s="59"/>
      <c r="K491" s="60"/>
      <c r="L491" s="61"/>
      <c r="M491" s="62"/>
      <c r="N491" s="63" t="str">
        <f t="shared" si="91"/>
        <v/>
      </c>
      <c r="O491" s="64" t="str">
        <f t="shared" si="92"/>
        <v/>
      </c>
      <c r="P491" s="65" t="str">
        <f t="shared" si="93"/>
        <v/>
      </c>
      <c r="Q491" s="66" t="str">
        <f t="shared" si="99"/>
        <v/>
      </c>
      <c r="R491" s="51"/>
      <c r="S491" s="60"/>
      <c r="T491" s="52" t="str">
        <f t="shared" si="94"/>
        <v/>
      </c>
      <c r="U491" s="51"/>
      <c r="V491" s="56" t="str">
        <f t="shared" si="95"/>
        <v/>
      </c>
      <c r="X491" s="57" t="str">
        <f t="shared" si="96"/>
        <v/>
      </c>
      <c r="Y491" s="57">
        <f t="shared" si="97"/>
        <v>0</v>
      </c>
      <c r="Z491" s="57">
        <f t="shared" si="100"/>
        <v>59990</v>
      </c>
      <c r="AA491" s="57">
        <f t="shared" si="101"/>
        <v>0</v>
      </c>
      <c r="AB491" s="57">
        <f t="shared" si="98"/>
        <v>0.2</v>
      </c>
      <c r="AC491" s="57" t="str">
        <f t="shared" si="102"/>
        <v/>
      </c>
      <c r="AD491" s="57" t="str">
        <f t="shared" si="103"/>
        <v/>
      </c>
      <c r="AE491" s="57" t="str">
        <f>IF(AND($D491=RelConducteur,$S491="Oui",ISNUMBER($C491),$C491&gt;=RelDebut,$C491&lt;=RelFin),COUNTIFS($D$9:$D491,RelConducteur,$S$9:$S491,"Oui",$C$9:$C491,"&gt;="&amp;RelDebut,$C$9:$C491,"&lt;="&amp;RelFin),"")</f>
        <v/>
      </c>
    </row>
    <row r="492" spans="2:31" ht="18" customHeight="1" x14ac:dyDescent="0.25">
      <c r="B492" s="48" t="str">
        <f>IF(C492="","",COUNT($C$9:C492))</f>
        <v/>
      </c>
      <c r="C492" s="49"/>
      <c r="D492" s="51"/>
      <c r="E492" s="53"/>
      <c r="F492" s="51"/>
      <c r="G492" s="51"/>
      <c r="H492" s="51"/>
      <c r="I492" s="51"/>
      <c r="J492" s="59"/>
      <c r="K492" s="60"/>
      <c r="L492" s="61"/>
      <c r="M492" s="62"/>
      <c r="N492" s="63" t="str">
        <f t="shared" si="91"/>
        <v/>
      </c>
      <c r="O492" s="64" t="str">
        <f t="shared" si="92"/>
        <v/>
      </c>
      <c r="P492" s="65" t="str">
        <f t="shared" si="93"/>
        <v/>
      </c>
      <c r="Q492" s="66" t="str">
        <f t="shared" si="99"/>
        <v/>
      </c>
      <c r="R492" s="51"/>
      <c r="S492" s="60"/>
      <c r="T492" s="52" t="str">
        <f t="shared" si="94"/>
        <v/>
      </c>
      <c r="U492" s="51"/>
      <c r="V492" s="56" t="str">
        <f t="shared" si="95"/>
        <v/>
      </c>
      <c r="X492" s="57" t="str">
        <f t="shared" si="96"/>
        <v/>
      </c>
      <c r="Y492" s="57">
        <f t="shared" si="97"/>
        <v>0</v>
      </c>
      <c r="Z492" s="57">
        <f t="shared" si="100"/>
        <v>59990</v>
      </c>
      <c r="AA492" s="57">
        <f t="shared" si="101"/>
        <v>0</v>
      </c>
      <c r="AB492" s="57">
        <f t="shared" si="98"/>
        <v>0.2</v>
      </c>
      <c r="AC492" s="57" t="str">
        <f t="shared" si="102"/>
        <v/>
      </c>
      <c r="AD492" s="57" t="str">
        <f t="shared" si="103"/>
        <v/>
      </c>
      <c r="AE492" s="57" t="str">
        <f>IF(AND($D492=RelConducteur,$S492="Oui",ISNUMBER($C492),$C492&gt;=RelDebut,$C492&lt;=RelFin),COUNTIFS($D$9:$D492,RelConducteur,$S$9:$S492,"Oui",$C$9:$C492,"&gt;="&amp;RelDebut,$C$9:$C492,"&lt;="&amp;RelFin),"")</f>
        <v/>
      </c>
    </row>
    <row r="493" spans="2:31" ht="18" customHeight="1" x14ac:dyDescent="0.25">
      <c r="B493" s="48" t="str">
        <f>IF(C493="","",COUNT($C$9:C493))</f>
        <v/>
      </c>
      <c r="C493" s="49"/>
      <c r="D493" s="51"/>
      <c r="E493" s="53"/>
      <c r="F493" s="51"/>
      <c r="G493" s="51"/>
      <c r="H493" s="51"/>
      <c r="I493" s="51"/>
      <c r="J493" s="59"/>
      <c r="K493" s="60"/>
      <c r="L493" s="61"/>
      <c r="M493" s="62"/>
      <c r="N493" s="63" t="str">
        <f t="shared" si="91"/>
        <v/>
      </c>
      <c r="O493" s="64" t="str">
        <f t="shared" si="92"/>
        <v/>
      </c>
      <c r="P493" s="65" t="str">
        <f t="shared" si="93"/>
        <v/>
      </c>
      <c r="Q493" s="66" t="str">
        <f t="shared" si="99"/>
        <v/>
      </c>
      <c r="R493" s="51"/>
      <c r="S493" s="60"/>
      <c r="T493" s="52" t="str">
        <f t="shared" si="94"/>
        <v/>
      </c>
      <c r="U493" s="51"/>
      <c r="V493" s="56" t="str">
        <f t="shared" si="95"/>
        <v/>
      </c>
      <c r="X493" s="57" t="str">
        <f t="shared" si="96"/>
        <v/>
      </c>
      <c r="Y493" s="57">
        <f t="shared" si="97"/>
        <v>0</v>
      </c>
      <c r="Z493" s="57">
        <f t="shared" si="100"/>
        <v>59990</v>
      </c>
      <c r="AA493" s="57">
        <f t="shared" si="101"/>
        <v>0</v>
      </c>
      <c r="AB493" s="57">
        <f t="shared" si="98"/>
        <v>0.2</v>
      </c>
      <c r="AC493" s="57" t="str">
        <f t="shared" si="102"/>
        <v/>
      </c>
      <c r="AD493" s="57" t="str">
        <f t="shared" si="103"/>
        <v/>
      </c>
      <c r="AE493" s="57" t="str">
        <f>IF(AND($D493=RelConducteur,$S493="Oui",ISNUMBER($C493),$C493&gt;=RelDebut,$C493&lt;=RelFin),COUNTIFS($D$9:$D493,RelConducteur,$S$9:$S493,"Oui",$C$9:$C493,"&gt;="&amp;RelDebut,$C$9:$C493,"&lt;="&amp;RelFin),"")</f>
        <v/>
      </c>
    </row>
    <row r="494" spans="2:31" ht="18" customHeight="1" x14ac:dyDescent="0.25">
      <c r="B494" s="48" t="str">
        <f>IF(C494="","",COUNT($C$9:C494))</f>
        <v/>
      </c>
      <c r="C494" s="49"/>
      <c r="D494" s="51"/>
      <c r="E494" s="53"/>
      <c r="F494" s="51"/>
      <c r="G494" s="51"/>
      <c r="H494" s="51"/>
      <c r="I494" s="51"/>
      <c r="J494" s="59"/>
      <c r="K494" s="60"/>
      <c r="L494" s="61"/>
      <c r="M494" s="62"/>
      <c r="N494" s="63" t="str">
        <f t="shared" si="91"/>
        <v/>
      </c>
      <c r="O494" s="64" t="str">
        <f t="shared" si="92"/>
        <v/>
      </c>
      <c r="P494" s="65" t="str">
        <f t="shared" si="93"/>
        <v/>
      </c>
      <c r="Q494" s="66" t="str">
        <f t="shared" si="99"/>
        <v/>
      </c>
      <c r="R494" s="51"/>
      <c r="S494" s="60"/>
      <c r="T494" s="52" t="str">
        <f t="shared" si="94"/>
        <v/>
      </c>
      <c r="U494" s="51"/>
      <c r="V494" s="56" t="str">
        <f t="shared" si="95"/>
        <v/>
      </c>
      <c r="X494" s="57" t="str">
        <f t="shared" si="96"/>
        <v/>
      </c>
      <c r="Y494" s="57">
        <f t="shared" si="97"/>
        <v>0</v>
      </c>
      <c r="Z494" s="57">
        <f t="shared" si="100"/>
        <v>59990</v>
      </c>
      <c r="AA494" s="57">
        <f t="shared" si="101"/>
        <v>0</v>
      </c>
      <c r="AB494" s="57">
        <f t="shared" si="98"/>
        <v>0.2</v>
      </c>
      <c r="AC494" s="57" t="str">
        <f t="shared" si="102"/>
        <v/>
      </c>
      <c r="AD494" s="57" t="str">
        <f t="shared" si="103"/>
        <v/>
      </c>
      <c r="AE494" s="57" t="str">
        <f>IF(AND($D494=RelConducteur,$S494="Oui",ISNUMBER($C494),$C494&gt;=RelDebut,$C494&lt;=RelFin),COUNTIFS($D$9:$D494,RelConducteur,$S$9:$S494,"Oui",$C$9:$C494,"&gt;="&amp;RelDebut,$C$9:$C494,"&lt;="&amp;RelFin),"")</f>
        <v/>
      </c>
    </row>
    <row r="495" spans="2:31" ht="18" customHeight="1" x14ac:dyDescent="0.25">
      <c r="B495" s="48" t="str">
        <f>IF(C495="","",COUNT($C$9:C495))</f>
        <v/>
      </c>
      <c r="C495" s="49"/>
      <c r="D495" s="51"/>
      <c r="E495" s="53"/>
      <c r="F495" s="51"/>
      <c r="G495" s="51"/>
      <c r="H495" s="51"/>
      <c r="I495" s="51"/>
      <c r="J495" s="59"/>
      <c r="K495" s="60"/>
      <c r="L495" s="61"/>
      <c r="M495" s="62"/>
      <c r="N495" s="63" t="str">
        <f t="shared" si="91"/>
        <v/>
      </c>
      <c r="O495" s="64" t="str">
        <f t="shared" si="92"/>
        <v/>
      </c>
      <c r="P495" s="65" t="str">
        <f t="shared" si="93"/>
        <v/>
      </c>
      <c r="Q495" s="66" t="str">
        <f t="shared" si="99"/>
        <v/>
      </c>
      <c r="R495" s="51"/>
      <c r="S495" s="60"/>
      <c r="T495" s="52" t="str">
        <f t="shared" si="94"/>
        <v/>
      </c>
      <c r="U495" s="51"/>
      <c r="V495" s="56" t="str">
        <f t="shared" si="95"/>
        <v/>
      </c>
      <c r="X495" s="57" t="str">
        <f t="shared" si="96"/>
        <v/>
      </c>
      <c r="Y495" s="57">
        <f t="shared" si="97"/>
        <v>0</v>
      </c>
      <c r="Z495" s="57">
        <f t="shared" si="100"/>
        <v>59990</v>
      </c>
      <c r="AA495" s="57">
        <f t="shared" si="101"/>
        <v>0</v>
      </c>
      <c r="AB495" s="57">
        <f t="shared" si="98"/>
        <v>0.2</v>
      </c>
      <c r="AC495" s="57" t="str">
        <f t="shared" si="102"/>
        <v/>
      </c>
      <c r="AD495" s="57" t="str">
        <f t="shared" si="103"/>
        <v/>
      </c>
      <c r="AE495" s="57" t="str">
        <f>IF(AND($D495=RelConducteur,$S495="Oui",ISNUMBER($C495),$C495&gt;=RelDebut,$C495&lt;=RelFin),COUNTIFS($D$9:$D495,RelConducteur,$S$9:$S495,"Oui",$C$9:$C495,"&gt;="&amp;RelDebut,$C$9:$C495,"&lt;="&amp;RelFin),"")</f>
        <v/>
      </c>
    </row>
    <row r="496" spans="2:31" ht="18" customHeight="1" x14ac:dyDescent="0.25">
      <c r="B496" s="48" t="str">
        <f>IF(C496="","",COUNT($C$9:C496))</f>
        <v/>
      </c>
      <c r="C496" s="49"/>
      <c r="D496" s="51"/>
      <c r="E496" s="53"/>
      <c r="F496" s="51"/>
      <c r="G496" s="51"/>
      <c r="H496" s="51"/>
      <c r="I496" s="51"/>
      <c r="J496" s="59"/>
      <c r="K496" s="60"/>
      <c r="L496" s="61"/>
      <c r="M496" s="62"/>
      <c r="N496" s="63" t="str">
        <f t="shared" si="91"/>
        <v/>
      </c>
      <c r="O496" s="64" t="str">
        <f t="shared" si="92"/>
        <v/>
      </c>
      <c r="P496" s="65" t="str">
        <f t="shared" si="93"/>
        <v/>
      </c>
      <c r="Q496" s="66" t="str">
        <f t="shared" si="99"/>
        <v/>
      </c>
      <c r="R496" s="51"/>
      <c r="S496" s="60"/>
      <c r="T496" s="52" t="str">
        <f t="shared" si="94"/>
        <v/>
      </c>
      <c r="U496" s="51"/>
      <c r="V496" s="56" t="str">
        <f t="shared" si="95"/>
        <v/>
      </c>
      <c r="X496" s="57" t="str">
        <f t="shared" si="96"/>
        <v/>
      </c>
      <c r="Y496" s="57">
        <f t="shared" si="97"/>
        <v>0</v>
      </c>
      <c r="Z496" s="57">
        <f t="shared" si="100"/>
        <v>59990</v>
      </c>
      <c r="AA496" s="57">
        <f t="shared" si="101"/>
        <v>0</v>
      </c>
      <c r="AB496" s="57">
        <f t="shared" si="98"/>
        <v>0.2</v>
      </c>
      <c r="AC496" s="57" t="str">
        <f t="shared" si="102"/>
        <v/>
      </c>
      <c r="AD496" s="57" t="str">
        <f t="shared" si="103"/>
        <v/>
      </c>
      <c r="AE496" s="57" t="str">
        <f>IF(AND($D496=RelConducteur,$S496="Oui",ISNUMBER($C496),$C496&gt;=RelDebut,$C496&lt;=RelFin),COUNTIFS($D$9:$D496,RelConducteur,$S$9:$S496,"Oui",$C$9:$C496,"&gt;="&amp;RelDebut,$C$9:$C496,"&lt;="&amp;RelFin),"")</f>
        <v/>
      </c>
    </row>
    <row r="497" spans="2:31" ht="18" customHeight="1" x14ac:dyDescent="0.25">
      <c r="B497" s="48" t="str">
        <f>IF(C497="","",COUNT($C$9:C497))</f>
        <v/>
      </c>
      <c r="C497" s="49"/>
      <c r="D497" s="51"/>
      <c r="E497" s="53"/>
      <c r="F497" s="51"/>
      <c r="G497" s="51"/>
      <c r="H497" s="51"/>
      <c r="I497" s="51"/>
      <c r="J497" s="59"/>
      <c r="K497" s="60"/>
      <c r="L497" s="61"/>
      <c r="M497" s="62"/>
      <c r="N497" s="63" t="str">
        <f t="shared" si="91"/>
        <v/>
      </c>
      <c r="O497" s="64" t="str">
        <f t="shared" si="92"/>
        <v/>
      </c>
      <c r="P497" s="65" t="str">
        <f t="shared" si="93"/>
        <v/>
      </c>
      <c r="Q497" s="66" t="str">
        <f t="shared" si="99"/>
        <v/>
      </c>
      <c r="R497" s="51"/>
      <c r="S497" s="60"/>
      <c r="T497" s="52" t="str">
        <f t="shared" si="94"/>
        <v/>
      </c>
      <c r="U497" s="51"/>
      <c r="V497" s="56" t="str">
        <f t="shared" si="95"/>
        <v/>
      </c>
      <c r="X497" s="57" t="str">
        <f t="shared" si="96"/>
        <v/>
      </c>
      <c r="Y497" s="57">
        <f t="shared" si="97"/>
        <v>0</v>
      </c>
      <c r="Z497" s="57">
        <f t="shared" si="100"/>
        <v>59990</v>
      </c>
      <c r="AA497" s="57">
        <f t="shared" si="101"/>
        <v>0</v>
      </c>
      <c r="AB497" s="57">
        <f t="shared" si="98"/>
        <v>0.2</v>
      </c>
      <c r="AC497" s="57" t="str">
        <f t="shared" si="102"/>
        <v/>
      </c>
      <c r="AD497" s="57" t="str">
        <f t="shared" si="103"/>
        <v/>
      </c>
      <c r="AE497" s="57" t="str">
        <f>IF(AND($D497=RelConducteur,$S497="Oui",ISNUMBER($C497),$C497&gt;=RelDebut,$C497&lt;=RelFin),COUNTIFS($D$9:$D497,RelConducteur,$S$9:$S497,"Oui",$C$9:$C497,"&gt;="&amp;RelDebut,$C$9:$C497,"&lt;="&amp;RelFin),"")</f>
        <v/>
      </c>
    </row>
    <row r="498" spans="2:31" ht="18" customHeight="1" x14ac:dyDescent="0.25">
      <c r="B498" s="48" t="str">
        <f>IF(C498="","",COUNT($C$9:C498))</f>
        <v/>
      </c>
      <c r="C498" s="49"/>
      <c r="D498" s="51"/>
      <c r="E498" s="53"/>
      <c r="F498" s="51"/>
      <c r="G498" s="51"/>
      <c r="H498" s="51"/>
      <c r="I498" s="51"/>
      <c r="J498" s="59"/>
      <c r="K498" s="60"/>
      <c r="L498" s="61"/>
      <c r="M498" s="62"/>
      <c r="N498" s="63" t="str">
        <f t="shared" si="91"/>
        <v/>
      </c>
      <c r="O498" s="64" t="str">
        <f t="shared" si="92"/>
        <v/>
      </c>
      <c r="P498" s="65" t="str">
        <f t="shared" si="93"/>
        <v/>
      </c>
      <c r="Q498" s="66" t="str">
        <f t="shared" si="99"/>
        <v/>
      </c>
      <c r="R498" s="51"/>
      <c r="S498" s="60"/>
      <c r="T498" s="52" t="str">
        <f t="shared" si="94"/>
        <v/>
      </c>
      <c r="U498" s="51"/>
      <c r="V498" s="56" t="str">
        <f t="shared" si="95"/>
        <v/>
      </c>
      <c r="X498" s="57" t="str">
        <f t="shared" si="96"/>
        <v/>
      </c>
      <c r="Y498" s="57">
        <f t="shared" si="97"/>
        <v>0</v>
      </c>
      <c r="Z498" s="57">
        <f t="shared" si="100"/>
        <v>59990</v>
      </c>
      <c r="AA498" s="57">
        <f t="shared" si="101"/>
        <v>0</v>
      </c>
      <c r="AB498" s="57">
        <f t="shared" si="98"/>
        <v>0.2</v>
      </c>
      <c r="AC498" s="57" t="str">
        <f t="shared" si="102"/>
        <v/>
      </c>
      <c r="AD498" s="57" t="str">
        <f t="shared" si="103"/>
        <v/>
      </c>
      <c r="AE498" s="57" t="str">
        <f>IF(AND($D498=RelConducteur,$S498="Oui",ISNUMBER($C498),$C498&gt;=RelDebut,$C498&lt;=RelFin),COUNTIFS($D$9:$D498,RelConducteur,$S$9:$S498,"Oui",$C$9:$C498,"&gt;="&amp;RelDebut,$C$9:$C498,"&lt;="&amp;RelFin),"")</f>
        <v/>
      </c>
    </row>
    <row r="499" spans="2:31" ht="18" customHeight="1" x14ac:dyDescent="0.25">
      <c r="B499" s="48" t="str">
        <f>IF(C499="","",COUNT($C$9:C499))</f>
        <v/>
      </c>
      <c r="C499" s="49"/>
      <c r="D499" s="51"/>
      <c r="E499" s="53"/>
      <c r="F499" s="51"/>
      <c r="G499" s="51"/>
      <c r="H499" s="51"/>
      <c r="I499" s="51"/>
      <c r="J499" s="59"/>
      <c r="K499" s="60"/>
      <c r="L499" s="61"/>
      <c r="M499" s="62"/>
      <c r="N499" s="63" t="str">
        <f t="shared" si="91"/>
        <v/>
      </c>
      <c r="O499" s="64" t="str">
        <f t="shared" si="92"/>
        <v/>
      </c>
      <c r="P499" s="65" t="str">
        <f t="shared" si="93"/>
        <v/>
      </c>
      <c r="Q499" s="66" t="str">
        <f t="shared" si="99"/>
        <v/>
      </c>
      <c r="R499" s="51"/>
      <c r="S499" s="60"/>
      <c r="T499" s="52" t="str">
        <f t="shared" si="94"/>
        <v/>
      </c>
      <c r="U499" s="51"/>
      <c r="V499" s="56" t="str">
        <f t="shared" si="95"/>
        <v/>
      </c>
      <c r="X499" s="57" t="str">
        <f t="shared" si="96"/>
        <v/>
      </c>
      <c r="Y499" s="57">
        <f t="shared" si="97"/>
        <v>0</v>
      </c>
      <c r="Z499" s="57">
        <f t="shared" si="100"/>
        <v>59990</v>
      </c>
      <c r="AA499" s="57">
        <f t="shared" si="101"/>
        <v>0</v>
      </c>
      <c r="AB499" s="57">
        <f t="shared" si="98"/>
        <v>0.2</v>
      </c>
      <c r="AC499" s="57" t="str">
        <f t="shared" si="102"/>
        <v/>
      </c>
      <c r="AD499" s="57" t="str">
        <f t="shared" si="103"/>
        <v/>
      </c>
      <c r="AE499" s="57" t="str">
        <f>IF(AND($D499=RelConducteur,$S499="Oui",ISNUMBER($C499),$C499&gt;=RelDebut,$C499&lt;=RelFin),COUNTIFS($D$9:$D499,RelConducteur,$S$9:$S499,"Oui",$C$9:$C499,"&gt;="&amp;RelDebut,$C$9:$C499,"&lt;="&amp;RelFin),"")</f>
        <v/>
      </c>
    </row>
    <row r="500" spans="2:31" ht="18" customHeight="1" x14ac:dyDescent="0.25">
      <c r="B500" s="48" t="str">
        <f>IF(C500="","",COUNT($C$9:C500))</f>
        <v/>
      </c>
      <c r="C500" s="49"/>
      <c r="D500" s="51"/>
      <c r="E500" s="53"/>
      <c r="F500" s="51"/>
      <c r="G500" s="51"/>
      <c r="H500" s="51"/>
      <c r="I500" s="51"/>
      <c r="J500" s="59"/>
      <c r="K500" s="60"/>
      <c r="L500" s="61"/>
      <c r="M500" s="62"/>
      <c r="N500" s="63" t="str">
        <f t="shared" si="91"/>
        <v/>
      </c>
      <c r="O500" s="64" t="str">
        <f t="shared" si="92"/>
        <v/>
      </c>
      <c r="P500" s="65" t="str">
        <f t="shared" si="93"/>
        <v/>
      </c>
      <c r="Q500" s="66" t="str">
        <f t="shared" si="99"/>
        <v/>
      </c>
      <c r="R500" s="51"/>
      <c r="S500" s="60"/>
      <c r="T500" s="52" t="str">
        <f t="shared" si="94"/>
        <v/>
      </c>
      <c r="U500" s="51"/>
      <c r="V500" s="56" t="str">
        <f t="shared" si="95"/>
        <v/>
      </c>
      <c r="X500" s="57" t="str">
        <f t="shared" si="96"/>
        <v/>
      </c>
      <c r="Y500" s="57">
        <f t="shared" si="97"/>
        <v>0</v>
      </c>
      <c r="Z500" s="57">
        <f t="shared" si="100"/>
        <v>59990</v>
      </c>
      <c r="AA500" s="57">
        <f t="shared" si="101"/>
        <v>0</v>
      </c>
      <c r="AB500" s="57">
        <f t="shared" si="98"/>
        <v>0.2</v>
      </c>
      <c r="AC500" s="57" t="str">
        <f t="shared" si="102"/>
        <v/>
      </c>
      <c r="AD500" s="57" t="str">
        <f t="shared" si="103"/>
        <v/>
      </c>
      <c r="AE500" s="57" t="str">
        <f>IF(AND($D500=RelConducteur,$S500="Oui",ISNUMBER($C500),$C500&gt;=RelDebut,$C500&lt;=RelFin),COUNTIFS($D$9:$D500,RelConducteur,$S$9:$S500,"Oui",$C$9:$C500,"&gt;="&amp;RelDebut,$C$9:$C500,"&lt;="&amp;RelFin),"")</f>
        <v/>
      </c>
    </row>
    <row r="501" spans="2:31" ht="18" customHeight="1" x14ac:dyDescent="0.25">
      <c r="B501" s="48" t="str">
        <f>IF(C501="","",COUNT($C$9:C501))</f>
        <v/>
      </c>
      <c r="C501" s="49"/>
      <c r="D501" s="51"/>
      <c r="E501" s="53"/>
      <c r="F501" s="51"/>
      <c r="G501" s="51"/>
      <c r="H501" s="51"/>
      <c r="I501" s="51"/>
      <c r="J501" s="59"/>
      <c r="K501" s="60"/>
      <c r="L501" s="61"/>
      <c r="M501" s="62"/>
      <c r="N501" s="63" t="str">
        <f t="shared" si="91"/>
        <v/>
      </c>
      <c r="O501" s="64" t="str">
        <f t="shared" si="92"/>
        <v/>
      </c>
      <c r="P501" s="65" t="str">
        <f t="shared" si="93"/>
        <v/>
      </c>
      <c r="Q501" s="66" t="str">
        <f t="shared" si="99"/>
        <v/>
      </c>
      <c r="R501" s="51"/>
      <c r="S501" s="60"/>
      <c r="T501" s="52" t="str">
        <f t="shared" si="94"/>
        <v/>
      </c>
      <c r="U501" s="51"/>
      <c r="V501" s="56" t="str">
        <f t="shared" si="95"/>
        <v/>
      </c>
      <c r="X501" s="57" t="str">
        <f t="shared" si="96"/>
        <v/>
      </c>
      <c r="Y501" s="57">
        <f t="shared" si="97"/>
        <v>0</v>
      </c>
      <c r="Z501" s="57">
        <f t="shared" si="100"/>
        <v>59990</v>
      </c>
      <c r="AA501" s="57">
        <f t="shared" si="101"/>
        <v>0</v>
      </c>
      <c r="AB501" s="57">
        <f t="shared" si="98"/>
        <v>0.2</v>
      </c>
      <c r="AC501" s="57" t="str">
        <f t="shared" si="102"/>
        <v/>
      </c>
      <c r="AD501" s="57" t="str">
        <f t="shared" si="103"/>
        <v/>
      </c>
      <c r="AE501" s="57" t="str">
        <f>IF(AND($D501=RelConducteur,$S501="Oui",ISNUMBER($C501),$C501&gt;=RelDebut,$C501&lt;=RelFin),COUNTIFS($D$9:$D501,RelConducteur,$S$9:$S501,"Oui",$C$9:$C501,"&gt;="&amp;RelDebut,$C$9:$C501,"&lt;="&amp;RelFin),"")</f>
        <v/>
      </c>
    </row>
    <row r="502" spans="2:31" ht="18" customHeight="1" x14ac:dyDescent="0.25">
      <c r="B502" s="48" t="str">
        <f>IF(C502="","",COUNT($C$9:C502))</f>
        <v/>
      </c>
      <c r="C502" s="49"/>
      <c r="D502" s="51"/>
      <c r="E502" s="53"/>
      <c r="F502" s="51"/>
      <c r="G502" s="51"/>
      <c r="H502" s="51"/>
      <c r="I502" s="51"/>
      <c r="J502" s="59"/>
      <c r="K502" s="60"/>
      <c r="L502" s="61"/>
      <c r="M502" s="62"/>
      <c r="N502" s="63" t="str">
        <f t="shared" si="91"/>
        <v/>
      </c>
      <c r="O502" s="64" t="str">
        <f t="shared" si="92"/>
        <v/>
      </c>
      <c r="P502" s="65" t="str">
        <f t="shared" si="93"/>
        <v/>
      </c>
      <c r="Q502" s="66" t="str">
        <f t="shared" si="99"/>
        <v/>
      </c>
      <c r="R502" s="51"/>
      <c r="S502" s="60"/>
      <c r="T502" s="52" t="str">
        <f t="shared" si="94"/>
        <v/>
      </c>
      <c r="U502" s="51"/>
      <c r="V502" s="56" t="str">
        <f t="shared" si="95"/>
        <v/>
      </c>
      <c r="X502" s="57" t="str">
        <f t="shared" si="96"/>
        <v/>
      </c>
      <c r="Y502" s="57">
        <f t="shared" si="97"/>
        <v>0</v>
      </c>
      <c r="Z502" s="57">
        <f t="shared" si="100"/>
        <v>59990</v>
      </c>
      <c r="AA502" s="57">
        <f t="shared" si="101"/>
        <v>0</v>
      </c>
      <c r="AB502" s="57">
        <f t="shared" si="98"/>
        <v>0.2</v>
      </c>
      <c r="AC502" s="57" t="str">
        <f t="shared" si="102"/>
        <v/>
      </c>
      <c r="AD502" s="57" t="str">
        <f t="shared" si="103"/>
        <v/>
      </c>
      <c r="AE502" s="57" t="str">
        <f>IF(AND($D502=RelConducteur,$S502="Oui",ISNUMBER($C502),$C502&gt;=RelDebut,$C502&lt;=RelFin),COUNTIFS($D$9:$D502,RelConducteur,$S$9:$S502,"Oui",$C$9:$C502,"&gt;="&amp;RelDebut,$C$9:$C502,"&lt;="&amp;RelFin),"")</f>
        <v/>
      </c>
    </row>
    <row r="503" spans="2:31" ht="18" customHeight="1" x14ac:dyDescent="0.25">
      <c r="B503" s="48" t="str">
        <f>IF(C503="","",COUNT($C$9:C503))</f>
        <v/>
      </c>
      <c r="C503" s="49"/>
      <c r="D503" s="51"/>
      <c r="E503" s="53"/>
      <c r="F503" s="51"/>
      <c r="G503" s="51"/>
      <c r="H503" s="51"/>
      <c r="I503" s="51"/>
      <c r="J503" s="59"/>
      <c r="K503" s="60"/>
      <c r="L503" s="61"/>
      <c r="M503" s="62"/>
      <c r="N503" s="63" t="str">
        <f t="shared" si="91"/>
        <v/>
      </c>
      <c r="O503" s="64" t="str">
        <f t="shared" si="92"/>
        <v/>
      </c>
      <c r="P503" s="65" t="str">
        <f t="shared" si="93"/>
        <v/>
      </c>
      <c r="Q503" s="66" t="str">
        <f t="shared" si="99"/>
        <v/>
      </c>
      <c r="R503" s="51"/>
      <c r="S503" s="60"/>
      <c r="T503" s="52" t="str">
        <f t="shared" si="94"/>
        <v/>
      </c>
      <c r="U503" s="51"/>
      <c r="V503" s="56" t="str">
        <f t="shared" si="95"/>
        <v/>
      </c>
      <c r="X503" s="57" t="str">
        <f t="shared" si="96"/>
        <v/>
      </c>
      <c r="Y503" s="57">
        <f t="shared" si="97"/>
        <v>0</v>
      </c>
      <c r="Z503" s="57">
        <f t="shared" si="100"/>
        <v>59990</v>
      </c>
      <c r="AA503" s="57">
        <f t="shared" si="101"/>
        <v>0</v>
      </c>
      <c r="AB503" s="57">
        <f t="shared" si="98"/>
        <v>0.2</v>
      </c>
      <c r="AC503" s="57" t="str">
        <f t="shared" si="102"/>
        <v/>
      </c>
      <c r="AD503" s="57" t="str">
        <f t="shared" si="103"/>
        <v/>
      </c>
      <c r="AE503" s="57" t="str">
        <f>IF(AND($D503=RelConducteur,$S503="Oui",ISNUMBER($C503),$C503&gt;=RelDebut,$C503&lt;=RelFin),COUNTIFS($D$9:$D503,RelConducteur,$S$9:$S503,"Oui",$C$9:$C503,"&gt;="&amp;RelDebut,$C$9:$C503,"&lt;="&amp;RelFin),"")</f>
        <v/>
      </c>
    </row>
    <row r="504" spans="2:31" ht="18" customHeight="1" x14ac:dyDescent="0.25">
      <c r="B504" s="48" t="str">
        <f>IF(C504="","",COUNT($C$9:C504))</f>
        <v/>
      </c>
      <c r="C504" s="49"/>
      <c r="D504" s="51"/>
      <c r="E504" s="53"/>
      <c r="F504" s="51"/>
      <c r="G504" s="51"/>
      <c r="H504" s="51"/>
      <c r="I504" s="51"/>
      <c r="J504" s="59"/>
      <c r="K504" s="60"/>
      <c r="L504" s="61"/>
      <c r="M504" s="62"/>
      <c r="N504" s="63" t="str">
        <f t="shared" si="91"/>
        <v/>
      </c>
      <c r="O504" s="64" t="str">
        <f t="shared" si="92"/>
        <v/>
      </c>
      <c r="P504" s="65" t="str">
        <f t="shared" si="93"/>
        <v/>
      </c>
      <c r="Q504" s="66" t="str">
        <f t="shared" si="99"/>
        <v/>
      </c>
      <c r="R504" s="51"/>
      <c r="S504" s="60"/>
      <c r="T504" s="52" t="str">
        <f t="shared" si="94"/>
        <v/>
      </c>
      <c r="U504" s="51"/>
      <c r="V504" s="56" t="str">
        <f t="shared" si="95"/>
        <v/>
      </c>
      <c r="X504" s="57" t="str">
        <f t="shared" si="96"/>
        <v/>
      </c>
      <c r="Y504" s="57">
        <f t="shared" si="97"/>
        <v>0</v>
      </c>
      <c r="Z504" s="57">
        <f t="shared" si="100"/>
        <v>59990</v>
      </c>
      <c r="AA504" s="57">
        <f t="shared" si="101"/>
        <v>0</v>
      </c>
      <c r="AB504" s="57">
        <f t="shared" si="98"/>
        <v>0.2</v>
      </c>
      <c r="AC504" s="57" t="str">
        <f t="shared" si="102"/>
        <v/>
      </c>
      <c r="AD504" s="57" t="str">
        <f t="shared" si="103"/>
        <v/>
      </c>
      <c r="AE504" s="57" t="str">
        <f>IF(AND($D504=RelConducteur,$S504="Oui",ISNUMBER($C504),$C504&gt;=RelDebut,$C504&lt;=RelFin),COUNTIFS($D$9:$D504,RelConducteur,$S$9:$S504,"Oui",$C$9:$C504,"&gt;="&amp;RelDebut,$C$9:$C504,"&lt;="&amp;RelFin),"")</f>
        <v/>
      </c>
    </row>
    <row r="505" spans="2:31" ht="18" customHeight="1" x14ac:dyDescent="0.25">
      <c r="B505" s="48" t="str">
        <f>IF(C505="","",COUNT($C$9:C505))</f>
        <v/>
      </c>
      <c r="C505" s="49"/>
      <c r="D505" s="51"/>
      <c r="E505" s="53"/>
      <c r="F505" s="51"/>
      <c r="G505" s="51"/>
      <c r="H505" s="51"/>
      <c r="I505" s="51"/>
      <c r="J505" s="59"/>
      <c r="K505" s="60"/>
      <c r="L505" s="61"/>
      <c r="M505" s="62"/>
      <c r="N505" s="63" t="str">
        <f t="shared" si="91"/>
        <v/>
      </c>
      <c r="O505" s="64" t="str">
        <f t="shared" si="92"/>
        <v/>
      </c>
      <c r="P505" s="65" t="str">
        <f t="shared" si="93"/>
        <v/>
      </c>
      <c r="Q505" s="66" t="str">
        <f t="shared" si="99"/>
        <v/>
      </c>
      <c r="R505" s="51"/>
      <c r="S505" s="60"/>
      <c r="T505" s="52" t="str">
        <f t="shared" si="94"/>
        <v/>
      </c>
      <c r="U505" s="51"/>
      <c r="V505" s="56" t="str">
        <f t="shared" si="95"/>
        <v/>
      </c>
      <c r="X505" s="57" t="str">
        <f t="shared" si="96"/>
        <v/>
      </c>
      <c r="Y505" s="57">
        <f t="shared" si="97"/>
        <v>0</v>
      </c>
      <c r="Z505" s="57">
        <f t="shared" si="100"/>
        <v>59990</v>
      </c>
      <c r="AA505" s="57">
        <f t="shared" si="101"/>
        <v>0</v>
      </c>
      <c r="AB505" s="57">
        <f t="shared" si="98"/>
        <v>0.2</v>
      </c>
      <c r="AC505" s="57" t="str">
        <f t="shared" si="102"/>
        <v/>
      </c>
      <c r="AD505" s="57" t="str">
        <f t="shared" si="103"/>
        <v/>
      </c>
      <c r="AE505" s="57" t="str">
        <f>IF(AND($D505=RelConducteur,$S505="Oui",ISNUMBER($C505),$C505&gt;=RelDebut,$C505&lt;=RelFin),COUNTIFS($D$9:$D505,RelConducteur,$S$9:$S505,"Oui",$C$9:$C505,"&gt;="&amp;RelDebut,$C$9:$C505,"&lt;="&amp;RelFin),"")</f>
        <v/>
      </c>
    </row>
    <row r="506" spans="2:31" ht="18" customHeight="1" x14ac:dyDescent="0.25">
      <c r="B506" s="48" t="str">
        <f>IF(C506="","",COUNT($C$9:C506))</f>
        <v/>
      </c>
      <c r="C506" s="49"/>
      <c r="D506" s="51"/>
      <c r="E506" s="53"/>
      <c r="F506" s="51"/>
      <c r="G506" s="51"/>
      <c r="H506" s="51"/>
      <c r="I506" s="51"/>
      <c r="J506" s="59"/>
      <c r="K506" s="60"/>
      <c r="L506" s="61"/>
      <c r="M506" s="62"/>
      <c r="N506" s="63" t="str">
        <f t="shared" si="91"/>
        <v/>
      </c>
      <c r="O506" s="64" t="str">
        <f t="shared" si="92"/>
        <v/>
      </c>
      <c r="P506" s="65" t="str">
        <f t="shared" si="93"/>
        <v/>
      </c>
      <c r="Q506" s="66" t="str">
        <f t="shared" si="99"/>
        <v/>
      </c>
      <c r="R506" s="51"/>
      <c r="S506" s="60"/>
      <c r="T506" s="52" t="str">
        <f t="shared" si="94"/>
        <v/>
      </c>
      <c r="U506" s="51"/>
      <c r="V506" s="56" t="str">
        <f t="shared" si="95"/>
        <v/>
      </c>
      <c r="X506" s="57" t="str">
        <f t="shared" si="96"/>
        <v/>
      </c>
      <c r="Y506" s="57">
        <f t="shared" si="97"/>
        <v>0</v>
      </c>
      <c r="Z506" s="57">
        <f t="shared" si="100"/>
        <v>59990</v>
      </c>
      <c r="AA506" s="57">
        <f t="shared" si="101"/>
        <v>0</v>
      </c>
      <c r="AB506" s="57">
        <f t="shared" si="98"/>
        <v>0.2</v>
      </c>
      <c r="AC506" s="57" t="str">
        <f t="shared" si="102"/>
        <v/>
      </c>
      <c r="AD506" s="57" t="str">
        <f t="shared" si="103"/>
        <v/>
      </c>
      <c r="AE506" s="57" t="str">
        <f>IF(AND($D506=RelConducteur,$S506="Oui",ISNUMBER($C506),$C506&gt;=RelDebut,$C506&lt;=RelFin),COUNTIFS($D$9:$D506,RelConducteur,$S$9:$S506,"Oui",$C$9:$C506,"&gt;="&amp;RelDebut,$C$9:$C506,"&lt;="&amp;RelFin),"")</f>
        <v/>
      </c>
    </row>
    <row r="507" spans="2:31" ht="18" customHeight="1" x14ac:dyDescent="0.25">
      <c r="B507" s="48" t="str">
        <f>IF(C507="","",COUNT($C$9:C507))</f>
        <v/>
      </c>
      <c r="C507" s="49"/>
      <c r="D507" s="51"/>
      <c r="E507" s="53"/>
      <c r="F507" s="51"/>
      <c r="G507" s="51"/>
      <c r="H507" s="51"/>
      <c r="I507" s="51"/>
      <c r="J507" s="59"/>
      <c r="K507" s="60"/>
      <c r="L507" s="61"/>
      <c r="M507" s="62"/>
      <c r="N507" s="63" t="str">
        <f t="shared" si="91"/>
        <v/>
      </c>
      <c r="O507" s="64" t="str">
        <f t="shared" si="92"/>
        <v/>
      </c>
      <c r="P507" s="65" t="str">
        <f t="shared" si="93"/>
        <v/>
      </c>
      <c r="Q507" s="66" t="str">
        <f t="shared" si="99"/>
        <v/>
      </c>
      <c r="R507" s="51"/>
      <c r="S507" s="60"/>
      <c r="T507" s="52" t="str">
        <f t="shared" si="94"/>
        <v/>
      </c>
      <c r="U507" s="51"/>
      <c r="V507" s="56" t="str">
        <f t="shared" si="95"/>
        <v/>
      </c>
      <c r="X507" s="57" t="str">
        <f t="shared" si="96"/>
        <v/>
      </c>
      <c r="Y507" s="57">
        <f t="shared" si="97"/>
        <v>0</v>
      </c>
      <c r="Z507" s="57">
        <f t="shared" si="100"/>
        <v>59990</v>
      </c>
      <c r="AA507" s="57">
        <f t="shared" si="101"/>
        <v>0</v>
      </c>
      <c r="AB507" s="57">
        <f t="shared" si="98"/>
        <v>0.2</v>
      </c>
      <c r="AC507" s="57" t="str">
        <f t="shared" si="102"/>
        <v/>
      </c>
      <c r="AD507" s="57" t="str">
        <f t="shared" si="103"/>
        <v/>
      </c>
      <c r="AE507" s="57" t="str">
        <f>IF(AND($D507=RelConducteur,$S507="Oui",ISNUMBER($C507),$C507&gt;=RelDebut,$C507&lt;=RelFin),COUNTIFS($D$9:$D507,RelConducteur,$S$9:$S507,"Oui",$C$9:$C507,"&gt;="&amp;RelDebut,$C$9:$C507,"&lt;="&amp;RelFin),"")</f>
        <v/>
      </c>
    </row>
    <row r="508" spans="2:31" ht="18" customHeight="1" x14ac:dyDescent="0.25">
      <c r="B508" s="48" t="str">
        <f>IF(C508="","",COUNT($C$9:C508))</f>
        <v/>
      </c>
      <c r="C508" s="49"/>
      <c r="D508" s="51"/>
      <c r="E508" s="53"/>
      <c r="F508" s="51"/>
      <c r="G508" s="51"/>
      <c r="H508" s="51"/>
      <c r="I508" s="51"/>
      <c r="J508" s="59"/>
      <c r="K508" s="60"/>
      <c r="L508" s="61"/>
      <c r="M508" s="62"/>
      <c r="N508" s="63" t="str">
        <f t="shared" si="91"/>
        <v/>
      </c>
      <c r="O508" s="64" t="str">
        <f t="shared" si="92"/>
        <v/>
      </c>
      <c r="P508" s="65" t="str">
        <f t="shared" si="93"/>
        <v/>
      </c>
      <c r="Q508" s="66" t="str">
        <f t="shared" si="99"/>
        <v/>
      </c>
      <c r="R508" s="51"/>
      <c r="S508" s="60"/>
      <c r="T508" s="52" t="str">
        <f t="shared" si="94"/>
        <v/>
      </c>
      <c r="U508" s="51"/>
      <c r="V508" s="56" t="str">
        <f t="shared" si="95"/>
        <v/>
      </c>
      <c r="X508" s="57" t="str">
        <f t="shared" si="96"/>
        <v/>
      </c>
      <c r="Y508" s="57">
        <f t="shared" si="97"/>
        <v>0</v>
      </c>
      <c r="Z508" s="57">
        <f t="shared" si="100"/>
        <v>59990</v>
      </c>
      <c r="AA508" s="57">
        <f t="shared" si="101"/>
        <v>0</v>
      </c>
      <c r="AB508" s="57">
        <f t="shared" si="98"/>
        <v>0.2</v>
      </c>
      <c r="AC508" s="57" t="str">
        <f t="shared" si="102"/>
        <v/>
      </c>
      <c r="AD508" s="57" t="str">
        <f t="shared" si="103"/>
        <v/>
      </c>
      <c r="AE508" s="57" t="str">
        <f>IF(AND($D508=RelConducteur,$S508="Oui",ISNUMBER($C508),$C508&gt;=RelDebut,$C508&lt;=RelFin),COUNTIFS($D$9:$D508,RelConducteur,$S$9:$S508,"Oui",$C$9:$C508,"&gt;="&amp;RelDebut,$C$9:$C508,"&lt;="&amp;RelFin),"")</f>
        <v/>
      </c>
    </row>
  </sheetData>
  <autoFilter ref="B8:V508" xr:uid="{00000000-0009-0000-0000-000002000000}"/>
  <mergeCells count="5">
    <mergeCell ref="E4:F4"/>
    <mergeCell ref="B5:D5"/>
    <mergeCell ref="B4:D4"/>
    <mergeCell ref="E5:F5"/>
    <mergeCell ref="U7:V7"/>
  </mergeCells>
  <conditionalFormatting sqref="F9:F508">
    <cfRule type="expression" dxfId="14" priority="6">
      <formula>$X9="Énergie"</formula>
    </cfRule>
  </conditionalFormatting>
  <conditionalFormatting sqref="J9:K508">
    <cfRule type="expression" dxfId="13" priority="4">
      <formula>AND($C9&lt;&gt;"",$Y9=0)</formula>
    </cfRule>
  </conditionalFormatting>
  <conditionalFormatting sqref="S9:S508">
    <cfRule type="expression" dxfId="12" priority="5">
      <formula>$S9="Oui"</formula>
    </cfRule>
  </conditionalFormatting>
  <conditionalFormatting sqref="V9:V508">
    <cfRule type="expression" dxfId="11" priority="1" stopIfTrue="1">
      <formula>OR($V9="Catégorie inconnue",$V9="Quantité &gt; réservoir")</formula>
    </cfRule>
    <cfRule type="expression" dxfId="10" priority="2" stopIfTrue="1">
      <formula>OR($V9="Incomplet",$V9="Plein incomplet",$V9="Conso. atypique",$V9="Compteur manquant",$V9="Compteur &lt; ouverture")</formula>
    </cfRule>
    <cfRule type="expression" dxfId="9" priority="3" stopIfTrue="1">
      <formula>$V9="Conforme"</formula>
    </cfRule>
  </conditionalFormatting>
  <dataValidations count="11">
    <dataValidation type="date" allowBlank="1" showErrorMessage="1" errorTitle="Date non valide" error="Saisissez une date au format jj/mm/aaaa." sqref="C9:C508" xr:uid="{00000000-0002-0000-0200-000000000000}">
      <formula1>36526</formula1>
      <formula2>73051</formula2>
    </dataValidation>
    <dataValidation type="list" allowBlank="1" showInputMessage="1" showErrorMessage="1" errorTitle="Valeur non prévue" error="Choisissez une valeur dans la liste déroulante." promptTitle="Conducteur" prompt="Laissez vide pour une dépense commune (assurance…)." sqref="D9:D508" xr:uid="{00000000-0002-0000-0200-000001000000}">
      <formula1>ListeConducteurs</formula1>
    </dataValidation>
    <dataValidation type="whole" allowBlank="1" showErrorMessage="1" errorTitle="Valeur non valide" error="Relevé du compteur (indispensable pour l'énergie et l'entretien)." sqref="E9:E508" xr:uid="{00000000-0002-0000-0200-000002000000}">
      <formula1>0</formula1>
      <formula2>3000000</formula2>
    </dataValidation>
    <dataValidation type="list" allowBlank="1" showErrorMessage="1" errorTitle="Valeur non prévue" error="Choisissez une valeur dans la liste déroulante." sqref="F9:F508" xr:uid="{00000000-0002-0000-0200-000003000000}">
      <formula1>ListeCategories</formula1>
    </dataValidation>
    <dataValidation type="list" allowBlank="1" showInputMessage="1" showErrorMessage="1" errorTitle="Valeur non prévue" error="Choisissez une valeur dans la liste déroulante." promptTitle="Opération d'entretien" prompt="Renseignez l'opération pour mettre à jour le plan d'entretien." sqref="G9:G508" xr:uid="{00000000-0002-0000-0200-000004000000}">
      <formula1>ListeOperations</formula1>
    </dataValidation>
    <dataValidation type="decimal" allowBlank="1" showErrorMessage="1" errorTitle="Valeur non valide" error="Quantité en litres (ou kWh pour une recharge)." sqref="J9:J508" xr:uid="{00000000-0002-0000-0200-000005000000}">
      <formula1>0</formula1>
      <formula2>100000</formula2>
    </dataValidation>
    <dataValidation type="list" allowBlank="1" showInputMessage="1" showErrorMessage="1" errorTitle="Valeur non prévue" error="Choisissez une valeur dans la liste déroulante." promptTitle="Plein complet" prompt="Oui si le réservoir (ou la batterie) a été rempli complètement : indispensable au calcul de la consommation." sqref="K9:K508" xr:uid="{00000000-0002-0000-0200-000006000000}">
      <formula1>"Oui,Non"</formula1>
    </dataValidation>
    <dataValidation type="decimal" allowBlank="1" showErrorMessage="1" errorTitle="Valeur non valide" error="Saisissez un nombre positif." sqref="L9:L508" xr:uid="{00000000-0002-0000-0200-000007000000}">
      <formula1>0</formula1>
      <formula2>1000000</formula2>
    </dataValidation>
    <dataValidation type="list" allowBlank="1" showInputMessage="1" showErrorMessage="1" errorTitle="Valeur non prévue" error="Choisissez une valeur dans la liste déroulante." promptTitle="Taux de TVA" prompt="Laissez vide pour appliquer la TVA par défaut de la catégorie." sqref="M9:M508" xr:uid="{00000000-0002-0000-0200-000008000000}">
      <formula1>ListeTVA</formula1>
    </dataValidation>
    <dataValidation type="list" allowBlank="1" showErrorMessage="1" errorTitle="Valeur non prévue" error="Choisissez une valeur dans la liste déroulante." sqref="R9:R508" xr:uid="{00000000-0002-0000-0200-000009000000}">
      <formula1>ListeReglements</formula1>
    </dataValidation>
    <dataValidation type="list" allowBlank="1" showInputMessage="1" showErrorMessage="1" errorTitle="Valeur non prévue" error="Choisissez une valeur dans la liste déroulante." promptTitle="Avance du conducteur" prompt="Oui si le conducteur a payé avec ses propres moyens : la dépense figure dans son relevé mensuel." sqref="S9:S508" xr:uid="{00000000-0002-0000-0200-00000A000000}">
      <formula1>"Oui,Non"</formula1>
    </dataValidation>
  </dataValidations>
  <printOptions horizontalCentered="1"/>
  <pageMargins left="0.35" right="0.35" top="0.45" bottom="0.55000000000000004" header="0.5" footer="0.5"/>
  <pageSetup paperSize="9" fitToHeight="0" orientation="landscape"/>
  <headerFooter>
    <oddFooter>&amp;L&amp;8 &amp;K8C949ECarnet de bord du véhicule – &amp;A&amp;R&amp;8 &amp;K8C949EPage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4A265"/>
    <pageSetUpPr fitToPage="1"/>
  </sheetPr>
  <dimension ref="A1:S24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9.140625" defaultRowHeight="15" outlineLevelCol="1" x14ac:dyDescent="0.25"/>
  <cols>
    <col min="1" max="1" width="2" customWidth="1"/>
    <col min="2" max="2" width="30" customWidth="1"/>
    <col min="3" max="4" width="11" customWidth="1"/>
    <col min="5" max="8" width="12" customWidth="1"/>
    <col min="9" max="9" width="18" customWidth="1"/>
    <col min="10" max="11" width="12" customWidth="1"/>
    <col min="12" max="12" width="10" customWidth="1"/>
    <col min="13" max="13" width="11" customWidth="1"/>
    <col min="14" max="14" width="15" customWidth="1"/>
    <col min="15" max="15" width="13" customWidth="1"/>
    <col min="16" max="16" width="34" customWidth="1"/>
    <col min="17" max="17" width="2" customWidth="1"/>
    <col min="18" max="19" width="11" hidden="1" customWidth="1" outlineLevel="1"/>
  </cols>
  <sheetData>
    <row r="1" spans="1:19" ht="18" customHeight="1" x14ac:dyDescent="0.25">
      <c r="A1" s="1"/>
      <c r="B1" s="3" t="str">
        <f>"CARNET DE BORD DU VÉHICULE   ·   "&amp;Immatriculation</f>
        <v>CARNET DE BORD DU VÉHICULE   ·   FT-317-KV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32.1" customHeight="1" x14ac:dyDescent="0.25">
      <c r="A2" s="1"/>
      <c r="B2" s="38" t="s">
        <v>399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9" t="str">
        <f>TRIM(Marque&amp;" "&amp;Modele)&amp;"   ·   "&amp;TitulaireVehicule</f>
        <v>Norvane Fourgonnette L1 1.5 diesel   ·   Altéis Maintenance SAS</v>
      </c>
      <c r="Q2" s="1"/>
    </row>
    <row r="3" spans="1:19" ht="3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9" ht="15.95" customHeight="1" x14ac:dyDescent="0.25">
      <c r="B4" s="40" t="s">
        <v>400</v>
      </c>
      <c r="C4" s="170" t="s">
        <v>401</v>
      </c>
      <c r="D4" s="118"/>
      <c r="E4" s="170" t="s">
        <v>402</v>
      </c>
      <c r="F4" s="118"/>
      <c r="G4" s="170" t="s">
        <v>62</v>
      </c>
      <c r="H4" s="118"/>
      <c r="I4" s="170" t="s">
        <v>403</v>
      </c>
      <c r="J4" s="118"/>
      <c r="K4" s="118"/>
      <c r="L4" s="118"/>
    </row>
    <row r="5" spans="1:19" ht="26.1" customHeight="1" x14ac:dyDescent="0.25">
      <c r="B5" s="41">
        <f>COUNTIF(Entretien!$B$9:$B$22,"?*")</f>
        <v>8</v>
      </c>
      <c r="C5" s="172">
        <f ca="1">COUNTIF(Entretien!$O$9:$O$22,"En retard")</f>
        <v>1</v>
      </c>
      <c r="D5" s="118"/>
      <c r="E5" s="172">
        <f ca="1">COUNTIF(Entretien!$O$9:$O$22,"À prévoir")</f>
        <v>1</v>
      </c>
      <c r="F5" s="118"/>
      <c r="G5" s="179">
        <f>IF(COUNT(Entretien!$J$9:$J$22)=0,"–",MIN(Entretien!$J$9:$J$22))</f>
        <v>46552</v>
      </c>
      <c r="H5" s="118"/>
      <c r="I5" s="180" t="str">
        <f>IF(COUNT(Entretien!$J$9:$J$22)=0,"–",INDEX(Entretien!$B$9:$B$22,MATCH(MIN(Entretien!$J$9:$J$22),Entretien!$J$9:$J$22,0)))</f>
        <v>Recharge de climatisation</v>
      </c>
      <c r="J5" s="118"/>
      <c r="K5" s="118"/>
      <c r="L5" s="118"/>
    </row>
    <row r="6" spans="1:19" ht="8.1" customHeight="1" x14ac:dyDescent="0.25"/>
    <row r="7" spans="1:19" ht="20.100000000000001" customHeight="1" x14ac:dyDescent="0.25">
      <c r="B7" s="67" t="s">
        <v>404</v>
      </c>
      <c r="E7" s="177" t="s">
        <v>405</v>
      </c>
      <c r="F7" s="178"/>
      <c r="G7" s="177" t="s">
        <v>406</v>
      </c>
      <c r="H7" s="178"/>
      <c r="I7" s="178"/>
      <c r="J7" s="177" t="s">
        <v>407</v>
      </c>
      <c r="K7" s="178"/>
      <c r="L7" s="177" t="s">
        <v>408</v>
      </c>
      <c r="M7" s="178"/>
      <c r="N7" s="178"/>
      <c r="O7" s="43" t="s">
        <v>115</v>
      </c>
      <c r="P7" s="44" t="s">
        <v>116</v>
      </c>
    </row>
    <row r="8" spans="1:19" ht="39.950000000000003" customHeight="1" x14ac:dyDescent="0.25">
      <c r="B8" s="46" t="s">
        <v>409</v>
      </c>
      <c r="C8" s="46" t="s">
        <v>410</v>
      </c>
      <c r="D8" s="46" t="s">
        <v>411</v>
      </c>
      <c r="E8" s="46" t="s">
        <v>118</v>
      </c>
      <c r="F8" s="46" t="s">
        <v>412</v>
      </c>
      <c r="G8" s="45" t="s">
        <v>118</v>
      </c>
      <c r="H8" s="45" t="s">
        <v>412</v>
      </c>
      <c r="I8" s="45" t="s">
        <v>413</v>
      </c>
      <c r="J8" s="45" t="s">
        <v>118</v>
      </c>
      <c r="K8" s="45" t="s">
        <v>412</v>
      </c>
      <c r="L8" s="45" t="s">
        <v>414</v>
      </c>
      <c r="M8" s="45" t="s">
        <v>415</v>
      </c>
      <c r="N8" s="45" t="s">
        <v>416</v>
      </c>
      <c r="O8" s="45" t="s">
        <v>417</v>
      </c>
      <c r="P8" s="46" t="s">
        <v>131</v>
      </c>
      <c r="R8" s="47" t="s">
        <v>418</v>
      </c>
      <c r="S8" s="47" t="s">
        <v>419</v>
      </c>
    </row>
    <row r="9" spans="1:19" ht="21.95" customHeight="1" x14ac:dyDescent="0.25">
      <c r="B9" s="68" t="s">
        <v>289</v>
      </c>
      <c r="C9" s="53">
        <v>20000</v>
      </c>
      <c r="D9" s="69">
        <v>12</v>
      </c>
      <c r="E9" s="49">
        <v>46154</v>
      </c>
      <c r="F9" s="53">
        <v>31200</v>
      </c>
      <c r="G9" s="70">
        <f t="shared" ref="G9:G22" si="0">IF(B9="","",IF(MAX(N(R9),N(E9))=0,"",MAX(N(R9),N(E9))))</f>
        <v>46511</v>
      </c>
      <c r="H9" s="71">
        <f t="shared" ref="H9:H22" si="1">IF(G9="","",IF(AND(N(R9)&gt;0,N(R9)&gt;=N(E9),N(S9)&gt;0),S9,IF(F9="","",F9)))</f>
        <v>46569</v>
      </c>
      <c r="I9" s="52" t="str">
        <f t="shared" ref="I9:I22" si="2">IF(G9="","",IF(AND(N(R9)&gt;0,N(R9)&gt;=N(E9)),"Journal des dépenses","Saisie initiale"))</f>
        <v>Journal des dépenses</v>
      </c>
      <c r="J9" s="72">
        <f t="shared" ref="J9:J22" si="3">IF(OR(G9="",N(D9)=0),"",EDATE(G9,D9))</f>
        <v>46877</v>
      </c>
      <c r="K9" s="73">
        <f t="shared" ref="K9:K22" si="4">IF(OR(H9="",N(C9)=0),"",H9+C9)</f>
        <v>66569</v>
      </c>
      <c r="L9" s="74">
        <f t="shared" ref="L9:L22" ca="1" si="5">IF(J9="","",J9-DateSituation)</f>
        <v>134</v>
      </c>
      <c r="M9" s="74">
        <f t="shared" ref="M9:M22" si="6">IF(K9="","",K9-KmActuel)</f>
        <v>6216</v>
      </c>
      <c r="N9" s="75">
        <f t="shared" ref="N9:N22" ca="1" si="7">IF(G9="","",MAX(IF(J9="",0,(DateSituation-G9)/MAX(J9-G9,1)),IF(K9="",0,(KmActuel-N(H9))/MAX(N(C9),1))))</f>
        <v>0.68920000000000003</v>
      </c>
      <c r="O9" s="76" t="str">
        <f t="shared" ref="O9:O22" ca="1" si="8">IF(B9="","",IF(G9="","À compléter",IF(OR(AND(ISNUMBER(L9),L9&lt;0),AND(ISNUMBER(M9),M9&lt;0)),"En retard",IF(OR(AND(ISNUMBER(L9),L9&lt;=AlerteJours),AND(ISNUMBER(M9),M9&lt;=AlerteKm)),"À prévoir","À jour"))))</f>
        <v>À jour</v>
      </c>
      <c r="P9" s="51" t="s">
        <v>420</v>
      </c>
      <c r="R9" s="77">
        <f>IF(B9="","",SUMPRODUCT(MAX((Dépenses!$G$9:$G$508=B9)*Dépenses!$C$9:$C$508)))</f>
        <v>46511</v>
      </c>
      <c r="S9" s="57">
        <f>IF(B9="","",SUMPRODUCT(MAX((Dépenses!$G$9:$G$508=B9)*Dépenses!$E$9:$E$508)))</f>
        <v>46569</v>
      </c>
    </row>
    <row r="10" spans="1:19" ht="21.95" customHeight="1" x14ac:dyDescent="0.25">
      <c r="B10" s="68" t="s">
        <v>421</v>
      </c>
      <c r="C10" s="53">
        <v>120000</v>
      </c>
      <c r="D10" s="69">
        <v>72</v>
      </c>
      <c r="E10" s="49">
        <v>45006</v>
      </c>
      <c r="F10" s="53">
        <v>0</v>
      </c>
      <c r="G10" s="70">
        <f t="shared" si="0"/>
        <v>45006</v>
      </c>
      <c r="H10" s="71">
        <f t="shared" si="1"/>
        <v>0</v>
      </c>
      <c r="I10" s="52" t="str">
        <f t="shared" si="2"/>
        <v>Saisie initiale</v>
      </c>
      <c r="J10" s="72">
        <f t="shared" si="3"/>
        <v>47198</v>
      </c>
      <c r="K10" s="73">
        <f t="shared" si="4"/>
        <v>120000</v>
      </c>
      <c r="L10" s="74">
        <f t="shared" ca="1" si="5"/>
        <v>455</v>
      </c>
      <c r="M10" s="74">
        <f t="shared" si="6"/>
        <v>59647</v>
      </c>
      <c r="N10" s="75">
        <f t="shared" ca="1" si="7"/>
        <v>0.79242700729927007</v>
      </c>
      <c r="O10" s="76" t="str">
        <f t="shared" ca="1" si="8"/>
        <v>À jour</v>
      </c>
      <c r="P10" s="51" t="s">
        <v>422</v>
      </c>
      <c r="R10" s="77">
        <f>IF(B10="","",SUMPRODUCT(MAX((Dépenses!$G$9:$G$508=B10)*Dépenses!$C$9:$C$508)))</f>
        <v>0</v>
      </c>
      <c r="S10" s="57">
        <f>IF(B10="","",SUMPRODUCT(MAX((Dépenses!$G$9:$G$508=B10)*Dépenses!$E$9:$E$508)))</f>
        <v>0</v>
      </c>
    </row>
    <row r="11" spans="1:19" ht="21.95" customHeight="1" x14ac:dyDescent="0.25">
      <c r="B11" s="68" t="s">
        <v>349</v>
      </c>
      <c r="C11" s="53">
        <v>30000</v>
      </c>
      <c r="D11" s="69"/>
      <c r="E11" s="49">
        <v>45918</v>
      </c>
      <c r="F11" s="53">
        <v>24800</v>
      </c>
      <c r="G11" s="70">
        <f t="shared" si="0"/>
        <v>46638</v>
      </c>
      <c r="H11" s="71">
        <f t="shared" si="1"/>
        <v>53769</v>
      </c>
      <c r="I11" s="52" t="str">
        <f t="shared" si="2"/>
        <v>Journal des dépenses</v>
      </c>
      <c r="J11" s="72" t="str">
        <f t="shared" si="3"/>
        <v/>
      </c>
      <c r="K11" s="73">
        <f t="shared" si="4"/>
        <v>83769</v>
      </c>
      <c r="L11" s="74" t="str">
        <f t="shared" si="5"/>
        <v/>
      </c>
      <c r="M11" s="74">
        <f t="shared" si="6"/>
        <v>23416</v>
      </c>
      <c r="N11" s="75">
        <f t="shared" si="7"/>
        <v>0.21946666666666667</v>
      </c>
      <c r="O11" s="76" t="str">
        <f t="shared" si="8"/>
        <v>À jour</v>
      </c>
      <c r="P11" s="51" t="s">
        <v>423</v>
      </c>
      <c r="R11" s="77">
        <f>IF(B11="","",SUMPRODUCT(MAX((Dépenses!$G$9:$G$508=B11)*Dépenses!$C$9:$C$508)))</f>
        <v>46638</v>
      </c>
      <c r="S11" s="57">
        <f>IF(B11="","",SUMPRODUCT(MAX((Dépenses!$G$9:$G$508=B11)*Dépenses!$E$9:$E$508)))</f>
        <v>53769</v>
      </c>
    </row>
    <row r="12" spans="1:19" ht="21.95" customHeight="1" x14ac:dyDescent="0.25">
      <c r="B12" s="68" t="s">
        <v>379</v>
      </c>
      <c r="C12" s="53">
        <v>40000</v>
      </c>
      <c r="D12" s="69">
        <v>60</v>
      </c>
      <c r="E12" s="49">
        <v>45006</v>
      </c>
      <c r="F12" s="53">
        <v>0</v>
      </c>
      <c r="G12" s="70">
        <f t="shared" si="0"/>
        <v>46695</v>
      </c>
      <c r="H12" s="71">
        <f t="shared" si="1"/>
        <v>58058</v>
      </c>
      <c r="I12" s="52" t="str">
        <f t="shared" si="2"/>
        <v>Journal des dépenses</v>
      </c>
      <c r="J12" s="72">
        <f t="shared" si="3"/>
        <v>48522</v>
      </c>
      <c r="K12" s="73">
        <f t="shared" si="4"/>
        <v>98058</v>
      </c>
      <c r="L12" s="74">
        <f t="shared" ca="1" si="5"/>
        <v>1779</v>
      </c>
      <c r="M12" s="74">
        <f t="shared" si="6"/>
        <v>37705</v>
      </c>
      <c r="N12" s="75">
        <f t="shared" ca="1" si="7"/>
        <v>5.7375000000000002E-2</v>
      </c>
      <c r="O12" s="76" t="str">
        <f t="shared" ca="1" si="8"/>
        <v>À jour</v>
      </c>
      <c r="P12" s="51" t="s">
        <v>424</v>
      </c>
      <c r="R12" s="77">
        <f>IF(B12="","",SUMPRODUCT(MAX((Dépenses!$G$9:$G$508=B12)*Dépenses!$C$9:$C$508)))</f>
        <v>46695</v>
      </c>
      <c r="S12" s="57">
        <f>IF(B12="","",SUMPRODUCT(MAX((Dépenses!$G$9:$G$508=B12)*Dépenses!$E$9:$E$508)))</f>
        <v>58058</v>
      </c>
    </row>
    <row r="13" spans="1:19" ht="21.95" customHeight="1" x14ac:dyDescent="0.25">
      <c r="B13" s="68" t="s">
        <v>425</v>
      </c>
      <c r="C13" s="53"/>
      <c r="D13" s="69">
        <v>24</v>
      </c>
      <c r="E13" s="49">
        <v>45822</v>
      </c>
      <c r="F13" s="53"/>
      <c r="G13" s="70">
        <f t="shared" si="0"/>
        <v>45822</v>
      </c>
      <c r="H13" s="71" t="str">
        <f t="shared" si="1"/>
        <v/>
      </c>
      <c r="I13" s="52" t="str">
        <f t="shared" si="2"/>
        <v>Saisie initiale</v>
      </c>
      <c r="J13" s="72">
        <f t="shared" si="3"/>
        <v>46552</v>
      </c>
      <c r="K13" s="73" t="str">
        <f t="shared" si="4"/>
        <v/>
      </c>
      <c r="L13" s="74">
        <f t="shared" ca="1" si="5"/>
        <v>-191</v>
      </c>
      <c r="M13" s="74" t="str">
        <f t="shared" si="6"/>
        <v/>
      </c>
      <c r="N13" s="75">
        <f t="shared" ca="1" si="7"/>
        <v>1.2616438356164383</v>
      </c>
      <c r="O13" s="76" t="str">
        <f t="shared" ca="1" si="8"/>
        <v>En retard</v>
      </c>
      <c r="P13" s="51"/>
      <c r="R13" s="77">
        <f>IF(B13="","",SUMPRODUCT(MAX((Dépenses!$G$9:$G$508=B13)*Dépenses!$C$9:$C$508)))</f>
        <v>0</v>
      </c>
      <c r="S13" s="57">
        <f>IF(B13="","",SUMPRODUCT(MAX((Dépenses!$G$9:$G$508=B13)*Dépenses!$E$9:$E$508)))</f>
        <v>0</v>
      </c>
    </row>
    <row r="14" spans="1:19" ht="21.95" customHeight="1" x14ac:dyDescent="0.25">
      <c r="B14" s="68" t="s">
        <v>254</v>
      </c>
      <c r="C14" s="53"/>
      <c r="D14" s="69">
        <v>24</v>
      </c>
      <c r="E14" s="49">
        <v>45737</v>
      </c>
      <c r="F14" s="53"/>
      <c r="G14" s="70">
        <f t="shared" si="0"/>
        <v>46461</v>
      </c>
      <c r="H14" s="71">
        <f t="shared" si="1"/>
        <v>42970</v>
      </c>
      <c r="I14" s="52" t="str">
        <f t="shared" si="2"/>
        <v>Journal des dépenses</v>
      </c>
      <c r="J14" s="72">
        <f t="shared" si="3"/>
        <v>47192</v>
      </c>
      <c r="K14" s="73" t="str">
        <f t="shared" si="4"/>
        <v/>
      </c>
      <c r="L14" s="74">
        <f t="shared" ca="1" si="5"/>
        <v>449</v>
      </c>
      <c r="M14" s="74" t="str">
        <f t="shared" si="6"/>
        <v/>
      </c>
      <c r="N14" s="75">
        <f t="shared" ca="1" si="7"/>
        <v>0.38577291381668949</v>
      </c>
      <c r="O14" s="76" t="str">
        <f t="shared" ca="1" si="8"/>
        <v>À jour</v>
      </c>
      <c r="P14" s="51" t="s">
        <v>426</v>
      </c>
      <c r="R14" s="77">
        <f>IF(B14="","",SUMPRODUCT(MAX((Dépenses!$G$9:$G$508=B14)*Dépenses!$C$9:$C$508)))</f>
        <v>46461</v>
      </c>
      <c r="S14" s="57">
        <f>IF(B14="","",SUMPRODUCT(MAX((Dépenses!$G$9:$G$508=B14)*Dépenses!$E$9:$E$508)))</f>
        <v>42970</v>
      </c>
    </row>
    <row r="15" spans="1:19" ht="21.95" customHeight="1" x14ac:dyDescent="0.25">
      <c r="B15" s="68" t="s">
        <v>200</v>
      </c>
      <c r="C15" s="53"/>
      <c r="D15" s="69">
        <v>12</v>
      </c>
      <c r="E15" s="49">
        <v>46023</v>
      </c>
      <c r="F15" s="53"/>
      <c r="G15" s="70">
        <f t="shared" si="0"/>
        <v>46391</v>
      </c>
      <c r="H15" s="71" t="str">
        <f t="shared" si="1"/>
        <v/>
      </c>
      <c r="I15" s="52" t="str">
        <f t="shared" si="2"/>
        <v>Journal des dépenses</v>
      </c>
      <c r="J15" s="72">
        <f t="shared" si="3"/>
        <v>46756</v>
      </c>
      <c r="K15" s="73" t="str">
        <f t="shared" si="4"/>
        <v/>
      </c>
      <c r="L15" s="74">
        <f t="shared" ca="1" si="5"/>
        <v>13</v>
      </c>
      <c r="M15" s="74" t="str">
        <f t="shared" si="6"/>
        <v/>
      </c>
      <c r="N15" s="75">
        <f t="shared" ca="1" si="7"/>
        <v>0.96438356164383565</v>
      </c>
      <c r="O15" s="76" t="str">
        <f t="shared" ca="1" si="8"/>
        <v>À prévoir</v>
      </c>
      <c r="P15" s="51" t="s">
        <v>427</v>
      </c>
      <c r="R15" s="77">
        <f>IF(B15="","",SUMPRODUCT(MAX((Dépenses!$G$9:$G$508=B15)*Dépenses!$C$9:$C$508)))</f>
        <v>46391</v>
      </c>
      <c r="S15" s="57">
        <f>IF(B15="","",SUMPRODUCT(MAX((Dépenses!$G$9:$G$508=B15)*Dépenses!$E$9:$E$508)))</f>
        <v>0</v>
      </c>
    </row>
    <row r="16" spans="1:19" ht="21.95" customHeight="1" x14ac:dyDescent="0.25">
      <c r="B16" s="68" t="s">
        <v>229</v>
      </c>
      <c r="C16" s="53"/>
      <c r="D16" s="69">
        <v>12</v>
      </c>
      <c r="E16" s="49">
        <v>46042</v>
      </c>
      <c r="F16" s="53"/>
      <c r="G16" s="70">
        <f t="shared" si="0"/>
        <v>46409</v>
      </c>
      <c r="H16" s="71">
        <f t="shared" si="1"/>
        <v>40220</v>
      </c>
      <c r="I16" s="52" t="str">
        <f t="shared" si="2"/>
        <v>Journal des dépenses</v>
      </c>
      <c r="J16" s="72">
        <f t="shared" si="3"/>
        <v>46774</v>
      </c>
      <c r="K16" s="73" t="str">
        <f t="shared" si="4"/>
        <v/>
      </c>
      <c r="L16" s="74">
        <f t="shared" ca="1" si="5"/>
        <v>31</v>
      </c>
      <c r="M16" s="74" t="str">
        <f t="shared" si="6"/>
        <v/>
      </c>
      <c r="N16" s="75">
        <f t="shared" ca="1" si="7"/>
        <v>0.91506849315068495</v>
      </c>
      <c r="O16" s="76" t="str">
        <f t="shared" ca="1" si="8"/>
        <v>À jour</v>
      </c>
      <c r="P16" s="51" t="s">
        <v>428</v>
      </c>
      <c r="R16" s="77">
        <f>IF(B16="","",SUMPRODUCT(MAX((Dépenses!$G$9:$G$508=B16)*Dépenses!$C$9:$C$508)))</f>
        <v>46409</v>
      </c>
      <c r="S16" s="57">
        <f>IF(B16="","",SUMPRODUCT(MAX((Dépenses!$G$9:$G$508=B16)*Dépenses!$E$9:$E$508)))</f>
        <v>40220</v>
      </c>
    </row>
    <row r="17" spans="2:19" ht="21.95" customHeight="1" x14ac:dyDescent="0.25">
      <c r="B17" s="68"/>
      <c r="C17" s="53"/>
      <c r="D17" s="69"/>
      <c r="E17" s="49"/>
      <c r="F17" s="53"/>
      <c r="G17" s="70" t="str">
        <f t="shared" si="0"/>
        <v/>
      </c>
      <c r="H17" s="71" t="str">
        <f t="shared" si="1"/>
        <v/>
      </c>
      <c r="I17" s="52" t="str">
        <f t="shared" si="2"/>
        <v/>
      </c>
      <c r="J17" s="72" t="str">
        <f t="shared" si="3"/>
        <v/>
      </c>
      <c r="K17" s="73" t="str">
        <f t="shared" si="4"/>
        <v/>
      </c>
      <c r="L17" s="74" t="str">
        <f t="shared" si="5"/>
        <v/>
      </c>
      <c r="M17" s="74" t="str">
        <f t="shared" si="6"/>
        <v/>
      </c>
      <c r="N17" s="75" t="str">
        <f t="shared" si="7"/>
        <v/>
      </c>
      <c r="O17" s="76" t="str">
        <f t="shared" si="8"/>
        <v/>
      </c>
      <c r="P17" s="51"/>
      <c r="R17" s="77" t="str">
        <f>IF(B17="","",SUMPRODUCT(MAX((Dépenses!$G$9:$G$508=B17)*Dépenses!$C$9:$C$508)))</f>
        <v/>
      </c>
      <c r="S17" s="57" t="str">
        <f>IF(B17="","",SUMPRODUCT(MAX((Dépenses!$G$9:$G$508=B17)*Dépenses!$E$9:$E$508)))</f>
        <v/>
      </c>
    </row>
    <row r="18" spans="2:19" ht="21.95" customHeight="1" x14ac:dyDescent="0.25">
      <c r="B18" s="68"/>
      <c r="C18" s="53"/>
      <c r="D18" s="69"/>
      <c r="E18" s="49"/>
      <c r="F18" s="53"/>
      <c r="G18" s="70" t="str">
        <f t="shared" si="0"/>
        <v/>
      </c>
      <c r="H18" s="71" t="str">
        <f t="shared" si="1"/>
        <v/>
      </c>
      <c r="I18" s="52" t="str">
        <f t="shared" si="2"/>
        <v/>
      </c>
      <c r="J18" s="72" t="str">
        <f t="shared" si="3"/>
        <v/>
      </c>
      <c r="K18" s="73" t="str">
        <f t="shared" si="4"/>
        <v/>
      </c>
      <c r="L18" s="74" t="str">
        <f t="shared" si="5"/>
        <v/>
      </c>
      <c r="M18" s="74" t="str">
        <f t="shared" si="6"/>
        <v/>
      </c>
      <c r="N18" s="75" t="str">
        <f t="shared" si="7"/>
        <v/>
      </c>
      <c r="O18" s="76" t="str">
        <f t="shared" si="8"/>
        <v/>
      </c>
      <c r="P18" s="51"/>
      <c r="R18" s="77" t="str">
        <f>IF(B18="","",SUMPRODUCT(MAX((Dépenses!$G$9:$G$508=B18)*Dépenses!$C$9:$C$508)))</f>
        <v/>
      </c>
      <c r="S18" s="57" t="str">
        <f>IF(B18="","",SUMPRODUCT(MAX((Dépenses!$G$9:$G$508=B18)*Dépenses!$E$9:$E$508)))</f>
        <v/>
      </c>
    </row>
    <row r="19" spans="2:19" ht="21.95" customHeight="1" x14ac:dyDescent="0.25">
      <c r="B19" s="68"/>
      <c r="C19" s="53"/>
      <c r="D19" s="69"/>
      <c r="E19" s="49"/>
      <c r="F19" s="53"/>
      <c r="G19" s="70" t="str">
        <f t="shared" si="0"/>
        <v/>
      </c>
      <c r="H19" s="71" t="str">
        <f t="shared" si="1"/>
        <v/>
      </c>
      <c r="I19" s="52" t="str">
        <f t="shared" si="2"/>
        <v/>
      </c>
      <c r="J19" s="72" t="str">
        <f t="shared" si="3"/>
        <v/>
      </c>
      <c r="K19" s="73" t="str">
        <f t="shared" si="4"/>
        <v/>
      </c>
      <c r="L19" s="74" t="str">
        <f t="shared" si="5"/>
        <v/>
      </c>
      <c r="M19" s="74" t="str">
        <f t="shared" si="6"/>
        <v/>
      </c>
      <c r="N19" s="75" t="str">
        <f t="shared" si="7"/>
        <v/>
      </c>
      <c r="O19" s="76" t="str">
        <f t="shared" si="8"/>
        <v/>
      </c>
      <c r="P19" s="51"/>
      <c r="R19" s="77" t="str">
        <f>IF(B19="","",SUMPRODUCT(MAX((Dépenses!$G$9:$G$508=B19)*Dépenses!$C$9:$C$508)))</f>
        <v/>
      </c>
      <c r="S19" s="57" t="str">
        <f>IF(B19="","",SUMPRODUCT(MAX((Dépenses!$G$9:$G$508=B19)*Dépenses!$E$9:$E$508)))</f>
        <v/>
      </c>
    </row>
    <row r="20" spans="2:19" ht="21.95" customHeight="1" x14ac:dyDescent="0.25">
      <c r="B20" s="68"/>
      <c r="C20" s="53"/>
      <c r="D20" s="69"/>
      <c r="E20" s="49"/>
      <c r="F20" s="53"/>
      <c r="G20" s="70" t="str">
        <f t="shared" si="0"/>
        <v/>
      </c>
      <c r="H20" s="71" t="str">
        <f t="shared" si="1"/>
        <v/>
      </c>
      <c r="I20" s="52" t="str">
        <f t="shared" si="2"/>
        <v/>
      </c>
      <c r="J20" s="72" t="str">
        <f t="shared" si="3"/>
        <v/>
      </c>
      <c r="K20" s="73" t="str">
        <f t="shared" si="4"/>
        <v/>
      </c>
      <c r="L20" s="74" t="str">
        <f t="shared" si="5"/>
        <v/>
      </c>
      <c r="M20" s="74" t="str">
        <f t="shared" si="6"/>
        <v/>
      </c>
      <c r="N20" s="75" t="str">
        <f t="shared" si="7"/>
        <v/>
      </c>
      <c r="O20" s="76" t="str">
        <f t="shared" si="8"/>
        <v/>
      </c>
      <c r="P20" s="51"/>
      <c r="R20" s="77" t="str">
        <f>IF(B20="","",SUMPRODUCT(MAX((Dépenses!$G$9:$G$508=B20)*Dépenses!$C$9:$C$508)))</f>
        <v/>
      </c>
      <c r="S20" s="57" t="str">
        <f>IF(B20="","",SUMPRODUCT(MAX((Dépenses!$G$9:$G$508=B20)*Dépenses!$E$9:$E$508)))</f>
        <v/>
      </c>
    </row>
    <row r="21" spans="2:19" ht="21.95" customHeight="1" x14ac:dyDescent="0.25">
      <c r="B21" s="68"/>
      <c r="C21" s="53"/>
      <c r="D21" s="69"/>
      <c r="E21" s="49"/>
      <c r="F21" s="53"/>
      <c r="G21" s="70" t="str">
        <f t="shared" si="0"/>
        <v/>
      </c>
      <c r="H21" s="71" t="str">
        <f t="shared" si="1"/>
        <v/>
      </c>
      <c r="I21" s="52" t="str">
        <f t="shared" si="2"/>
        <v/>
      </c>
      <c r="J21" s="72" t="str">
        <f t="shared" si="3"/>
        <v/>
      </c>
      <c r="K21" s="73" t="str">
        <f t="shared" si="4"/>
        <v/>
      </c>
      <c r="L21" s="74" t="str">
        <f t="shared" si="5"/>
        <v/>
      </c>
      <c r="M21" s="74" t="str">
        <f t="shared" si="6"/>
        <v/>
      </c>
      <c r="N21" s="75" t="str">
        <f t="shared" si="7"/>
        <v/>
      </c>
      <c r="O21" s="76" t="str">
        <f t="shared" si="8"/>
        <v/>
      </c>
      <c r="P21" s="51"/>
      <c r="R21" s="77" t="str">
        <f>IF(B21="","",SUMPRODUCT(MAX((Dépenses!$G$9:$G$508=B21)*Dépenses!$C$9:$C$508)))</f>
        <v/>
      </c>
      <c r="S21" s="57" t="str">
        <f>IF(B21="","",SUMPRODUCT(MAX((Dépenses!$G$9:$G$508=B21)*Dépenses!$E$9:$E$508)))</f>
        <v/>
      </c>
    </row>
    <row r="22" spans="2:19" ht="21.95" customHeight="1" x14ac:dyDescent="0.25">
      <c r="B22" s="68"/>
      <c r="C22" s="53"/>
      <c r="D22" s="69"/>
      <c r="E22" s="49"/>
      <c r="F22" s="53"/>
      <c r="G22" s="70" t="str">
        <f t="shared" si="0"/>
        <v/>
      </c>
      <c r="H22" s="71" t="str">
        <f t="shared" si="1"/>
        <v/>
      </c>
      <c r="I22" s="52" t="str">
        <f t="shared" si="2"/>
        <v/>
      </c>
      <c r="J22" s="72" t="str">
        <f t="shared" si="3"/>
        <v/>
      </c>
      <c r="K22" s="73" t="str">
        <f t="shared" si="4"/>
        <v/>
      </c>
      <c r="L22" s="74" t="str">
        <f t="shared" si="5"/>
        <v/>
      </c>
      <c r="M22" s="74" t="str">
        <f t="shared" si="6"/>
        <v/>
      </c>
      <c r="N22" s="75" t="str">
        <f t="shared" si="7"/>
        <v/>
      </c>
      <c r="O22" s="76" t="str">
        <f t="shared" si="8"/>
        <v/>
      </c>
      <c r="P22" s="51"/>
      <c r="R22" s="77" t="str">
        <f>IF(B22="","",SUMPRODUCT(MAX((Dépenses!$G$9:$G$508=B22)*Dépenses!$C$9:$C$508)))</f>
        <v/>
      </c>
      <c r="S22" s="57" t="str">
        <f>IF(B22="","",SUMPRODUCT(MAX((Dépenses!$G$9:$G$508=B22)*Dépenses!$E$9:$E$508)))</f>
        <v/>
      </c>
    </row>
    <row r="24" spans="2:19" x14ac:dyDescent="0.25">
      <c r="B24" s="67" t="str">
        <f>"« À prévoir » : moins de "&amp;AlerteJours&amp;" jours ou de "&amp;FIXED(AlerteKm,0)&amp;" km avant l'échéance. Avancement : part de l'intervalle déjà écoulée (temps ou kilomètres)."</f>
        <v>« À prévoir » : moins de 30 jours ou de 1.000 km avant l'échéance. Avancement : part de l'intervalle déjà écoulée (temps ou kilomètres).</v>
      </c>
    </row>
  </sheetData>
  <mergeCells count="12">
    <mergeCell ref="G4:H4"/>
    <mergeCell ref="E4:F4"/>
    <mergeCell ref="E7:F7"/>
    <mergeCell ref="L7:N7"/>
    <mergeCell ref="C5:D5"/>
    <mergeCell ref="I4:L4"/>
    <mergeCell ref="G5:H5"/>
    <mergeCell ref="E5:F5"/>
    <mergeCell ref="J7:K7"/>
    <mergeCell ref="G7:I7"/>
    <mergeCell ref="I5:L5"/>
    <mergeCell ref="C4:D4"/>
  </mergeCells>
  <conditionalFormatting sqref="L9:M22">
    <cfRule type="expression" dxfId="8" priority="7">
      <formula>AND(ISNUMBER(L9),L9&lt;0)</formula>
    </cfRule>
  </conditionalFormatting>
  <conditionalFormatting sqref="N9:N22">
    <cfRule type="expression" dxfId="7" priority="5">
      <formula>AND(ISNUMBER(N9),N9&gt;1)</formula>
    </cfRule>
    <cfRule type="dataBar" priority="6">
      <dataBar>
        <cfvo type="num" val="0"/>
        <cfvo type="num" val="1"/>
        <color rgb="FFC9A36A"/>
      </dataBar>
    </cfRule>
  </conditionalFormatting>
  <conditionalFormatting sqref="O9:O22">
    <cfRule type="expression" dxfId="6" priority="1" stopIfTrue="1">
      <formula>$O9="En retard"</formula>
    </cfRule>
    <cfRule type="expression" dxfId="5" priority="2" stopIfTrue="1">
      <formula>$O9="À prévoir"</formula>
    </cfRule>
    <cfRule type="expression" dxfId="4" priority="3" stopIfTrue="1">
      <formula>$O9="À jour"</formula>
    </cfRule>
    <cfRule type="expression" dxfId="3" priority="4" stopIfTrue="1">
      <formula>$O9="À compléter"</formula>
    </cfRule>
  </conditionalFormatting>
  <dataValidations count="5">
    <dataValidation type="list" allowBlank="1" showInputMessage="1" showErrorMessage="1" errorTitle="Valeur non prévue" error="Choisissez une valeur dans la liste déroulante." promptTitle="Opération suivie" prompt="Même libellé que la colonne « Opération d'entretien » du journal des dépenses : chaque nouvelle dépense met l'échéance à jour." sqref="B9:B22" xr:uid="{00000000-0002-0000-0300-000000000000}">
      <formula1>ListeOperations</formula1>
    </dataValidation>
    <dataValidation type="whole" allowBlank="1" showErrorMessage="1" errorTitle="Valeur non valide" error="Saisissez un nombre positif." sqref="C9:C22" xr:uid="{00000000-0002-0000-0300-000001000000}">
      <formula1>0</formula1>
      <formula2>1000000</formula2>
    </dataValidation>
    <dataValidation type="whole" allowBlank="1" showErrorMessage="1" errorTitle="Valeur non valide" error="Périodicité en mois (0 à 240)." sqref="D9:D22" xr:uid="{00000000-0002-0000-0300-000002000000}">
      <formula1>0</formula1>
      <formula2>240</formula2>
    </dataValidation>
    <dataValidation type="date" allowBlank="1" showErrorMessage="1" errorTitle="Date non valide" error="Saisissez une date au format jj/mm/aaaa." sqref="E9:E22" xr:uid="{00000000-0002-0000-0300-000003000000}">
      <formula1>36526</formula1>
      <formula2>73051</formula2>
    </dataValidation>
    <dataValidation type="whole" allowBlank="1" showErrorMessage="1" errorTitle="Valeur non valide" error="Saisissez un nombre positif." sqref="F9:F22" xr:uid="{00000000-0002-0000-0300-000004000000}">
      <formula1>0</formula1>
      <formula2>3000000</formula2>
    </dataValidation>
  </dataValidations>
  <printOptions horizontalCentered="1"/>
  <pageMargins left="0.35" right="0.35" top="0.45" bottom="0.55000000000000004" header="0.5" footer="0.5"/>
  <pageSetup paperSize="9" orientation="landscape"/>
  <headerFooter>
    <oddFooter>&amp;L&amp;8 &amp;K8C949ECarnet de bord du véhicule – &amp;A&amp;R&amp;8 &amp;K8C949EPage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A2B40"/>
    <pageSetUpPr fitToPage="1"/>
  </sheetPr>
  <dimension ref="A1:J78"/>
  <sheetViews>
    <sheetView showGridLines="0" workbookViewId="0"/>
  </sheetViews>
  <sheetFormatPr baseColWidth="10" defaultColWidth="9.140625" defaultRowHeight="15" outlineLevelCol="1" x14ac:dyDescent="0.25"/>
  <cols>
    <col min="1" max="1" width="2" customWidth="1"/>
    <col min="2" max="2" width="12" customWidth="1"/>
    <col min="3" max="3" width="8" customWidth="1"/>
    <col min="4" max="4" width="25" customWidth="1"/>
    <col min="5" max="5" width="27" customWidth="1"/>
    <col min="6" max="6" width="34" customWidth="1"/>
    <col min="7" max="7" width="12" customWidth="1"/>
    <col min="8" max="8" width="2" customWidth="1"/>
    <col min="9" max="9" width="3" customWidth="1"/>
    <col min="10" max="10" width="10" hidden="1" customWidth="1" outlineLevel="1"/>
  </cols>
  <sheetData>
    <row r="1" spans="1:10" ht="18" customHeight="1" x14ac:dyDescent="0.25">
      <c r="A1" s="1"/>
      <c r="B1" s="3" t="str">
        <f>"CARNET DE BORD DU VÉHICULE   ·   "&amp;Immatriculation</f>
        <v>CARNET DE BORD DU VÉHICULE   ·   FT-317-KV</v>
      </c>
      <c r="C1" s="1"/>
      <c r="D1" s="1"/>
      <c r="E1" s="1"/>
      <c r="F1" s="1"/>
      <c r="G1" s="1"/>
      <c r="H1" s="1"/>
    </row>
    <row r="2" spans="1:10" ht="32.1" customHeight="1" x14ac:dyDescent="0.25">
      <c r="A2" s="1"/>
      <c r="B2" s="38" t="s">
        <v>429</v>
      </c>
      <c r="C2" s="1"/>
      <c r="D2" s="1"/>
      <c r="E2" s="1"/>
      <c r="F2" s="1"/>
      <c r="G2" s="1"/>
      <c r="H2" s="1"/>
    </row>
    <row r="3" spans="1:10" ht="3" customHeight="1" x14ac:dyDescent="0.25">
      <c r="A3" s="10"/>
      <c r="B3" s="10"/>
      <c r="C3" s="10"/>
      <c r="D3" s="10"/>
      <c r="E3" s="10"/>
      <c r="F3" s="10"/>
      <c r="G3" s="10"/>
      <c r="H3" s="10"/>
    </row>
    <row r="4" spans="1:10" ht="15.95" customHeight="1" x14ac:dyDescent="0.25"/>
    <row r="5" spans="1:10" ht="15.95" customHeight="1" x14ac:dyDescent="0.25">
      <c r="B5" s="78" t="s">
        <v>97</v>
      </c>
      <c r="E5" s="78" t="s">
        <v>430</v>
      </c>
      <c r="F5" s="78" t="s">
        <v>2</v>
      </c>
      <c r="J5" s="79">
        <f>IFERROR(MATCH(RelMois,ListeMoisPlage,0),1)</f>
        <v>3</v>
      </c>
    </row>
    <row r="6" spans="1:10" ht="26.1" customHeight="1" x14ac:dyDescent="0.25">
      <c r="B6" s="198" t="s">
        <v>148</v>
      </c>
      <c r="C6" s="199"/>
      <c r="D6" s="200"/>
      <c r="E6" s="80" t="s">
        <v>431</v>
      </c>
      <c r="F6" s="80">
        <v>2027</v>
      </c>
      <c r="G6" s="81" t="s">
        <v>432</v>
      </c>
      <c r="J6" s="82">
        <f>DATE(RelAnnee,J5,1)</f>
        <v>46447</v>
      </c>
    </row>
    <row r="7" spans="1:10" ht="9.9499999999999993" customHeight="1" x14ac:dyDescent="0.25">
      <c r="J7" s="82">
        <f>DATE(RelAnnee,J5+1,1)-1</f>
        <v>46477</v>
      </c>
    </row>
    <row r="8" spans="1:10" ht="24" customHeight="1" x14ac:dyDescent="0.25">
      <c r="B8" s="83" t="s">
        <v>433</v>
      </c>
      <c r="C8" s="84"/>
      <c r="D8" s="84"/>
      <c r="E8" s="84"/>
      <c r="F8" s="84"/>
      <c r="G8" s="84"/>
    </row>
    <row r="9" spans="1:10" ht="20.100000000000001" customHeight="1" x14ac:dyDescent="0.25">
      <c r="B9" s="193" t="s">
        <v>434</v>
      </c>
      <c r="C9" s="182"/>
      <c r="D9" s="86" t="str">
        <f>TitulaireVehicule</f>
        <v>Altéis Maintenance SAS</v>
      </c>
      <c r="E9" s="85" t="s">
        <v>435</v>
      </c>
      <c r="F9" s="183" t="str">
        <f>Immatriculation&amp;"  ·  "&amp;TRIM(Marque&amp;" "&amp;Modele)</f>
        <v>FT-317-KV  ·  Norvane Fourgonnette L1 1.5 diesel</v>
      </c>
      <c r="G9" s="182"/>
    </row>
    <row r="10" spans="1:10" ht="20.100000000000001" customHeight="1" x14ac:dyDescent="0.25">
      <c r="B10" s="193" t="s">
        <v>120</v>
      </c>
      <c r="C10" s="182"/>
      <c r="D10" s="86" t="str">
        <f>RelConducteur</f>
        <v>Sophie Lemaire</v>
      </c>
      <c r="E10" s="85" t="s">
        <v>121</v>
      </c>
      <c r="F10" s="183" t="str">
        <f>IFERROR(INDEX(CondService,MATCH(RelConducteur,CondNoms,0))&amp;"","–")</f>
        <v>Service commercial</v>
      </c>
      <c r="G10" s="182"/>
    </row>
    <row r="11" spans="1:10" ht="20.100000000000001" customHeight="1" x14ac:dyDescent="0.25">
      <c r="B11" s="193" t="s">
        <v>25</v>
      </c>
      <c r="C11" s="182"/>
      <c r="D11" s="87">
        <f>RelDebut</f>
        <v>46447</v>
      </c>
      <c r="E11" s="85" t="s">
        <v>27</v>
      </c>
      <c r="F11" s="181">
        <f>RelFin</f>
        <v>46477</v>
      </c>
      <c r="G11" s="182"/>
    </row>
    <row r="12" spans="1:10" ht="20.100000000000001" customHeight="1" x14ac:dyDescent="0.25">
      <c r="B12" s="193" t="s">
        <v>436</v>
      </c>
      <c r="C12" s="182"/>
      <c r="D12" s="86" t="str">
        <f>Statut</f>
        <v>Véhicule de service</v>
      </c>
      <c r="E12" s="85" t="s">
        <v>437</v>
      </c>
      <c r="F12" s="183" t="str">
        <f>PuissanceCV&amp;" CV · "&amp;Energie</f>
        <v>6 CV · Gazole</v>
      </c>
      <c r="G12" s="182"/>
    </row>
    <row r="13" spans="1:10" ht="9.9499999999999993" customHeight="1" x14ac:dyDescent="0.25"/>
    <row r="14" spans="1:10" ht="18" customHeight="1" x14ac:dyDescent="0.25">
      <c r="B14" s="197" t="s">
        <v>438</v>
      </c>
      <c r="C14" s="195"/>
      <c r="D14" s="88" t="s">
        <v>439</v>
      </c>
      <c r="E14" s="88" t="s">
        <v>440</v>
      </c>
      <c r="F14" s="197" t="s">
        <v>441</v>
      </c>
      <c r="G14" s="195"/>
    </row>
    <row r="15" spans="1:10" ht="27.95" customHeight="1" x14ac:dyDescent="0.25">
      <c r="B15" s="203">
        <f>COUNT(Déplacements!$R$9:$R$808)</f>
        <v>7</v>
      </c>
      <c r="C15" s="195"/>
      <c r="D15" s="89">
        <f>G49</f>
        <v>1214</v>
      </c>
      <c r="E15" s="90">
        <f>G69</f>
        <v>81.600000000000009</v>
      </c>
      <c r="F15" s="194" t="str">
        <f>IF(Statut="Véhicule personnel",FIXED(G49*INDEX(BaremeT1,MATCH(MIN(MAX(N(PuissanceCV),3),7),BaremeCV,0))*IF(Energie="Électrique",1+MajorationElec,1),2)&amp;" €","Sans objet")</f>
        <v>Sans objet</v>
      </c>
      <c r="G15" s="195"/>
    </row>
    <row r="17" spans="2:10" ht="24" customHeight="1" x14ac:dyDescent="0.25">
      <c r="B17" s="83" t="s">
        <v>442</v>
      </c>
      <c r="C17" s="84"/>
      <c r="D17" s="84"/>
      <c r="E17" s="84"/>
      <c r="F17" s="84"/>
      <c r="G17" s="84"/>
    </row>
    <row r="18" spans="2:10" ht="30" customHeight="1" x14ac:dyDescent="0.25">
      <c r="B18" s="91" t="s">
        <v>118</v>
      </c>
      <c r="C18" s="91" t="s">
        <v>119</v>
      </c>
      <c r="D18" s="91" t="s">
        <v>443</v>
      </c>
      <c r="E18" s="91" t="s">
        <v>123</v>
      </c>
      <c r="F18" s="91" t="s">
        <v>444</v>
      </c>
      <c r="G18" s="91" t="s">
        <v>128</v>
      </c>
    </row>
    <row r="19" spans="2:10" ht="15" customHeight="1" x14ac:dyDescent="0.25">
      <c r="B19" s="92">
        <f>IF($J19="","",INDEX(Déplacements!$C$9:$C$808,$J19))</f>
        <v>46458</v>
      </c>
      <c r="C19" s="93">
        <f>IF($J19="","",INDEX(Déplacements!$D$9:$D$808,$J19))</f>
        <v>0.41666666666666669</v>
      </c>
      <c r="D19" s="94" t="str">
        <f>IF($J19="","",INDEX(Déplacements!$G$9:$G$808,$J19)&amp;"")</f>
        <v>Siège – ZA des Tanneurs</v>
      </c>
      <c r="E19" s="94" t="str">
        <f>IF($J19="","",INDEX(Déplacements!$H$9:$H$808,$J19)&amp;"")</f>
        <v>Saint-Étienne</v>
      </c>
      <c r="F19" s="94" t="str">
        <f>IF($J19="","",INDEX(Déplacements!$I$9:$I$808,$J19)&amp;"")</f>
        <v>Rendez-vous prospect – Forez Industrie</v>
      </c>
      <c r="G19" s="95">
        <f>IF($J19="","",INDEX(Déplacements!$M$9:$M$808,$J19))</f>
        <v>125</v>
      </c>
      <c r="J19" s="79">
        <f>IFERROR(MATCH(1,Déplacements!$R$9:$R$808,0),"")</f>
        <v>74</v>
      </c>
    </row>
    <row r="20" spans="2:10" ht="15" customHeight="1" x14ac:dyDescent="0.25">
      <c r="B20" s="92">
        <f>IF($J20="","",INDEX(Déplacements!$C$9:$C$808,$J20))</f>
        <v>46464</v>
      </c>
      <c r="C20" s="93">
        <f>IF($J20="","",INDEX(Déplacements!$D$9:$D$808,$J20))</f>
        <v>0.41666666666666669</v>
      </c>
      <c r="D20" s="94" t="str">
        <f>IF($J20="","",INDEX(Déplacements!$G$9:$G$808,$J20)&amp;"")</f>
        <v>Siège – ZA des Tanneurs</v>
      </c>
      <c r="E20" s="94" t="str">
        <f>IF($J20="","",INDEX(Déplacements!$H$9:$H$808,$J20)&amp;"")</f>
        <v>Grenoble</v>
      </c>
      <c r="F20" s="94" t="str">
        <f>IF($J20="","",INDEX(Déplacements!$I$9:$I$808,$J20)&amp;"")</f>
        <v>Rendez-vous client – Groupe Alpinéa</v>
      </c>
      <c r="G20" s="95">
        <f>IF($J20="","",INDEX(Déplacements!$M$9:$M$808,$J20))</f>
        <v>216</v>
      </c>
      <c r="J20" s="79">
        <f>IFERROR(MATCH(2,Déplacements!$R$9:$R$808,0),"")</f>
        <v>84</v>
      </c>
    </row>
    <row r="21" spans="2:10" ht="15" customHeight="1" x14ac:dyDescent="0.25">
      <c r="B21" s="92">
        <f>IF($J21="","",INDEX(Déplacements!$C$9:$C$808,$J21))</f>
        <v>46465</v>
      </c>
      <c r="C21" s="93">
        <f>IF($J21="","",INDEX(Déplacements!$D$9:$D$808,$J21))</f>
        <v>0.4375</v>
      </c>
      <c r="D21" s="94" t="str">
        <f>IF($J21="","",INDEX(Déplacements!$G$9:$G$808,$J21)&amp;"")</f>
        <v>Siège – ZA des Tanneurs</v>
      </c>
      <c r="E21" s="94" t="str">
        <f>IF($J21="","",INDEX(Déplacements!$H$9:$H$808,$J21)&amp;"")</f>
        <v>Saint-Étienne</v>
      </c>
      <c r="F21" s="94" t="str">
        <f>IF($J21="","",INDEX(Déplacements!$I$9:$I$808,$J21)&amp;"")</f>
        <v>Rendez-vous prospect – Forez Industrie</v>
      </c>
      <c r="G21" s="95">
        <f>IF($J21="","",INDEX(Déplacements!$M$9:$M$808,$J21))</f>
        <v>132</v>
      </c>
      <c r="J21" s="79">
        <f>IFERROR(MATCH(3,Déplacements!$R$9:$R$808,0),"")</f>
        <v>87</v>
      </c>
    </row>
    <row r="22" spans="2:10" ht="15" customHeight="1" x14ac:dyDescent="0.25">
      <c r="B22" s="92">
        <f>IF($J22="","",INDEX(Déplacements!$C$9:$C$808,$J22))</f>
        <v>46468</v>
      </c>
      <c r="C22" s="93">
        <f>IF($J22="","",INDEX(Déplacements!$D$9:$D$808,$J22))</f>
        <v>0.41666666666666669</v>
      </c>
      <c r="D22" s="94" t="str">
        <f>IF($J22="","",INDEX(Déplacements!$G$9:$G$808,$J22)&amp;"")</f>
        <v>Siège – ZA des Tanneurs</v>
      </c>
      <c r="E22" s="94" t="str">
        <f>IF($J22="","",INDEX(Déplacements!$H$9:$H$808,$J22)&amp;"")</f>
        <v>Saint-Étienne</v>
      </c>
      <c r="F22" s="94" t="str">
        <f>IF($J22="","",INDEX(Déplacements!$I$9:$I$808,$J22)&amp;"")</f>
        <v>Rendez-vous prospect – Forez Industrie</v>
      </c>
      <c r="G22" s="95">
        <f>IF($J22="","",INDEX(Déplacements!$M$9:$M$808,$J22))</f>
        <v>127</v>
      </c>
      <c r="J22" s="79">
        <f>IFERROR(MATCH(4,Déplacements!$R$9:$R$808,0),"")</f>
        <v>88</v>
      </c>
    </row>
    <row r="23" spans="2:10" ht="15" customHeight="1" x14ac:dyDescent="0.25">
      <c r="B23" s="92">
        <f>IF($J23="","",INDEX(Déplacements!$C$9:$C$808,$J23))</f>
        <v>46472</v>
      </c>
      <c r="C23" s="93">
        <f>IF($J23="","",INDEX(Déplacements!$D$9:$D$808,$J23))</f>
        <v>0.41666666666666669</v>
      </c>
      <c r="D23" s="94" t="str">
        <f>IF($J23="","",INDEX(Déplacements!$G$9:$G$808,$J23)&amp;"")</f>
        <v>Siège – ZA des Tanneurs</v>
      </c>
      <c r="E23" s="94" t="str">
        <f>IF($J23="","",INDEX(Déplacements!$H$9:$H$808,$J23)&amp;"")</f>
        <v>Grenoble</v>
      </c>
      <c r="F23" s="94" t="str">
        <f>IF($J23="","",INDEX(Déplacements!$I$9:$I$808,$J23)&amp;"")</f>
        <v>Rendez-vous client – Groupe Alpinéa</v>
      </c>
      <c r="G23" s="95">
        <f>IF($J23="","",INDEX(Déplacements!$M$9:$M$808,$J23))</f>
        <v>211</v>
      </c>
      <c r="J23" s="79">
        <f>IFERROR(MATCH(5,Déplacements!$R$9:$R$808,0),"")</f>
        <v>93</v>
      </c>
    </row>
    <row r="24" spans="2:10" ht="15" customHeight="1" x14ac:dyDescent="0.25">
      <c r="B24" s="92">
        <f>IF($J24="","",INDEX(Déplacements!$C$9:$C$808,$J24))</f>
        <v>46476</v>
      </c>
      <c r="C24" s="93">
        <f>IF($J24="","",INDEX(Déplacements!$D$9:$D$808,$J24))</f>
        <v>0.41666666666666669</v>
      </c>
      <c r="D24" s="94" t="str">
        <f>IF($J24="","",INDEX(Déplacements!$G$9:$G$808,$J24)&amp;"")</f>
        <v>Siège – ZA des Tanneurs</v>
      </c>
      <c r="E24" s="94" t="str">
        <f>IF($J24="","",INDEX(Déplacements!$H$9:$H$808,$J24)&amp;"")</f>
        <v>Annecy</v>
      </c>
      <c r="F24" s="94" t="str">
        <f>IF($J24="","",INDEX(Déplacements!$I$9:$I$808,$J24)&amp;"")</f>
        <v>Rendez-vous prospect – Lacustra</v>
      </c>
      <c r="G24" s="95">
        <f>IF($J24="","",INDEX(Déplacements!$M$9:$M$808,$J24))</f>
        <v>273</v>
      </c>
      <c r="J24" s="79">
        <f>IFERROR(MATCH(6,Déplacements!$R$9:$R$808,0),"")</f>
        <v>95</v>
      </c>
    </row>
    <row r="25" spans="2:10" ht="15" customHeight="1" x14ac:dyDescent="0.25">
      <c r="B25" s="92">
        <f>IF($J25="","",INDEX(Déplacements!$C$9:$C$808,$J25))</f>
        <v>46477</v>
      </c>
      <c r="C25" s="93">
        <f>IF($J25="","",INDEX(Déplacements!$D$9:$D$808,$J25))</f>
        <v>0.41666666666666669</v>
      </c>
      <c r="D25" s="94" t="str">
        <f>IF($J25="","",INDEX(Déplacements!$G$9:$G$808,$J25)&amp;"")</f>
        <v>Siège – ZA des Tanneurs</v>
      </c>
      <c r="E25" s="94" t="str">
        <f>IF($J25="","",INDEX(Déplacements!$H$9:$H$808,$J25)&amp;"")</f>
        <v>Saint-Étienne</v>
      </c>
      <c r="F25" s="94" t="str">
        <f>IF($J25="","",INDEX(Déplacements!$I$9:$I$808,$J25)&amp;"")</f>
        <v>Rendez-vous prospect – Forez Industrie</v>
      </c>
      <c r="G25" s="95">
        <f>IF($J25="","",INDEX(Déplacements!$M$9:$M$808,$J25))</f>
        <v>130</v>
      </c>
      <c r="J25" s="79">
        <f>IFERROR(MATCH(7,Déplacements!$R$9:$R$808,0),"")</f>
        <v>96</v>
      </c>
    </row>
    <row r="26" spans="2:10" ht="15" customHeight="1" x14ac:dyDescent="0.25">
      <c r="B26" s="92" t="str">
        <f>IF($J26="","",INDEX(Déplacements!$C$9:$C$808,$J26))</f>
        <v/>
      </c>
      <c r="C26" s="93" t="str">
        <f>IF($J26="","",INDEX(Déplacements!$D$9:$D$808,$J26))</f>
        <v/>
      </c>
      <c r="D26" s="94" t="str">
        <f>IF($J26="","",INDEX(Déplacements!$G$9:$G$808,$J26)&amp;"")</f>
        <v/>
      </c>
      <c r="E26" s="94" t="str">
        <f>IF($J26="","",INDEX(Déplacements!$H$9:$H$808,$J26)&amp;"")</f>
        <v/>
      </c>
      <c r="F26" s="94" t="str">
        <f>IF($J26="","",INDEX(Déplacements!$I$9:$I$808,$J26)&amp;"")</f>
        <v/>
      </c>
      <c r="G26" s="95" t="str">
        <f>IF($J26="","",INDEX(Déplacements!$M$9:$M$808,$J26))</f>
        <v/>
      </c>
      <c r="J26" s="79" t="str">
        <f>IFERROR(MATCH(8,Déplacements!$R$9:$R$808,0),"")</f>
        <v/>
      </c>
    </row>
    <row r="27" spans="2:10" ht="15" customHeight="1" x14ac:dyDescent="0.25">
      <c r="B27" s="92" t="str">
        <f>IF($J27="","",INDEX(Déplacements!$C$9:$C$808,$J27))</f>
        <v/>
      </c>
      <c r="C27" s="93" t="str">
        <f>IF($J27="","",INDEX(Déplacements!$D$9:$D$808,$J27))</f>
        <v/>
      </c>
      <c r="D27" s="94" t="str">
        <f>IF($J27="","",INDEX(Déplacements!$G$9:$G$808,$J27)&amp;"")</f>
        <v/>
      </c>
      <c r="E27" s="94" t="str">
        <f>IF($J27="","",INDEX(Déplacements!$H$9:$H$808,$J27)&amp;"")</f>
        <v/>
      </c>
      <c r="F27" s="94" t="str">
        <f>IF($J27="","",INDEX(Déplacements!$I$9:$I$808,$J27)&amp;"")</f>
        <v/>
      </c>
      <c r="G27" s="95" t="str">
        <f>IF($J27="","",INDEX(Déplacements!$M$9:$M$808,$J27))</f>
        <v/>
      </c>
      <c r="J27" s="79" t="str">
        <f>IFERROR(MATCH(9,Déplacements!$R$9:$R$808,0),"")</f>
        <v/>
      </c>
    </row>
    <row r="28" spans="2:10" ht="15" customHeight="1" x14ac:dyDescent="0.25">
      <c r="B28" s="92" t="str">
        <f>IF($J28="","",INDEX(Déplacements!$C$9:$C$808,$J28))</f>
        <v/>
      </c>
      <c r="C28" s="93" t="str">
        <f>IF($J28="","",INDEX(Déplacements!$D$9:$D$808,$J28))</f>
        <v/>
      </c>
      <c r="D28" s="94" t="str">
        <f>IF($J28="","",INDEX(Déplacements!$G$9:$G$808,$J28)&amp;"")</f>
        <v/>
      </c>
      <c r="E28" s="94" t="str">
        <f>IF($J28="","",INDEX(Déplacements!$H$9:$H$808,$J28)&amp;"")</f>
        <v/>
      </c>
      <c r="F28" s="94" t="str">
        <f>IF($J28="","",INDEX(Déplacements!$I$9:$I$808,$J28)&amp;"")</f>
        <v/>
      </c>
      <c r="G28" s="95" t="str">
        <f>IF($J28="","",INDEX(Déplacements!$M$9:$M$808,$J28))</f>
        <v/>
      </c>
      <c r="J28" s="79" t="str">
        <f>IFERROR(MATCH(10,Déplacements!$R$9:$R$808,0),"")</f>
        <v/>
      </c>
    </row>
    <row r="29" spans="2:10" ht="15" customHeight="1" x14ac:dyDescent="0.25">
      <c r="B29" s="92" t="str">
        <f>IF($J29="","",INDEX(Déplacements!$C$9:$C$808,$J29))</f>
        <v/>
      </c>
      <c r="C29" s="93" t="str">
        <f>IF($J29="","",INDEX(Déplacements!$D$9:$D$808,$J29))</f>
        <v/>
      </c>
      <c r="D29" s="94" t="str">
        <f>IF($J29="","",INDEX(Déplacements!$G$9:$G$808,$J29)&amp;"")</f>
        <v/>
      </c>
      <c r="E29" s="94" t="str">
        <f>IF($J29="","",INDEX(Déplacements!$H$9:$H$808,$J29)&amp;"")</f>
        <v/>
      </c>
      <c r="F29" s="94" t="str">
        <f>IF($J29="","",INDEX(Déplacements!$I$9:$I$808,$J29)&amp;"")</f>
        <v/>
      </c>
      <c r="G29" s="95" t="str">
        <f>IF($J29="","",INDEX(Déplacements!$M$9:$M$808,$J29))</f>
        <v/>
      </c>
      <c r="J29" s="79" t="str">
        <f>IFERROR(MATCH(11,Déplacements!$R$9:$R$808,0),"")</f>
        <v/>
      </c>
    </row>
    <row r="30" spans="2:10" ht="15" customHeight="1" x14ac:dyDescent="0.25">
      <c r="B30" s="92" t="str">
        <f>IF($J30="","",INDEX(Déplacements!$C$9:$C$808,$J30))</f>
        <v/>
      </c>
      <c r="C30" s="93" t="str">
        <f>IF($J30="","",INDEX(Déplacements!$D$9:$D$808,$J30))</f>
        <v/>
      </c>
      <c r="D30" s="94" t="str">
        <f>IF($J30="","",INDEX(Déplacements!$G$9:$G$808,$J30)&amp;"")</f>
        <v/>
      </c>
      <c r="E30" s="94" t="str">
        <f>IF($J30="","",INDEX(Déplacements!$H$9:$H$808,$J30)&amp;"")</f>
        <v/>
      </c>
      <c r="F30" s="94" t="str">
        <f>IF($J30="","",INDEX(Déplacements!$I$9:$I$808,$J30)&amp;"")</f>
        <v/>
      </c>
      <c r="G30" s="95" t="str">
        <f>IF($J30="","",INDEX(Déplacements!$M$9:$M$808,$J30))</f>
        <v/>
      </c>
      <c r="J30" s="79" t="str">
        <f>IFERROR(MATCH(12,Déplacements!$R$9:$R$808,0),"")</f>
        <v/>
      </c>
    </row>
    <row r="31" spans="2:10" ht="15" customHeight="1" x14ac:dyDescent="0.25">
      <c r="B31" s="92" t="str">
        <f>IF($J31="","",INDEX(Déplacements!$C$9:$C$808,$J31))</f>
        <v/>
      </c>
      <c r="C31" s="93" t="str">
        <f>IF($J31="","",INDEX(Déplacements!$D$9:$D$808,$J31))</f>
        <v/>
      </c>
      <c r="D31" s="94" t="str">
        <f>IF($J31="","",INDEX(Déplacements!$G$9:$G$808,$J31)&amp;"")</f>
        <v/>
      </c>
      <c r="E31" s="94" t="str">
        <f>IF($J31="","",INDEX(Déplacements!$H$9:$H$808,$J31)&amp;"")</f>
        <v/>
      </c>
      <c r="F31" s="94" t="str">
        <f>IF($J31="","",INDEX(Déplacements!$I$9:$I$808,$J31)&amp;"")</f>
        <v/>
      </c>
      <c r="G31" s="95" t="str">
        <f>IF($J31="","",INDEX(Déplacements!$M$9:$M$808,$J31))</f>
        <v/>
      </c>
      <c r="J31" s="79" t="str">
        <f>IFERROR(MATCH(13,Déplacements!$R$9:$R$808,0),"")</f>
        <v/>
      </c>
    </row>
    <row r="32" spans="2:10" ht="15" customHeight="1" x14ac:dyDescent="0.25">
      <c r="B32" s="92" t="str">
        <f>IF($J32="","",INDEX(Déplacements!$C$9:$C$808,$J32))</f>
        <v/>
      </c>
      <c r="C32" s="93" t="str">
        <f>IF($J32="","",INDEX(Déplacements!$D$9:$D$808,$J32))</f>
        <v/>
      </c>
      <c r="D32" s="94" t="str">
        <f>IF($J32="","",INDEX(Déplacements!$G$9:$G$808,$J32)&amp;"")</f>
        <v/>
      </c>
      <c r="E32" s="94" t="str">
        <f>IF($J32="","",INDEX(Déplacements!$H$9:$H$808,$J32)&amp;"")</f>
        <v/>
      </c>
      <c r="F32" s="94" t="str">
        <f>IF($J32="","",INDEX(Déplacements!$I$9:$I$808,$J32)&amp;"")</f>
        <v/>
      </c>
      <c r="G32" s="95" t="str">
        <f>IF($J32="","",INDEX(Déplacements!$M$9:$M$808,$J32))</f>
        <v/>
      </c>
      <c r="J32" s="79" t="str">
        <f>IFERROR(MATCH(14,Déplacements!$R$9:$R$808,0),"")</f>
        <v/>
      </c>
    </row>
    <row r="33" spans="2:10" ht="15" customHeight="1" x14ac:dyDescent="0.25">
      <c r="B33" s="92" t="str">
        <f>IF($J33="","",INDEX(Déplacements!$C$9:$C$808,$J33))</f>
        <v/>
      </c>
      <c r="C33" s="93" t="str">
        <f>IF($J33="","",INDEX(Déplacements!$D$9:$D$808,$J33))</f>
        <v/>
      </c>
      <c r="D33" s="94" t="str">
        <f>IF($J33="","",INDEX(Déplacements!$G$9:$G$808,$J33)&amp;"")</f>
        <v/>
      </c>
      <c r="E33" s="94" t="str">
        <f>IF($J33="","",INDEX(Déplacements!$H$9:$H$808,$J33)&amp;"")</f>
        <v/>
      </c>
      <c r="F33" s="94" t="str">
        <f>IF($J33="","",INDEX(Déplacements!$I$9:$I$808,$J33)&amp;"")</f>
        <v/>
      </c>
      <c r="G33" s="95" t="str">
        <f>IF($J33="","",INDEX(Déplacements!$M$9:$M$808,$J33))</f>
        <v/>
      </c>
      <c r="J33" s="79" t="str">
        <f>IFERROR(MATCH(15,Déplacements!$R$9:$R$808,0),"")</f>
        <v/>
      </c>
    </row>
    <row r="34" spans="2:10" ht="15" customHeight="1" x14ac:dyDescent="0.25">
      <c r="B34" s="92" t="str">
        <f>IF($J34="","",INDEX(Déplacements!$C$9:$C$808,$J34))</f>
        <v/>
      </c>
      <c r="C34" s="93" t="str">
        <f>IF($J34="","",INDEX(Déplacements!$D$9:$D$808,$J34))</f>
        <v/>
      </c>
      <c r="D34" s="94" t="str">
        <f>IF($J34="","",INDEX(Déplacements!$G$9:$G$808,$J34)&amp;"")</f>
        <v/>
      </c>
      <c r="E34" s="94" t="str">
        <f>IF($J34="","",INDEX(Déplacements!$H$9:$H$808,$J34)&amp;"")</f>
        <v/>
      </c>
      <c r="F34" s="94" t="str">
        <f>IF($J34="","",INDEX(Déplacements!$I$9:$I$808,$J34)&amp;"")</f>
        <v/>
      </c>
      <c r="G34" s="95" t="str">
        <f>IF($J34="","",INDEX(Déplacements!$M$9:$M$808,$J34))</f>
        <v/>
      </c>
      <c r="J34" s="79" t="str">
        <f>IFERROR(MATCH(16,Déplacements!$R$9:$R$808,0),"")</f>
        <v/>
      </c>
    </row>
    <row r="35" spans="2:10" ht="15" customHeight="1" x14ac:dyDescent="0.25">
      <c r="B35" s="92" t="str">
        <f>IF($J35="","",INDEX(Déplacements!$C$9:$C$808,$J35))</f>
        <v/>
      </c>
      <c r="C35" s="93" t="str">
        <f>IF($J35="","",INDEX(Déplacements!$D$9:$D$808,$J35))</f>
        <v/>
      </c>
      <c r="D35" s="94" t="str">
        <f>IF($J35="","",INDEX(Déplacements!$G$9:$G$808,$J35)&amp;"")</f>
        <v/>
      </c>
      <c r="E35" s="94" t="str">
        <f>IF($J35="","",INDEX(Déplacements!$H$9:$H$808,$J35)&amp;"")</f>
        <v/>
      </c>
      <c r="F35" s="94" t="str">
        <f>IF($J35="","",INDEX(Déplacements!$I$9:$I$808,$J35)&amp;"")</f>
        <v/>
      </c>
      <c r="G35" s="95" t="str">
        <f>IF($J35="","",INDEX(Déplacements!$M$9:$M$808,$J35))</f>
        <v/>
      </c>
      <c r="J35" s="79" t="str">
        <f>IFERROR(MATCH(17,Déplacements!$R$9:$R$808,0),"")</f>
        <v/>
      </c>
    </row>
    <row r="36" spans="2:10" ht="15" customHeight="1" x14ac:dyDescent="0.25">
      <c r="B36" s="92" t="str">
        <f>IF($J36="","",INDEX(Déplacements!$C$9:$C$808,$J36))</f>
        <v/>
      </c>
      <c r="C36" s="93" t="str">
        <f>IF($J36="","",INDEX(Déplacements!$D$9:$D$808,$J36))</f>
        <v/>
      </c>
      <c r="D36" s="94" t="str">
        <f>IF($J36="","",INDEX(Déplacements!$G$9:$G$808,$J36)&amp;"")</f>
        <v/>
      </c>
      <c r="E36" s="94" t="str">
        <f>IF($J36="","",INDEX(Déplacements!$H$9:$H$808,$J36)&amp;"")</f>
        <v/>
      </c>
      <c r="F36" s="94" t="str">
        <f>IF($J36="","",INDEX(Déplacements!$I$9:$I$808,$J36)&amp;"")</f>
        <v/>
      </c>
      <c r="G36" s="95" t="str">
        <f>IF($J36="","",INDEX(Déplacements!$M$9:$M$808,$J36))</f>
        <v/>
      </c>
      <c r="J36" s="79" t="str">
        <f>IFERROR(MATCH(18,Déplacements!$R$9:$R$808,0),"")</f>
        <v/>
      </c>
    </row>
    <row r="37" spans="2:10" ht="15" customHeight="1" x14ac:dyDescent="0.25">
      <c r="B37" s="92" t="str">
        <f>IF($J37="","",INDEX(Déplacements!$C$9:$C$808,$J37))</f>
        <v/>
      </c>
      <c r="C37" s="93" t="str">
        <f>IF($J37="","",INDEX(Déplacements!$D$9:$D$808,$J37))</f>
        <v/>
      </c>
      <c r="D37" s="94" t="str">
        <f>IF($J37="","",INDEX(Déplacements!$G$9:$G$808,$J37)&amp;"")</f>
        <v/>
      </c>
      <c r="E37" s="94" t="str">
        <f>IF($J37="","",INDEX(Déplacements!$H$9:$H$808,$J37)&amp;"")</f>
        <v/>
      </c>
      <c r="F37" s="94" t="str">
        <f>IF($J37="","",INDEX(Déplacements!$I$9:$I$808,$J37)&amp;"")</f>
        <v/>
      </c>
      <c r="G37" s="95" t="str">
        <f>IF($J37="","",INDEX(Déplacements!$M$9:$M$808,$J37))</f>
        <v/>
      </c>
      <c r="J37" s="79" t="str">
        <f>IFERROR(MATCH(19,Déplacements!$R$9:$R$808,0),"")</f>
        <v/>
      </c>
    </row>
    <row r="38" spans="2:10" ht="15" customHeight="1" x14ac:dyDescent="0.25">
      <c r="B38" s="92" t="str">
        <f>IF($J38="","",INDEX(Déplacements!$C$9:$C$808,$J38))</f>
        <v/>
      </c>
      <c r="C38" s="93" t="str">
        <f>IF($J38="","",INDEX(Déplacements!$D$9:$D$808,$J38))</f>
        <v/>
      </c>
      <c r="D38" s="94" t="str">
        <f>IF($J38="","",INDEX(Déplacements!$G$9:$G$808,$J38)&amp;"")</f>
        <v/>
      </c>
      <c r="E38" s="94" t="str">
        <f>IF($J38="","",INDEX(Déplacements!$H$9:$H$808,$J38)&amp;"")</f>
        <v/>
      </c>
      <c r="F38" s="94" t="str">
        <f>IF($J38="","",INDEX(Déplacements!$I$9:$I$808,$J38)&amp;"")</f>
        <v/>
      </c>
      <c r="G38" s="95" t="str">
        <f>IF($J38="","",INDEX(Déplacements!$M$9:$M$808,$J38))</f>
        <v/>
      </c>
      <c r="J38" s="79" t="str">
        <f>IFERROR(MATCH(20,Déplacements!$R$9:$R$808,0),"")</f>
        <v/>
      </c>
    </row>
    <row r="39" spans="2:10" ht="15" customHeight="1" x14ac:dyDescent="0.25">
      <c r="B39" s="92" t="str">
        <f>IF($J39="","",INDEX(Déplacements!$C$9:$C$808,$J39))</f>
        <v/>
      </c>
      <c r="C39" s="93" t="str">
        <f>IF($J39="","",INDEX(Déplacements!$D$9:$D$808,$J39))</f>
        <v/>
      </c>
      <c r="D39" s="94" t="str">
        <f>IF($J39="","",INDEX(Déplacements!$G$9:$G$808,$J39)&amp;"")</f>
        <v/>
      </c>
      <c r="E39" s="94" t="str">
        <f>IF($J39="","",INDEX(Déplacements!$H$9:$H$808,$J39)&amp;"")</f>
        <v/>
      </c>
      <c r="F39" s="94" t="str">
        <f>IF($J39="","",INDEX(Déplacements!$I$9:$I$808,$J39)&amp;"")</f>
        <v/>
      </c>
      <c r="G39" s="95" t="str">
        <f>IF($J39="","",INDEX(Déplacements!$M$9:$M$808,$J39))</f>
        <v/>
      </c>
      <c r="J39" s="79" t="str">
        <f>IFERROR(MATCH(21,Déplacements!$R$9:$R$808,0),"")</f>
        <v/>
      </c>
    </row>
    <row r="40" spans="2:10" ht="15" customHeight="1" x14ac:dyDescent="0.25">
      <c r="B40" s="92" t="str">
        <f>IF($J40="","",INDEX(Déplacements!$C$9:$C$808,$J40))</f>
        <v/>
      </c>
      <c r="C40" s="93" t="str">
        <f>IF($J40="","",INDEX(Déplacements!$D$9:$D$808,$J40))</f>
        <v/>
      </c>
      <c r="D40" s="94" t="str">
        <f>IF($J40="","",INDEX(Déplacements!$G$9:$G$808,$J40)&amp;"")</f>
        <v/>
      </c>
      <c r="E40" s="94" t="str">
        <f>IF($J40="","",INDEX(Déplacements!$H$9:$H$808,$J40)&amp;"")</f>
        <v/>
      </c>
      <c r="F40" s="94" t="str">
        <f>IF($J40="","",INDEX(Déplacements!$I$9:$I$808,$J40)&amp;"")</f>
        <v/>
      </c>
      <c r="G40" s="95" t="str">
        <f>IF($J40="","",INDEX(Déplacements!$M$9:$M$808,$J40))</f>
        <v/>
      </c>
      <c r="J40" s="79" t="str">
        <f>IFERROR(MATCH(22,Déplacements!$R$9:$R$808,0),"")</f>
        <v/>
      </c>
    </row>
    <row r="41" spans="2:10" ht="15" customHeight="1" x14ac:dyDescent="0.25">
      <c r="B41" s="92" t="str">
        <f>IF($J41="","",INDEX(Déplacements!$C$9:$C$808,$J41))</f>
        <v/>
      </c>
      <c r="C41" s="93" t="str">
        <f>IF($J41="","",INDEX(Déplacements!$D$9:$D$808,$J41))</f>
        <v/>
      </c>
      <c r="D41" s="94" t="str">
        <f>IF($J41="","",INDEX(Déplacements!$G$9:$G$808,$J41)&amp;"")</f>
        <v/>
      </c>
      <c r="E41" s="94" t="str">
        <f>IF($J41="","",INDEX(Déplacements!$H$9:$H$808,$J41)&amp;"")</f>
        <v/>
      </c>
      <c r="F41" s="94" t="str">
        <f>IF($J41="","",INDEX(Déplacements!$I$9:$I$808,$J41)&amp;"")</f>
        <v/>
      </c>
      <c r="G41" s="95" t="str">
        <f>IF($J41="","",INDEX(Déplacements!$M$9:$M$808,$J41))</f>
        <v/>
      </c>
      <c r="J41" s="79" t="str">
        <f>IFERROR(MATCH(23,Déplacements!$R$9:$R$808,0),"")</f>
        <v/>
      </c>
    </row>
    <row r="42" spans="2:10" ht="15" customHeight="1" x14ac:dyDescent="0.25">
      <c r="B42" s="92" t="str">
        <f>IF($J42="","",INDEX(Déplacements!$C$9:$C$808,$J42))</f>
        <v/>
      </c>
      <c r="C42" s="93" t="str">
        <f>IF($J42="","",INDEX(Déplacements!$D$9:$D$808,$J42))</f>
        <v/>
      </c>
      <c r="D42" s="94" t="str">
        <f>IF($J42="","",INDEX(Déplacements!$G$9:$G$808,$J42)&amp;"")</f>
        <v/>
      </c>
      <c r="E42" s="94" t="str">
        <f>IF($J42="","",INDEX(Déplacements!$H$9:$H$808,$J42)&amp;"")</f>
        <v/>
      </c>
      <c r="F42" s="94" t="str">
        <f>IF($J42="","",INDEX(Déplacements!$I$9:$I$808,$J42)&amp;"")</f>
        <v/>
      </c>
      <c r="G42" s="95" t="str">
        <f>IF($J42="","",INDEX(Déplacements!$M$9:$M$808,$J42))</f>
        <v/>
      </c>
      <c r="J42" s="79" t="str">
        <f>IFERROR(MATCH(24,Déplacements!$R$9:$R$808,0),"")</f>
        <v/>
      </c>
    </row>
    <row r="43" spans="2:10" ht="15" customHeight="1" x14ac:dyDescent="0.25">
      <c r="B43" s="92" t="str">
        <f>IF($J43="","",INDEX(Déplacements!$C$9:$C$808,$J43))</f>
        <v/>
      </c>
      <c r="C43" s="93" t="str">
        <f>IF($J43="","",INDEX(Déplacements!$D$9:$D$808,$J43))</f>
        <v/>
      </c>
      <c r="D43" s="94" t="str">
        <f>IF($J43="","",INDEX(Déplacements!$G$9:$G$808,$J43)&amp;"")</f>
        <v/>
      </c>
      <c r="E43" s="94" t="str">
        <f>IF($J43="","",INDEX(Déplacements!$H$9:$H$808,$J43)&amp;"")</f>
        <v/>
      </c>
      <c r="F43" s="94" t="str">
        <f>IF($J43="","",INDEX(Déplacements!$I$9:$I$808,$J43)&amp;"")</f>
        <v/>
      </c>
      <c r="G43" s="95" t="str">
        <f>IF($J43="","",INDEX(Déplacements!$M$9:$M$808,$J43))</f>
        <v/>
      </c>
      <c r="J43" s="79" t="str">
        <f>IFERROR(MATCH(25,Déplacements!$R$9:$R$808,0),"")</f>
        <v/>
      </c>
    </row>
    <row r="44" spans="2:10" ht="15" customHeight="1" x14ac:dyDescent="0.25">
      <c r="B44" s="92" t="str">
        <f>IF($J44="","",INDEX(Déplacements!$C$9:$C$808,$J44))</f>
        <v/>
      </c>
      <c r="C44" s="93" t="str">
        <f>IF($J44="","",INDEX(Déplacements!$D$9:$D$808,$J44))</f>
        <v/>
      </c>
      <c r="D44" s="94" t="str">
        <f>IF($J44="","",INDEX(Déplacements!$G$9:$G$808,$J44)&amp;"")</f>
        <v/>
      </c>
      <c r="E44" s="94" t="str">
        <f>IF($J44="","",INDEX(Déplacements!$H$9:$H$808,$J44)&amp;"")</f>
        <v/>
      </c>
      <c r="F44" s="94" t="str">
        <f>IF($J44="","",INDEX(Déplacements!$I$9:$I$808,$J44)&amp;"")</f>
        <v/>
      </c>
      <c r="G44" s="95" t="str">
        <f>IF($J44="","",INDEX(Déplacements!$M$9:$M$808,$J44))</f>
        <v/>
      </c>
      <c r="J44" s="79" t="str">
        <f>IFERROR(MATCH(26,Déplacements!$R$9:$R$808,0),"")</f>
        <v/>
      </c>
    </row>
    <row r="45" spans="2:10" ht="15" customHeight="1" x14ac:dyDescent="0.25">
      <c r="B45" s="92" t="str">
        <f>IF($J45="","",INDEX(Déplacements!$C$9:$C$808,$J45))</f>
        <v/>
      </c>
      <c r="C45" s="93" t="str">
        <f>IF($J45="","",INDEX(Déplacements!$D$9:$D$808,$J45))</f>
        <v/>
      </c>
      <c r="D45" s="94" t="str">
        <f>IF($J45="","",INDEX(Déplacements!$G$9:$G$808,$J45)&amp;"")</f>
        <v/>
      </c>
      <c r="E45" s="94" t="str">
        <f>IF($J45="","",INDEX(Déplacements!$H$9:$H$808,$J45)&amp;"")</f>
        <v/>
      </c>
      <c r="F45" s="94" t="str">
        <f>IF($J45="","",INDEX(Déplacements!$I$9:$I$808,$J45)&amp;"")</f>
        <v/>
      </c>
      <c r="G45" s="95" t="str">
        <f>IF($J45="","",INDEX(Déplacements!$M$9:$M$808,$J45))</f>
        <v/>
      </c>
      <c r="J45" s="79" t="str">
        <f>IFERROR(MATCH(27,Déplacements!$R$9:$R$808,0),"")</f>
        <v/>
      </c>
    </row>
    <row r="46" spans="2:10" ht="15" customHeight="1" x14ac:dyDescent="0.25">
      <c r="B46" s="92" t="str">
        <f>IF($J46="","",INDEX(Déplacements!$C$9:$C$808,$J46))</f>
        <v/>
      </c>
      <c r="C46" s="93" t="str">
        <f>IF($J46="","",INDEX(Déplacements!$D$9:$D$808,$J46))</f>
        <v/>
      </c>
      <c r="D46" s="94" t="str">
        <f>IF($J46="","",INDEX(Déplacements!$G$9:$G$808,$J46)&amp;"")</f>
        <v/>
      </c>
      <c r="E46" s="94" t="str">
        <f>IF($J46="","",INDEX(Déplacements!$H$9:$H$808,$J46)&amp;"")</f>
        <v/>
      </c>
      <c r="F46" s="94" t="str">
        <f>IF($J46="","",INDEX(Déplacements!$I$9:$I$808,$J46)&amp;"")</f>
        <v/>
      </c>
      <c r="G46" s="95" t="str">
        <f>IF($J46="","",INDEX(Déplacements!$M$9:$M$808,$J46))</f>
        <v/>
      </c>
      <c r="J46" s="79" t="str">
        <f>IFERROR(MATCH(28,Déplacements!$R$9:$R$808,0),"")</f>
        <v/>
      </c>
    </row>
    <row r="47" spans="2:10" ht="15" customHeight="1" x14ac:dyDescent="0.25">
      <c r="B47" s="92" t="str">
        <f>IF($J47="","",INDEX(Déplacements!$C$9:$C$808,$J47))</f>
        <v/>
      </c>
      <c r="C47" s="93" t="str">
        <f>IF($J47="","",INDEX(Déplacements!$D$9:$D$808,$J47))</f>
        <v/>
      </c>
      <c r="D47" s="94" t="str">
        <f>IF($J47="","",INDEX(Déplacements!$G$9:$G$808,$J47)&amp;"")</f>
        <v/>
      </c>
      <c r="E47" s="94" t="str">
        <f>IF($J47="","",INDEX(Déplacements!$H$9:$H$808,$J47)&amp;"")</f>
        <v/>
      </c>
      <c r="F47" s="94" t="str">
        <f>IF($J47="","",INDEX(Déplacements!$I$9:$I$808,$J47)&amp;"")</f>
        <v/>
      </c>
      <c r="G47" s="95" t="str">
        <f>IF($J47="","",INDEX(Déplacements!$M$9:$M$808,$J47))</f>
        <v/>
      </c>
      <c r="J47" s="79" t="str">
        <f>IFERROR(MATCH(29,Déplacements!$R$9:$R$808,0),"")</f>
        <v/>
      </c>
    </row>
    <row r="48" spans="2:10" ht="15" customHeight="1" x14ac:dyDescent="0.25">
      <c r="B48" s="92" t="str">
        <f>IF($J48="","",INDEX(Déplacements!$C$9:$C$808,$J48))</f>
        <v/>
      </c>
      <c r="C48" s="93" t="str">
        <f>IF($J48="","",INDEX(Déplacements!$D$9:$D$808,$J48))</f>
        <v/>
      </c>
      <c r="D48" s="94" t="str">
        <f>IF($J48="","",INDEX(Déplacements!$G$9:$G$808,$J48)&amp;"")</f>
        <v/>
      </c>
      <c r="E48" s="94" t="str">
        <f>IF($J48="","",INDEX(Déplacements!$H$9:$H$808,$J48)&amp;"")</f>
        <v/>
      </c>
      <c r="F48" s="94" t="str">
        <f>IF($J48="","",INDEX(Déplacements!$I$9:$I$808,$J48)&amp;"")</f>
        <v/>
      </c>
      <c r="G48" s="95" t="str">
        <f>IF($J48="","",INDEX(Déplacements!$M$9:$M$808,$J48))</f>
        <v/>
      </c>
      <c r="J48" s="79" t="str">
        <f>IFERROR(MATCH(30,Déplacements!$R$9:$R$808,0),"")</f>
        <v/>
      </c>
    </row>
    <row r="49" spans="2:10" ht="20.100000000000001" customHeight="1" x14ac:dyDescent="0.25">
      <c r="B49" s="201" t="str">
        <f>IF(COUNT(Déplacements!$R$9:$R$808)&gt;30,"Total du mois (les 30 premiers déplacements sont listés)","Total du mois")</f>
        <v>Total du mois</v>
      </c>
      <c r="C49" s="202"/>
      <c r="D49" s="202"/>
      <c r="E49" s="202"/>
      <c r="F49" s="202"/>
      <c r="G49" s="96">
        <f>SUMIFS(Déplacements!$M$9:$M$808,Déplacements!$R$9:$R$808,"&gt;0")</f>
        <v>1214</v>
      </c>
    </row>
    <row r="51" spans="2:10" ht="24" customHeight="1" x14ac:dyDescent="0.25">
      <c r="B51" s="83" t="s">
        <v>445</v>
      </c>
      <c r="C51" s="84"/>
      <c r="D51" s="84"/>
      <c r="E51" s="84"/>
      <c r="F51" s="84"/>
      <c r="G51" s="84"/>
    </row>
    <row r="52" spans="2:10" ht="30" customHeight="1" x14ac:dyDescent="0.25">
      <c r="B52" s="91" t="s">
        <v>118</v>
      </c>
      <c r="C52" s="91" t="s">
        <v>446</v>
      </c>
      <c r="D52" s="91" t="s">
        <v>182</v>
      </c>
      <c r="E52" s="91" t="s">
        <v>184</v>
      </c>
      <c r="F52" s="91" t="s">
        <v>185</v>
      </c>
      <c r="G52" s="91" t="s">
        <v>187</v>
      </c>
    </row>
    <row r="53" spans="2:10" ht="15" customHeight="1" x14ac:dyDescent="0.25">
      <c r="B53" s="92">
        <f>IF($J53="","",INDEX(Dépenses!$C$9:$C$508,$J53))</f>
        <v>46464</v>
      </c>
      <c r="C53" s="97" t="str">
        <f>IF($J53="","",INDEX(Dépenses!$U$9:$U$508,$J53)&amp;"")</f>
        <v>PJ-0026</v>
      </c>
      <c r="D53" s="94" t="str">
        <f>IF($J53="","",INDEX(Dépenses!$F$9:$F$508,$J53)&amp;"")</f>
        <v>Péage</v>
      </c>
      <c r="E53" s="94" t="str">
        <f>IF($J53="","",INDEX(Dépenses!$H$9:$H$508,$J53)&amp;"")</f>
        <v>Autoroute</v>
      </c>
      <c r="F53" s="94" t="str">
        <f>IF($J53="","",INDEX(Dépenses!$I$9:$I$508,$J53)&amp;"")</f>
        <v>Aller-retour Grenoble</v>
      </c>
      <c r="G53" s="98">
        <f>IF($J53="","",INDEX(Dépenses!$L$9:$L$508,$J53))</f>
        <v>19.8</v>
      </c>
      <c r="J53" s="79">
        <f>IFERROR(MATCH(1,Dépenses!$AE$9:$AE$508,0),"")</f>
        <v>26</v>
      </c>
    </row>
    <row r="54" spans="2:10" ht="15" customHeight="1" x14ac:dyDescent="0.25">
      <c r="B54" s="92">
        <f>IF($J54="","",INDEX(Dépenses!$C$9:$C$508,$J54))</f>
        <v>46472</v>
      </c>
      <c r="C54" s="97" t="str">
        <f>IF($J54="","",INDEX(Dépenses!$U$9:$U$508,$J54)&amp;"")</f>
        <v>PJ-0028</v>
      </c>
      <c r="D54" s="94" t="str">
        <f>IF($J54="","",INDEX(Dépenses!$F$9:$F$508,$J54)&amp;"")</f>
        <v>Péage</v>
      </c>
      <c r="E54" s="94" t="str">
        <f>IF($J54="","",INDEX(Dépenses!$H$9:$H$508,$J54)&amp;"")</f>
        <v>Autoroute</v>
      </c>
      <c r="F54" s="94" t="str">
        <f>IF($J54="","",INDEX(Dépenses!$I$9:$I$508,$J54)&amp;"")</f>
        <v>Aller-retour Grenoble</v>
      </c>
      <c r="G54" s="98">
        <f>IF($J54="","",INDEX(Dépenses!$L$9:$L$508,$J54))</f>
        <v>19.8</v>
      </c>
      <c r="J54" s="79">
        <f>IFERROR(MATCH(2,Dépenses!$AE$9:$AE$508,0),"")</f>
        <v>28</v>
      </c>
    </row>
    <row r="55" spans="2:10" ht="15" customHeight="1" x14ac:dyDescent="0.25">
      <c r="B55" s="92">
        <f>IF($J55="","",INDEX(Dépenses!$C$9:$C$508,$J55))</f>
        <v>46472</v>
      </c>
      <c r="C55" s="97" t="str">
        <f>IF($J55="","",INDEX(Dépenses!$U$9:$U$508,$J55)&amp;"")</f>
        <v>PJ-0029</v>
      </c>
      <c r="D55" s="94" t="str">
        <f>IF($J55="","",INDEX(Dépenses!$F$9:$F$508,$J55)&amp;"")</f>
        <v>Stationnement</v>
      </c>
      <c r="E55" s="94" t="str">
        <f>IF($J55="","",INDEX(Dépenses!$H$9:$H$508,$J55)&amp;"")</f>
        <v>Parking – Grenoble</v>
      </c>
      <c r="F55" s="94" t="str">
        <f>IF($J55="","",INDEX(Dépenses!$I$9:$I$508,$J55)&amp;"")</f>
        <v>Stationnement rendez-vous client</v>
      </c>
      <c r="G55" s="98">
        <f>IF($J55="","",INDEX(Dépenses!$L$9:$L$508,$J55))</f>
        <v>6.4</v>
      </c>
      <c r="J55" s="79">
        <f>IFERROR(MATCH(3,Dépenses!$AE$9:$AE$508,0),"")</f>
        <v>29</v>
      </c>
    </row>
    <row r="56" spans="2:10" ht="15" customHeight="1" x14ac:dyDescent="0.25">
      <c r="B56" s="92">
        <f>IF($J56="","",INDEX(Dépenses!$C$9:$C$508,$J56))</f>
        <v>46476</v>
      </c>
      <c r="C56" s="97" t="str">
        <f>IF($J56="","",INDEX(Dépenses!$U$9:$U$508,$J56)&amp;"")</f>
        <v>PJ-0031</v>
      </c>
      <c r="D56" s="94" t="str">
        <f>IF($J56="","",INDEX(Dépenses!$F$9:$F$508,$J56)&amp;"")</f>
        <v>Péage</v>
      </c>
      <c r="E56" s="94" t="str">
        <f>IF($J56="","",INDEX(Dépenses!$H$9:$H$508,$J56)&amp;"")</f>
        <v>Autoroute</v>
      </c>
      <c r="F56" s="94" t="str">
        <f>IF($J56="","",INDEX(Dépenses!$I$9:$I$508,$J56)&amp;"")</f>
        <v>Aller-retour Annecy</v>
      </c>
      <c r="G56" s="98">
        <f>IF($J56="","",INDEX(Dépenses!$L$9:$L$508,$J56))</f>
        <v>27.4</v>
      </c>
      <c r="J56" s="79">
        <f>IFERROR(MATCH(4,Dépenses!$AE$9:$AE$508,0),"")</f>
        <v>31</v>
      </c>
    </row>
    <row r="57" spans="2:10" ht="15" customHeight="1" x14ac:dyDescent="0.25">
      <c r="B57" s="92">
        <f>IF($J57="","",INDEX(Dépenses!$C$9:$C$508,$J57))</f>
        <v>46476</v>
      </c>
      <c r="C57" s="97" t="str">
        <f>IF($J57="","",INDEX(Dépenses!$U$9:$U$508,$J57)&amp;"")</f>
        <v>PJ-0032</v>
      </c>
      <c r="D57" s="94" t="str">
        <f>IF($J57="","",INDEX(Dépenses!$F$9:$F$508,$J57)&amp;"")</f>
        <v>Stationnement</v>
      </c>
      <c r="E57" s="94" t="str">
        <f>IF($J57="","",INDEX(Dépenses!$H$9:$H$508,$J57)&amp;"")</f>
        <v>Parking – Annecy</v>
      </c>
      <c r="F57" s="94" t="str">
        <f>IF($J57="","",INDEX(Dépenses!$I$9:$I$508,$J57)&amp;"")</f>
        <v>Stationnement rendez-vous client</v>
      </c>
      <c r="G57" s="98">
        <f>IF($J57="","",INDEX(Dépenses!$L$9:$L$508,$J57))</f>
        <v>8.1999999999999993</v>
      </c>
      <c r="J57" s="79">
        <f>IFERROR(MATCH(5,Dépenses!$AE$9:$AE$508,0),"")</f>
        <v>32</v>
      </c>
    </row>
    <row r="58" spans="2:10" ht="15" customHeight="1" x14ac:dyDescent="0.25">
      <c r="B58" s="92" t="str">
        <f>IF($J58="","",INDEX(Dépenses!$C$9:$C$508,$J58))</f>
        <v/>
      </c>
      <c r="C58" s="97" t="str">
        <f>IF($J58="","",INDEX(Dépenses!$U$9:$U$508,$J58)&amp;"")</f>
        <v/>
      </c>
      <c r="D58" s="94" t="str">
        <f>IF($J58="","",INDEX(Dépenses!$F$9:$F$508,$J58)&amp;"")</f>
        <v/>
      </c>
      <c r="E58" s="94" t="str">
        <f>IF($J58="","",INDEX(Dépenses!$H$9:$H$508,$J58)&amp;"")</f>
        <v/>
      </c>
      <c r="F58" s="94" t="str">
        <f>IF($J58="","",INDEX(Dépenses!$I$9:$I$508,$J58)&amp;"")</f>
        <v/>
      </c>
      <c r="G58" s="98" t="str">
        <f>IF($J58="","",INDEX(Dépenses!$L$9:$L$508,$J58))</f>
        <v/>
      </c>
      <c r="J58" s="79" t="str">
        <f>IFERROR(MATCH(6,Dépenses!$AE$9:$AE$508,0),"")</f>
        <v/>
      </c>
    </row>
    <row r="59" spans="2:10" ht="15" customHeight="1" x14ac:dyDescent="0.25">
      <c r="B59" s="92" t="str">
        <f>IF($J59="","",INDEX(Dépenses!$C$9:$C$508,$J59))</f>
        <v/>
      </c>
      <c r="C59" s="97" t="str">
        <f>IF($J59="","",INDEX(Dépenses!$U$9:$U$508,$J59)&amp;"")</f>
        <v/>
      </c>
      <c r="D59" s="94" t="str">
        <f>IF($J59="","",INDEX(Dépenses!$F$9:$F$508,$J59)&amp;"")</f>
        <v/>
      </c>
      <c r="E59" s="94" t="str">
        <f>IF($J59="","",INDEX(Dépenses!$H$9:$H$508,$J59)&amp;"")</f>
        <v/>
      </c>
      <c r="F59" s="94" t="str">
        <f>IF($J59="","",INDEX(Dépenses!$I$9:$I$508,$J59)&amp;"")</f>
        <v/>
      </c>
      <c r="G59" s="98" t="str">
        <f>IF($J59="","",INDEX(Dépenses!$L$9:$L$508,$J59))</f>
        <v/>
      </c>
      <c r="J59" s="79" t="str">
        <f>IFERROR(MATCH(7,Dépenses!$AE$9:$AE$508,0),"")</f>
        <v/>
      </c>
    </row>
    <row r="60" spans="2:10" ht="15" customHeight="1" x14ac:dyDescent="0.25">
      <c r="B60" s="92" t="str">
        <f>IF($J60="","",INDEX(Dépenses!$C$9:$C$508,$J60))</f>
        <v/>
      </c>
      <c r="C60" s="97" t="str">
        <f>IF($J60="","",INDEX(Dépenses!$U$9:$U$508,$J60)&amp;"")</f>
        <v/>
      </c>
      <c r="D60" s="94" t="str">
        <f>IF($J60="","",INDEX(Dépenses!$F$9:$F$508,$J60)&amp;"")</f>
        <v/>
      </c>
      <c r="E60" s="94" t="str">
        <f>IF($J60="","",INDEX(Dépenses!$H$9:$H$508,$J60)&amp;"")</f>
        <v/>
      </c>
      <c r="F60" s="94" t="str">
        <f>IF($J60="","",INDEX(Dépenses!$I$9:$I$508,$J60)&amp;"")</f>
        <v/>
      </c>
      <c r="G60" s="98" t="str">
        <f>IF($J60="","",INDEX(Dépenses!$L$9:$L$508,$J60))</f>
        <v/>
      </c>
      <c r="J60" s="79" t="str">
        <f>IFERROR(MATCH(8,Dépenses!$AE$9:$AE$508,0),"")</f>
        <v/>
      </c>
    </row>
    <row r="61" spans="2:10" ht="15" customHeight="1" x14ac:dyDescent="0.25">
      <c r="B61" s="92" t="str">
        <f>IF($J61="","",INDEX(Dépenses!$C$9:$C$508,$J61))</f>
        <v/>
      </c>
      <c r="C61" s="97" t="str">
        <f>IF($J61="","",INDEX(Dépenses!$U$9:$U$508,$J61)&amp;"")</f>
        <v/>
      </c>
      <c r="D61" s="94" t="str">
        <f>IF($J61="","",INDEX(Dépenses!$F$9:$F$508,$J61)&amp;"")</f>
        <v/>
      </c>
      <c r="E61" s="94" t="str">
        <f>IF($J61="","",INDEX(Dépenses!$H$9:$H$508,$J61)&amp;"")</f>
        <v/>
      </c>
      <c r="F61" s="94" t="str">
        <f>IF($J61="","",INDEX(Dépenses!$I$9:$I$508,$J61)&amp;"")</f>
        <v/>
      </c>
      <c r="G61" s="98" t="str">
        <f>IF($J61="","",INDEX(Dépenses!$L$9:$L$508,$J61))</f>
        <v/>
      </c>
      <c r="J61" s="79" t="str">
        <f>IFERROR(MATCH(9,Dépenses!$AE$9:$AE$508,0),"")</f>
        <v/>
      </c>
    </row>
    <row r="62" spans="2:10" ht="15" customHeight="1" x14ac:dyDescent="0.25">
      <c r="B62" s="92" t="str">
        <f>IF($J62="","",INDEX(Dépenses!$C$9:$C$508,$J62))</f>
        <v/>
      </c>
      <c r="C62" s="97" t="str">
        <f>IF($J62="","",INDEX(Dépenses!$U$9:$U$508,$J62)&amp;"")</f>
        <v/>
      </c>
      <c r="D62" s="94" t="str">
        <f>IF($J62="","",INDEX(Dépenses!$F$9:$F$508,$J62)&amp;"")</f>
        <v/>
      </c>
      <c r="E62" s="94" t="str">
        <f>IF($J62="","",INDEX(Dépenses!$H$9:$H$508,$J62)&amp;"")</f>
        <v/>
      </c>
      <c r="F62" s="94" t="str">
        <f>IF($J62="","",INDEX(Dépenses!$I$9:$I$508,$J62)&amp;"")</f>
        <v/>
      </c>
      <c r="G62" s="98" t="str">
        <f>IF($J62="","",INDEX(Dépenses!$L$9:$L$508,$J62))</f>
        <v/>
      </c>
      <c r="J62" s="79" t="str">
        <f>IFERROR(MATCH(10,Dépenses!$AE$9:$AE$508,0),"")</f>
        <v/>
      </c>
    </row>
    <row r="63" spans="2:10" ht="15" customHeight="1" x14ac:dyDescent="0.25">
      <c r="B63" s="92" t="str">
        <f>IF($J63="","",INDEX(Dépenses!$C$9:$C$508,$J63))</f>
        <v/>
      </c>
      <c r="C63" s="97" t="str">
        <f>IF($J63="","",INDEX(Dépenses!$U$9:$U$508,$J63)&amp;"")</f>
        <v/>
      </c>
      <c r="D63" s="94" t="str">
        <f>IF($J63="","",INDEX(Dépenses!$F$9:$F$508,$J63)&amp;"")</f>
        <v/>
      </c>
      <c r="E63" s="94" t="str">
        <f>IF($J63="","",INDEX(Dépenses!$H$9:$H$508,$J63)&amp;"")</f>
        <v/>
      </c>
      <c r="F63" s="94" t="str">
        <f>IF($J63="","",INDEX(Dépenses!$I$9:$I$508,$J63)&amp;"")</f>
        <v/>
      </c>
      <c r="G63" s="98" t="str">
        <f>IF($J63="","",INDEX(Dépenses!$L$9:$L$508,$J63))</f>
        <v/>
      </c>
      <c r="J63" s="79" t="str">
        <f>IFERROR(MATCH(11,Dépenses!$AE$9:$AE$508,0),"")</f>
        <v/>
      </c>
    </row>
    <row r="64" spans="2:10" ht="15" customHeight="1" x14ac:dyDescent="0.25">
      <c r="B64" s="92" t="str">
        <f>IF($J64="","",INDEX(Dépenses!$C$9:$C$508,$J64))</f>
        <v/>
      </c>
      <c r="C64" s="97" t="str">
        <f>IF($J64="","",INDEX(Dépenses!$U$9:$U$508,$J64)&amp;"")</f>
        <v/>
      </c>
      <c r="D64" s="94" t="str">
        <f>IF($J64="","",INDEX(Dépenses!$F$9:$F$508,$J64)&amp;"")</f>
        <v/>
      </c>
      <c r="E64" s="94" t="str">
        <f>IF($J64="","",INDEX(Dépenses!$H$9:$H$508,$J64)&amp;"")</f>
        <v/>
      </c>
      <c r="F64" s="94" t="str">
        <f>IF($J64="","",INDEX(Dépenses!$I$9:$I$508,$J64)&amp;"")</f>
        <v/>
      </c>
      <c r="G64" s="98" t="str">
        <f>IF($J64="","",INDEX(Dépenses!$L$9:$L$508,$J64))</f>
        <v/>
      </c>
      <c r="J64" s="79" t="str">
        <f>IFERROR(MATCH(12,Dépenses!$AE$9:$AE$508,0),"")</f>
        <v/>
      </c>
    </row>
    <row r="65" spans="2:10" ht="15" customHeight="1" x14ac:dyDescent="0.25">
      <c r="B65" s="92" t="str">
        <f>IF($J65="","",INDEX(Dépenses!$C$9:$C$508,$J65))</f>
        <v/>
      </c>
      <c r="C65" s="97" t="str">
        <f>IF($J65="","",INDEX(Dépenses!$U$9:$U$508,$J65)&amp;"")</f>
        <v/>
      </c>
      <c r="D65" s="94" t="str">
        <f>IF($J65="","",INDEX(Dépenses!$F$9:$F$508,$J65)&amp;"")</f>
        <v/>
      </c>
      <c r="E65" s="94" t="str">
        <f>IF($J65="","",INDEX(Dépenses!$H$9:$H$508,$J65)&amp;"")</f>
        <v/>
      </c>
      <c r="F65" s="94" t="str">
        <f>IF($J65="","",INDEX(Dépenses!$I$9:$I$508,$J65)&amp;"")</f>
        <v/>
      </c>
      <c r="G65" s="98" t="str">
        <f>IF($J65="","",INDEX(Dépenses!$L$9:$L$508,$J65))</f>
        <v/>
      </c>
      <c r="J65" s="79" t="str">
        <f>IFERROR(MATCH(13,Dépenses!$AE$9:$AE$508,0),"")</f>
        <v/>
      </c>
    </row>
    <row r="66" spans="2:10" ht="15" customHeight="1" x14ac:dyDescent="0.25">
      <c r="B66" s="92" t="str">
        <f>IF($J66="","",INDEX(Dépenses!$C$9:$C$508,$J66))</f>
        <v/>
      </c>
      <c r="C66" s="97" t="str">
        <f>IF($J66="","",INDEX(Dépenses!$U$9:$U$508,$J66)&amp;"")</f>
        <v/>
      </c>
      <c r="D66" s="94" t="str">
        <f>IF($J66="","",INDEX(Dépenses!$F$9:$F$508,$J66)&amp;"")</f>
        <v/>
      </c>
      <c r="E66" s="94" t="str">
        <f>IF($J66="","",INDEX(Dépenses!$H$9:$H$508,$J66)&amp;"")</f>
        <v/>
      </c>
      <c r="F66" s="94" t="str">
        <f>IF($J66="","",INDEX(Dépenses!$I$9:$I$508,$J66)&amp;"")</f>
        <v/>
      </c>
      <c r="G66" s="98" t="str">
        <f>IF($J66="","",INDEX(Dépenses!$L$9:$L$508,$J66))</f>
        <v/>
      </c>
      <c r="J66" s="79" t="str">
        <f>IFERROR(MATCH(14,Dépenses!$AE$9:$AE$508,0),"")</f>
        <v/>
      </c>
    </row>
    <row r="67" spans="2:10" ht="15" customHeight="1" x14ac:dyDescent="0.25">
      <c r="B67" s="92" t="str">
        <f>IF($J67="","",INDEX(Dépenses!$C$9:$C$508,$J67))</f>
        <v/>
      </c>
      <c r="C67" s="97" t="str">
        <f>IF($J67="","",INDEX(Dépenses!$U$9:$U$508,$J67)&amp;"")</f>
        <v/>
      </c>
      <c r="D67" s="94" t="str">
        <f>IF($J67="","",INDEX(Dépenses!$F$9:$F$508,$J67)&amp;"")</f>
        <v/>
      </c>
      <c r="E67" s="94" t="str">
        <f>IF($J67="","",INDEX(Dépenses!$H$9:$H$508,$J67)&amp;"")</f>
        <v/>
      </c>
      <c r="F67" s="94" t="str">
        <f>IF($J67="","",INDEX(Dépenses!$I$9:$I$508,$J67)&amp;"")</f>
        <v/>
      </c>
      <c r="G67" s="98" t="str">
        <f>IF($J67="","",INDEX(Dépenses!$L$9:$L$508,$J67))</f>
        <v/>
      </c>
      <c r="J67" s="79" t="str">
        <f>IFERROR(MATCH(15,Dépenses!$AE$9:$AE$508,0),"")</f>
        <v/>
      </c>
    </row>
    <row r="68" spans="2:10" ht="15" customHeight="1" x14ac:dyDescent="0.25">
      <c r="B68" s="92" t="str">
        <f>IF($J68="","",INDEX(Dépenses!$C$9:$C$508,$J68))</f>
        <v/>
      </c>
      <c r="C68" s="97" t="str">
        <f>IF($J68="","",INDEX(Dépenses!$U$9:$U$508,$J68)&amp;"")</f>
        <v/>
      </c>
      <c r="D68" s="94" t="str">
        <f>IF($J68="","",INDEX(Dépenses!$F$9:$F$508,$J68)&amp;"")</f>
        <v/>
      </c>
      <c r="E68" s="94" t="str">
        <f>IF($J68="","",INDEX(Dépenses!$H$9:$H$508,$J68)&amp;"")</f>
        <v/>
      </c>
      <c r="F68" s="94" t="str">
        <f>IF($J68="","",INDEX(Dépenses!$I$9:$I$508,$J68)&amp;"")</f>
        <v/>
      </c>
      <c r="G68" s="98" t="str">
        <f>IF($J68="","",INDEX(Dépenses!$L$9:$L$508,$J68))</f>
        <v/>
      </c>
      <c r="J68" s="79" t="str">
        <f>IFERROR(MATCH(16,Dépenses!$AE$9:$AE$508,0),"")</f>
        <v/>
      </c>
    </row>
    <row r="69" spans="2:10" ht="20.100000000000001" customHeight="1" x14ac:dyDescent="0.25">
      <c r="B69" s="201" t="str">
        <f>IF(COUNT(Dépenses!$AE$9:$AE$508)&gt;16,"Total à rembourser (les 16 premières dépenses sont listées)","Total à rembourser")</f>
        <v>Total à rembourser</v>
      </c>
      <c r="C69" s="202"/>
      <c r="D69" s="202"/>
      <c r="E69" s="202"/>
      <c r="F69" s="202"/>
      <c r="G69" s="99">
        <f>SUMIFS(Dépenses!$L$9:$L$508,Dépenses!$AE$9:$AE$508,"&gt;0")</f>
        <v>81.600000000000009</v>
      </c>
    </row>
    <row r="71" spans="2:10" x14ac:dyDescent="0.25">
      <c r="B71" s="196" t="str">
        <f>IF(Statut="Véhicule personnel","Indemnités estimées au taux de la 1re tranche du barème "&amp;"(d ≤ 5 000 km) ; une régularisation annuelle peut être nécessaire selon la distance totale de l'année.","Véhicule mis à disposition par l'entreprise : pas d'indemnités kilométriques. Le relevé justifie l'usage professionnel et les frais avancés par le conducteur.")</f>
        <v>Véhicule mis à disposition par l'entreprise : pas d'indemnités kilométriques. Le relevé justifie l'usage professionnel et les frais avancés par le conducteur.</v>
      </c>
      <c r="C71" s="118"/>
      <c r="D71" s="118"/>
      <c r="E71" s="118"/>
      <c r="F71" s="118"/>
      <c r="G71" s="118"/>
    </row>
    <row r="72" spans="2:10" x14ac:dyDescent="0.25">
      <c r="B72" s="118"/>
      <c r="C72" s="118"/>
      <c r="D72" s="118"/>
      <c r="E72" s="118"/>
      <c r="F72" s="118"/>
      <c r="G72" s="118"/>
    </row>
    <row r="74" spans="2:10" x14ac:dyDescent="0.25">
      <c r="B74" s="192" t="s">
        <v>447</v>
      </c>
      <c r="C74" s="118"/>
      <c r="D74" s="118"/>
      <c r="E74" s="192" t="s">
        <v>448</v>
      </c>
      <c r="F74" s="118"/>
      <c r="G74" s="118"/>
    </row>
    <row r="75" spans="2:10" ht="18" customHeight="1" x14ac:dyDescent="0.25">
      <c r="B75" s="184"/>
      <c r="C75" s="185"/>
      <c r="D75" s="186"/>
      <c r="E75" s="184"/>
      <c r="F75" s="185"/>
      <c r="G75" s="186"/>
    </row>
    <row r="76" spans="2:10" ht="18" customHeight="1" x14ac:dyDescent="0.25">
      <c r="B76" s="187"/>
      <c r="C76" s="129"/>
      <c r="D76" s="188"/>
      <c r="E76" s="187"/>
      <c r="F76" s="129"/>
      <c r="G76" s="188"/>
    </row>
    <row r="77" spans="2:10" ht="18" customHeight="1" x14ac:dyDescent="0.25">
      <c r="B77" s="187"/>
      <c r="C77" s="129"/>
      <c r="D77" s="188"/>
      <c r="E77" s="187"/>
      <c r="F77" s="129"/>
      <c r="G77" s="188"/>
    </row>
    <row r="78" spans="2:10" ht="18" customHeight="1" x14ac:dyDescent="0.25">
      <c r="B78" s="189"/>
      <c r="C78" s="190"/>
      <c r="D78" s="191"/>
      <c r="E78" s="189"/>
      <c r="F78" s="190"/>
      <c r="G78" s="191"/>
    </row>
  </sheetData>
  <mergeCells count="20">
    <mergeCell ref="B6:D6"/>
    <mergeCell ref="B69:F69"/>
    <mergeCell ref="B10:C10"/>
    <mergeCell ref="B9:C9"/>
    <mergeCell ref="F9:G9"/>
    <mergeCell ref="B49:F49"/>
    <mergeCell ref="B15:C15"/>
    <mergeCell ref="F14:G14"/>
    <mergeCell ref="F11:G11"/>
    <mergeCell ref="F10:G10"/>
    <mergeCell ref="E75:G78"/>
    <mergeCell ref="E74:G74"/>
    <mergeCell ref="B12:C12"/>
    <mergeCell ref="F12:G12"/>
    <mergeCell ref="B11:C11"/>
    <mergeCell ref="F15:G15"/>
    <mergeCell ref="B75:D78"/>
    <mergeCell ref="B71:G72"/>
    <mergeCell ref="B14:C14"/>
    <mergeCell ref="B74:D74"/>
  </mergeCells>
  <conditionalFormatting sqref="B19:G48">
    <cfRule type="expression" dxfId="2" priority="1">
      <formula>AND($B19&lt;&gt;"",MOD(ROW(),2)=0)</formula>
    </cfRule>
    <cfRule type="expression" dxfId="1" priority="2">
      <formula>$B19&lt;&gt;""</formula>
    </cfRule>
  </conditionalFormatting>
  <conditionalFormatting sqref="B53:G68">
    <cfRule type="expression" dxfId="0" priority="3">
      <formula>$B53&lt;&gt;""</formula>
    </cfRule>
  </conditionalFormatting>
  <dataValidations count="3">
    <dataValidation type="list" allowBlank="1" showInputMessage="1" showErrorMessage="1" errorTitle="Valeur non prévue" error="Choisissez une valeur dans la liste déroulante." promptTitle="Conducteur" prompt="Conducteur concerné par le relevé." sqref="B6" xr:uid="{00000000-0002-0000-0400-000000000000}">
      <formula1>ListeConducteurs</formula1>
    </dataValidation>
    <dataValidation type="list" allowBlank="1" showErrorMessage="1" errorTitle="Valeur non prévue" error="Choisissez une valeur dans la liste déroulante." sqref="E6" xr:uid="{00000000-0002-0000-0400-000001000000}">
      <formula1>ListeMois</formula1>
    </dataValidation>
    <dataValidation type="whole" allowBlank="1" showErrorMessage="1" errorTitle="Valeur non valide" error="Année sur 4 chiffres." sqref="F6" xr:uid="{00000000-0002-0000-0400-000002000000}">
      <formula1>2020</formula1>
      <formula2>2100</formula2>
    </dataValidation>
  </dataValidations>
  <printOptions horizontalCentered="1"/>
  <pageMargins left="0.35" right="0.35" top="0.45" bottom="0.55000000000000004" header="0.5" footer="0.5"/>
  <pageSetup paperSize="9" orientation="portrait"/>
  <headerFooter>
    <oddFooter>&amp;L&amp;8 &amp;K8C949ECarnet de bord du véhicule – &amp;A&amp;R&amp;8 &amp;K8C949EPage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A5360"/>
    <pageSetUpPr fitToPage="1"/>
  </sheetPr>
  <dimension ref="A1:V53"/>
  <sheetViews>
    <sheetView showGridLines="0" workbookViewId="0">
      <pane ySplit="8" topLeftCell="A9" activePane="bottomLeft" state="frozen"/>
      <selection pane="bottomLeft"/>
    </sheetView>
  </sheetViews>
  <sheetFormatPr baseColWidth="10" defaultColWidth="9.140625" defaultRowHeight="15" x14ac:dyDescent="0.25"/>
  <cols>
    <col min="1" max="1" width="2" customWidth="1"/>
    <col min="2" max="2" width="30" customWidth="1"/>
    <col min="3" max="6" width="13" customWidth="1"/>
    <col min="7" max="7" width="3" customWidth="1"/>
    <col min="8" max="8" width="34" customWidth="1"/>
    <col min="9" max="12" width="13" customWidth="1"/>
    <col min="13" max="13" width="3" customWidth="1"/>
    <col min="14" max="14" width="20" customWidth="1"/>
    <col min="15" max="15" width="18" customWidth="1"/>
    <col min="16" max="16" width="22" customWidth="1"/>
    <col min="17" max="17" width="26" customWidth="1"/>
    <col min="18" max="18" width="28" customWidth="1"/>
    <col min="19" max="19" width="24" customWidth="1"/>
    <col min="20" max="20" width="12" customWidth="1"/>
    <col min="21" max="21" width="13" customWidth="1"/>
    <col min="22" max="22" width="18" customWidth="1"/>
    <col min="23" max="23" width="3" customWidth="1"/>
  </cols>
  <sheetData>
    <row r="1" spans="1:22" ht="18" customHeight="1" x14ac:dyDescent="0.25">
      <c r="A1" s="1"/>
      <c r="B1" s="3" t="str">
        <f>"CARNET DE BORD DU VÉHICULE   ·   "&amp;Immatriculation</f>
        <v>CARNET DE BORD DU VÉHICULE   ·   FT-317-KV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2" ht="32.1" customHeight="1" x14ac:dyDescent="0.25">
      <c r="A2" s="1"/>
      <c r="B2" s="38" t="s">
        <v>449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2" ht="3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22" ht="15.95" customHeight="1" x14ac:dyDescent="0.25">
      <c r="B4" s="170" t="s">
        <v>56</v>
      </c>
      <c r="C4" s="118"/>
      <c r="D4" s="170" t="s">
        <v>450</v>
      </c>
      <c r="E4" s="118"/>
      <c r="F4" s="118"/>
      <c r="H4" s="40" t="s">
        <v>451</v>
      </c>
      <c r="I4" s="170" t="s">
        <v>452</v>
      </c>
      <c r="J4" s="118"/>
      <c r="K4" s="118"/>
      <c r="L4" s="118"/>
    </row>
    <row r="5" spans="1:22" ht="26.1" customHeight="1" x14ac:dyDescent="0.25">
      <c r="B5" s="171">
        <f>KmActuel</f>
        <v>60353</v>
      </c>
      <c r="C5" s="118"/>
      <c r="D5" s="179">
        <f ca="1">DateSituation</f>
        <v>46743</v>
      </c>
      <c r="E5" s="118"/>
      <c r="F5" s="118"/>
      <c r="H5" s="41">
        <f>COUNTIFS(CondNoms,"?*",CondActif,"&lt;&gt;Non")</f>
        <v>4</v>
      </c>
      <c r="I5" s="180" t="str">
        <f>IF(ConsoRef=0,"–",FIXED(ConsoRef,2)&amp;" "&amp;UniteQte&amp;"/100 km")</f>
        <v>6,97 L/100 km</v>
      </c>
      <c r="J5" s="118"/>
      <c r="K5" s="118"/>
      <c r="L5" s="118"/>
    </row>
    <row r="6" spans="1:22" ht="8.1" customHeight="1" x14ac:dyDescent="0.25"/>
    <row r="7" spans="1:22" ht="20.100000000000001" customHeight="1" x14ac:dyDescent="0.25">
      <c r="B7" s="42" t="s">
        <v>453</v>
      </c>
      <c r="J7" s="43" t="s">
        <v>115</v>
      </c>
      <c r="K7" s="175" t="s">
        <v>116</v>
      </c>
      <c r="L7" s="176"/>
    </row>
    <row r="9" spans="1:22" ht="24" customHeight="1" x14ac:dyDescent="0.25">
      <c r="B9" s="83" t="s">
        <v>454</v>
      </c>
      <c r="C9" s="84"/>
      <c r="D9" s="84"/>
      <c r="E9" s="84"/>
      <c r="F9" s="84"/>
      <c r="H9" s="83" t="s">
        <v>455</v>
      </c>
      <c r="I9" s="84"/>
      <c r="J9" s="84"/>
      <c r="K9" s="84"/>
      <c r="L9" s="84"/>
      <c r="N9" s="83" t="s">
        <v>456</v>
      </c>
      <c r="O9" s="84"/>
      <c r="P9" s="84"/>
      <c r="Q9" s="84"/>
      <c r="R9" s="84"/>
      <c r="S9" s="84"/>
      <c r="T9" s="84"/>
      <c r="U9" s="84"/>
      <c r="V9" s="84"/>
    </row>
    <row r="10" spans="1:22" ht="30" customHeight="1" x14ac:dyDescent="0.25">
      <c r="B10" s="100" t="s">
        <v>457</v>
      </c>
      <c r="C10" s="221" t="s">
        <v>458</v>
      </c>
      <c r="D10" s="204"/>
      <c r="E10" s="204"/>
      <c r="F10" s="204"/>
      <c r="H10" s="100" t="s">
        <v>459</v>
      </c>
      <c r="I10" s="204" t="s">
        <v>460</v>
      </c>
      <c r="J10" s="204"/>
      <c r="K10" s="204"/>
      <c r="L10" s="204"/>
      <c r="N10" s="46" t="s">
        <v>461</v>
      </c>
      <c r="O10" s="46" t="s">
        <v>462</v>
      </c>
      <c r="P10" s="46" t="s">
        <v>463</v>
      </c>
      <c r="Q10" s="46" t="s">
        <v>191</v>
      </c>
      <c r="R10" s="46" t="s">
        <v>464</v>
      </c>
      <c r="S10" s="46" t="s">
        <v>465</v>
      </c>
      <c r="T10" s="46" t="s">
        <v>466</v>
      </c>
      <c r="U10" s="46" t="s">
        <v>7</v>
      </c>
      <c r="V10" s="46" t="s">
        <v>467</v>
      </c>
    </row>
    <row r="11" spans="1:22" ht="21" customHeight="1" x14ac:dyDescent="0.25">
      <c r="B11" s="100" t="s">
        <v>468</v>
      </c>
      <c r="C11" s="204" t="s">
        <v>469</v>
      </c>
      <c r="D11" s="204"/>
      <c r="E11" s="204"/>
      <c r="F11" s="204"/>
      <c r="H11" s="100" t="s">
        <v>470</v>
      </c>
      <c r="I11" s="204" t="s">
        <v>471</v>
      </c>
      <c r="J11" s="204"/>
      <c r="K11" s="204"/>
      <c r="L11" s="204"/>
      <c r="N11" s="51" t="s">
        <v>8</v>
      </c>
      <c r="O11" s="51" t="s">
        <v>208</v>
      </c>
      <c r="P11" s="51" t="s">
        <v>472</v>
      </c>
      <c r="Q11" s="51" t="s">
        <v>210</v>
      </c>
      <c r="R11" s="51" t="s">
        <v>289</v>
      </c>
      <c r="S11" s="51" t="s">
        <v>11</v>
      </c>
      <c r="T11" s="62">
        <v>0.2</v>
      </c>
      <c r="U11" s="51" t="s">
        <v>473</v>
      </c>
      <c r="V11" s="51" t="s">
        <v>5</v>
      </c>
    </row>
    <row r="12" spans="1:22" ht="21" customHeight="1" x14ac:dyDescent="0.25">
      <c r="B12" s="100" t="s">
        <v>474</v>
      </c>
      <c r="C12" s="204" t="s">
        <v>475</v>
      </c>
      <c r="D12" s="204"/>
      <c r="E12" s="204"/>
      <c r="F12" s="204"/>
      <c r="H12" s="100" t="s">
        <v>476</v>
      </c>
      <c r="I12" s="204" t="s">
        <v>169</v>
      </c>
      <c r="J12" s="204"/>
      <c r="K12" s="204"/>
      <c r="L12" s="204"/>
      <c r="N12" s="51" t="s">
        <v>9</v>
      </c>
      <c r="O12" s="51" t="s">
        <v>477</v>
      </c>
      <c r="P12" s="51" t="s">
        <v>478</v>
      </c>
      <c r="Q12" s="51" t="s">
        <v>257</v>
      </c>
      <c r="R12" s="51" t="s">
        <v>421</v>
      </c>
      <c r="S12" s="51" t="s">
        <v>12</v>
      </c>
      <c r="T12" s="62">
        <v>0.1</v>
      </c>
      <c r="U12" s="51" t="s">
        <v>479</v>
      </c>
      <c r="V12" s="51" t="s">
        <v>480</v>
      </c>
    </row>
    <row r="13" spans="1:22" ht="21" customHeight="1" x14ac:dyDescent="0.25">
      <c r="B13" s="100" t="s">
        <v>11</v>
      </c>
      <c r="C13" s="204" t="s">
        <v>208</v>
      </c>
      <c r="D13" s="204"/>
      <c r="E13" s="204"/>
      <c r="F13" s="204"/>
      <c r="H13" s="100" t="s">
        <v>481</v>
      </c>
      <c r="I13" s="204" t="s">
        <v>201</v>
      </c>
      <c r="J13" s="204"/>
      <c r="K13" s="204"/>
      <c r="L13" s="204"/>
      <c r="N13" s="51" t="s">
        <v>10</v>
      </c>
      <c r="O13" s="51" t="s">
        <v>482</v>
      </c>
      <c r="P13" s="51" t="s">
        <v>483</v>
      </c>
      <c r="Q13" s="51" t="s">
        <v>215</v>
      </c>
      <c r="R13" s="51" t="s">
        <v>349</v>
      </c>
      <c r="S13" s="51" t="s">
        <v>13</v>
      </c>
      <c r="T13" s="62">
        <v>5.5E-2</v>
      </c>
      <c r="U13" s="51" t="s">
        <v>431</v>
      </c>
      <c r="V13" s="51" t="s">
        <v>484</v>
      </c>
    </row>
    <row r="14" spans="1:22" ht="21" customHeight="1" x14ac:dyDescent="0.25">
      <c r="B14" s="100" t="s">
        <v>485</v>
      </c>
      <c r="C14" s="205">
        <v>6</v>
      </c>
      <c r="D14" s="205"/>
      <c r="E14" s="205"/>
      <c r="F14" s="205"/>
      <c r="H14" s="100" t="s">
        <v>486</v>
      </c>
      <c r="I14" s="204" t="s">
        <v>487</v>
      </c>
      <c r="J14" s="204"/>
      <c r="K14" s="204"/>
      <c r="L14" s="204"/>
      <c r="N14" s="51"/>
      <c r="O14" s="51" t="s">
        <v>488</v>
      </c>
      <c r="P14" s="51" t="s">
        <v>489</v>
      </c>
      <c r="Q14" s="51" t="s">
        <v>232</v>
      </c>
      <c r="R14" s="51" t="s">
        <v>379</v>
      </c>
      <c r="S14" s="51"/>
      <c r="T14" s="62">
        <v>0</v>
      </c>
      <c r="U14" s="51" t="s">
        <v>490</v>
      </c>
      <c r="V14" s="51" t="s">
        <v>491</v>
      </c>
    </row>
    <row r="15" spans="1:22" ht="21" customHeight="1" x14ac:dyDescent="0.25">
      <c r="B15" s="100" t="s">
        <v>492</v>
      </c>
      <c r="C15" s="216">
        <v>45006</v>
      </c>
      <c r="D15" s="216"/>
      <c r="E15" s="216"/>
      <c r="F15" s="216"/>
      <c r="H15" s="100" t="s">
        <v>493</v>
      </c>
      <c r="I15" s="216">
        <v>46388</v>
      </c>
      <c r="J15" s="216"/>
      <c r="K15" s="216"/>
      <c r="L15" s="216"/>
      <c r="N15" s="51"/>
      <c r="O15" s="51" t="s">
        <v>494</v>
      </c>
      <c r="P15" s="51"/>
      <c r="Q15" s="51" t="s">
        <v>203</v>
      </c>
      <c r="R15" s="51" t="s">
        <v>425</v>
      </c>
      <c r="S15" s="51"/>
      <c r="T15" s="62"/>
      <c r="U15" s="51" t="s">
        <v>495</v>
      </c>
      <c r="V15" s="51" t="s">
        <v>496</v>
      </c>
    </row>
    <row r="16" spans="1:22" ht="21" customHeight="1" x14ac:dyDescent="0.25">
      <c r="B16" s="100" t="s">
        <v>497</v>
      </c>
      <c r="C16" s="204" t="s">
        <v>498</v>
      </c>
      <c r="D16" s="204"/>
      <c r="E16" s="204"/>
      <c r="F16" s="204"/>
      <c r="H16" s="100" t="s">
        <v>499</v>
      </c>
      <c r="I16" s="220">
        <v>38740</v>
      </c>
      <c r="J16" s="220"/>
      <c r="K16" s="220"/>
      <c r="L16" s="220"/>
      <c r="N16" s="51"/>
      <c r="O16" s="51" t="s">
        <v>500</v>
      </c>
      <c r="P16" s="51"/>
      <c r="Q16" s="51" t="s">
        <v>501</v>
      </c>
      <c r="R16" s="51" t="s">
        <v>254</v>
      </c>
      <c r="S16" s="51"/>
      <c r="T16" s="62"/>
      <c r="U16" s="51" t="s">
        <v>502</v>
      </c>
      <c r="V16" s="51" t="s">
        <v>473</v>
      </c>
    </row>
    <row r="17" spans="2:22" ht="21" customHeight="1" x14ac:dyDescent="0.25">
      <c r="B17" s="100" t="s">
        <v>503</v>
      </c>
      <c r="C17" s="205">
        <v>54</v>
      </c>
      <c r="D17" s="205"/>
      <c r="E17" s="205"/>
      <c r="F17" s="205"/>
      <c r="H17" s="100" t="s">
        <v>504</v>
      </c>
      <c r="I17" s="206">
        <f>MAX(N(I16),MAX(Déplacements!$L$9:$L$808),MAX(Dépenses!$E$9:$E$508))</f>
        <v>60353</v>
      </c>
      <c r="J17" s="207"/>
      <c r="K17" s="207"/>
      <c r="L17" s="207"/>
      <c r="N17" s="51"/>
      <c r="O17" s="51" t="s">
        <v>505</v>
      </c>
      <c r="P17" s="51"/>
      <c r="Q17" s="51"/>
      <c r="R17" s="51" t="s">
        <v>200</v>
      </c>
      <c r="S17" s="51"/>
      <c r="T17" s="62"/>
      <c r="U17" s="51" t="s">
        <v>506</v>
      </c>
      <c r="V17" s="51" t="s">
        <v>479</v>
      </c>
    </row>
    <row r="18" spans="2:22" ht="21" customHeight="1" x14ac:dyDescent="0.25">
      <c r="B18" s="100" t="s">
        <v>436</v>
      </c>
      <c r="C18" s="204" t="s">
        <v>472</v>
      </c>
      <c r="D18" s="204"/>
      <c r="E18" s="204"/>
      <c r="F18" s="204"/>
      <c r="H18" s="100" t="s">
        <v>507</v>
      </c>
      <c r="I18" s="223">
        <f ca="1">MAX(TODAY(),MAX(Déplacements!$C$9:$C$808),MAX(Dépenses!$C$9:$C$508))</f>
        <v>46743</v>
      </c>
      <c r="J18" s="224"/>
      <c r="K18" s="224"/>
      <c r="L18" s="224"/>
      <c r="N18" s="51"/>
      <c r="O18" s="51"/>
      <c r="P18" s="51"/>
      <c r="Q18" s="51"/>
      <c r="R18" s="51" t="s">
        <v>229</v>
      </c>
      <c r="S18" s="51"/>
      <c r="T18" s="62"/>
      <c r="U18" s="51" t="s">
        <v>508</v>
      </c>
      <c r="V18" s="51" t="s">
        <v>431</v>
      </c>
    </row>
    <row r="19" spans="2:22" x14ac:dyDescent="0.25">
      <c r="H19" s="101" t="s">
        <v>509</v>
      </c>
      <c r="N19" s="51"/>
      <c r="O19" s="51"/>
      <c r="P19" s="51"/>
      <c r="Q19" s="51"/>
      <c r="R19" s="51" t="s">
        <v>510</v>
      </c>
      <c r="S19" s="51"/>
      <c r="T19" s="62"/>
      <c r="U19" s="51" t="s">
        <v>511</v>
      </c>
      <c r="V19" s="51" t="s">
        <v>490</v>
      </c>
    </row>
    <row r="20" spans="2:22" x14ac:dyDescent="0.25">
      <c r="N20" s="51"/>
      <c r="O20" s="51"/>
      <c r="P20" s="51"/>
      <c r="Q20" s="51"/>
      <c r="R20" s="51" t="s">
        <v>512</v>
      </c>
      <c r="S20" s="51"/>
      <c r="T20" s="62"/>
      <c r="U20" s="51" t="s">
        <v>513</v>
      </c>
      <c r="V20" s="51" t="s">
        <v>495</v>
      </c>
    </row>
    <row r="21" spans="2:22" ht="24" customHeight="1" x14ac:dyDescent="0.25">
      <c r="B21" s="83" t="s">
        <v>451</v>
      </c>
      <c r="C21" s="84"/>
      <c r="D21" s="84"/>
      <c r="E21" s="84"/>
      <c r="F21" s="84"/>
      <c r="H21" s="83" t="s">
        <v>514</v>
      </c>
      <c r="I21" s="84"/>
      <c r="J21" s="84"/>
      <c r="K21" s="84"/>
      <c r="L21" s="84"/>
      <c r="N21" s="51"/>
      <c r="O21" s="51"/>
      <c r="P21" s="51"/>
      <c r="Q21" s="51"/>
      <c r="R21" s="51"/>
      <c r="S21" s="51"/>
      <c r="T21" s="62"/>
      <c r="U21" s="51" t="s">
        <v>515</v>
      </c>
      <c r="V21" s="51" t="s">
        <v>502</v>
      </c>
    </row>
    <row r="22" spans="2:22" ht="21.95" customHeight="1" x14ac:dyDescent="0.25">
      <c r="B22" s="46" t="s">
        <v>516</v>
      </c>
      <c r="C22" s="209" t="s">
        <v>517</v>
      </c>
      <c r="D22" s="210"/>
      <c r="E22" s="210"/>
      <c r="F22" s="46" t="s">
        <v>518</v>
      </c>
      <c r="N22" s="51"/>
      <c r="O22" s="51"/>
      <c r="P22" s="51"/>
      <c r="Q22" s="51"/>
      <c r="R22" s="51"/>
      <c r="S22" s="51"/>
      <c r="T22" s="62"/>
      <c r="U22" s="51" t="s">
        <v>519</v>
      </c>
      <c r="V22" s="51" t="s">
        <v>506</v>
      </c>
    </row>
    <row r="23" spans="2:22" ht="21" customHeight="1" x14ac:dyDescent="0.25">
      <c r="B23" s="68" t="s">
        <v>139</v>
      </c>
      <c r="C23" s="204" t="s">
        <v>520</v>
      </c>
      <c r="D23" s="204"/>
      <c r="E23" s="204"/>
      <c r="F23" s="60" t="s">
        <v>209</v>
      </c>
      <c r="H23" s="100" t="s">
        <v>521</v>
      </c>
      <c r="I23" s="222" t="s">
        <v>204</v>
      </c>
      <c r="J23" s="222"/>
      <c r="K23" s="222"/>
      <c r="L23" s="222"/>
      <c r="N23" s="51"/>
      <c r="O23" s="51"/>
      <c r="P23" s="51"/>
      <c r="Q23" s="51"/>
      <c r="R23" s="51"/>
      <c r="S23" s="51"/>
      <c r="T23" s="62"/>
      <c r="U23" s="51"/>
      <c r="V23" s="51" t="s">
        <v>508</v>
      </c>
    </row>
    <row r="24" spans="2:22" ht="21" customHeight="1" x14ac:dyDescent="0.25">
      <c r="B24" s="68" t="s">
        <v>133</v>
      </c>
      <c r="C24" s="204" t="s">
        <v>520</v>
      </c>
      <c r="D24" s="204"/>
      <c r="E24" s="204"/>
      <c r="F24" s="60" t="s">
        <v>209</v>
      </c>
      <c r="H24" s="100" t="s">
        <v>522</v>
      </c>
      <c r="I24" s="225">
        <v>30</v>
      </c>
      <c r="J24" s="225"/>
      <c r="K24" s="225"/>
      <c r="L24" s="225"/>
      <c r="N24" s="51"/>
      <c r="O24" s="51"/>
      <c r="P24" s="51"/>
      <c r="Q24" s="51"/>
      <c r="R24" s="51"/>
      <c r="S24" s="51"/>
      <c r="T24" s="62"/>
      <c r="U24" s="51"/>
      <c r="V24" s="51" t="s">
        <v>511</v>
      </c>
    </row>
    <row r="25" spans="2:22" ht="21" customHeight="1" x14ac:dyDescent="0.25">
      <c r="B25" s="68" t="s">
        <v>148</v>
      </c>
      <c r="C25" s="204" t="s">
        <v>523</v>
      </c>
      <c r="D25" s="204"/>
      <c r="E25" s="204"/>
      <c r="F25" s="60" t="s">
        <v>209</v>
      </c>
      <c r="H25" s="100" t="s">
        <v>524</v>
      </c>
      <c r="I25" s="217">
        <v>1000</v>
      </c>
      <c r="J25" s="217"/>
      <c r="K25" s="217"/>
      <c r="L25" s="217"/>
      <c r="N25" s="51"/>
      <c r="O25" s="51"/>
      <c r="P25" s="51"/>
      <c r="Q25" s="51"/>
      <c r="R25" s="51"/>
      <c r="S25" s="51"/>
      <c r="T25" s="62"/>
      <c r="U25" s="51"/>
      <c r="V25" s="51" t="s">
        <v>513</v>
      </c>
    </row>
    <row r="26" spans="2:22" ht="21" customHeight="1" x14ac:dyDescent="0.25">
      <c r="B26" s="68" t="s">
        <v>169</v>
      </c>
      <c r="C26" s="204" t="s">
        <v>525</v>
      </c>
      <c r="D26" s="204"/>
      <c r="E26" s="204"/>
      <c r="F26" s="60" t="s">
        <v>209</v>
      </c>
      <c r="H26" s="100" t="s">
        <v>526</v>
      </c>
      <c r="I26" s="217">
        <v>0</v>
      </c>
      <c r="J26" s="217"/>
      <c r="K26" s="217"/>
      <c r="L26" s="217"/>
      <c r="N26" s="51"/>
      <c r="O26" s="51"/>
      <c r="P26" s="51"/>
      <c r="Q26" s="51"/>
      <c r="R26" s="51"/>
      <c r="S26" s="51"/>
      <c r="T26" s="62"/>
      <c r="U26" s="51"/>
      <c r="V26" s="51" t="s">
        <v>515</v>
      </c>
    </row>
    <row r="27" spans="2:22" ht="21" customHeight="1" x14ac:dyDescent="0.25">
      <c r="B27" s="51"/>
      <c r="C27" s="204"/>
      <c r="D27" s="204"/>
      <c r="E27" s="204"/>
      <c r="F27" s="60"/>
      <c r="H27" s="100" t="s">
        <v>527</v>
      </c>
      <c r="I27" s="211">
        <v>0.25</v>
      </c>
      <c r="J27" s="211"/>
      <c r="K27" s="211"/>
      <c r="L27" s="211"/>
      <c r="N27" s="51"/>
      <c r="O27" s="51"/>
      <c r="P27" s="51"/>
      <c r="Q27" s="51"/>
      <c r="R27" s="51"/>
      <c r="S27" s="51"/>
      <c r="T27" s="62"/>
      <c r="U27" s="51"/>
      <c r="V27" s="51" t="s">
        <v>519</v>
      </c>
    </row>
    <row r="28" spans="2:22" ht="21" customHeight="1" x14ac:dyDescent="0.25">
      <c r="B28" s="51"/>
      <c r="C28" s="204"/>
      <c r="D28" s="204"/>
      <c r="E28" s="204"/>
      <c r="F28" s="60"/>
      <c r="H28" s="100" t="s">
        <v>528</v>
      </c>
      <c r="I28" s="222" t="s">
        <v>209</v>
      </c>
      <c r="J28" s="222"/>
      <c r="K28" s="222"/>
      <c r="L28" s="222"/>
    </row>
    <row r="29" spans="2:22" ht="21" customHeight="1" x14ac:dyDescent="0.25">
      <c r="B29" s="51"/>
      <c r="C29" s="204"/>
      <c r="D29" s="204"/>
      <c r="E29" s="204"/>
      <c r="F29" s="60"/>
      <c r="H29" s="100" t="s">
        <v>529</v>
      </c>
      <c r="I29" s="211">
        <v>0.2</v>
      </c>
      <c r="J29" s="211"/>
      <c r="K29" s="211"/>
      <c r="L29" s="211"/>
      <c r="N29" s="67" t="s">
        <v>530</v>
      </c>
    </row>
    <row r="30" spans="2:22" ht="21" customHeight="1" x14ac:dyDescent="0.25">
      <c r="B30" s="51"/>
      <c r="C30" s="204"/>
      <c r="D30" s="204"/>
      <c r="E30" s="204"/>
      <c r="F30" s="60"/>
      <c r="H30" s="100" t="s">
        <v>531</v>
      </c>
      <c r="I30" s="214" t="str">
        <f>IF(C13="Électrique","kWh","L")</f>
        <v>L</v>
      </c>
      <c r="J30" s="215"/>
      <c r="K30" s="215"/>
      <c r="L30" s="215"/>
    </row>
    <row r="31" spans="2:22" ht="21" customHeight="1" x14ac:dyDescent="0.25">
      <c r="B31" s="51"/>
      <c r="C31" s="204"/>
      <c r="D31" s="204"/>
      <c r="E31" s="204"/>
      <c r="F31" s="60"/>
      <c r="H31" s="100" t="s">
        <v>532</v>
      </c>
      <c r="I31" s="212">
        <f>IFERROR(SUM(Dépenses!$AD$9:$AD$508)/SUM(Dépenses!$AC$9:$AC$508)*100,0)</f>
        <v>6.9664006921745791</v>
      </c>
      <c r="J31" s="213"/>
      <c r="K31" s="213"/>
      <c r="L31" s="213"/>
    </row>
    <row r="32" spans="2:22" ht="20.100000000000001" customHeight="1" x14ac:dyDescent="0.25">
      <c r="B32" s="51"/>
      <c r="C32" s="204"/>
      <c r="D32" s="204"/>
      <c r="E32" s="204"/>
      <c r="F32" s="60"/>
    </row>
    <row r="34" spans="2:12" ht="24" customHeight="1" x14ac:dyDescent="0.25">
      <c r="B34" s="83" t="s">
        <v>533</v>
      </c>
      <c r="C34" s="84"/>
      <c r="D34" s="84"/>
      <c r="E34" s="84"/>
      <c r="F34" s="84"/>
      <c r="H34" s="83" t="s">
        <v>534</v>
      </c>
      <c r="I34" s="84"/>
      <c r="J34" s="84"/>
      <c r="K34" s="84"/>
      <c r="L34" s="84"/>
    </row>
    <row r="35" spans="2:12" ht="30" customHeight="1" x14ac:dyDescent="0.25">
      <c r="B35" s="218" t="s">
        <v>535</v>
      </c>
      <c r="C35" s="219"/>
      <c r="D35" s="219"/>
      <c r="E35" s="219"/>
      <c r="F35" s="219"/>
      <c r="H35" s="208" t="s">
        <v>536</v>
      </c>
      <c r="I35" s="118"/>
      <c r="J35" s="118"/>
      <c r="K35" s="118"/>
      <c r="L35" s="118"/>
    </row>
    <row r="36" spans="2:12" ht="21.95" customHeight="1" x14ac:dyDescent="0.25">
      <c r="B36" s="46" t="s">
        <v>437</v>
      </c>
      <c r="C36" s="46" t="s">
        <v>537</v>
      </c>
      <c r="D36" s="46" t="s">
        <v>538</v>
      </c>
      <c r="E36" s="46" t="s">
        <v>539</v>
      </c>
      <c r="F36" s="46" t="s">
        <v>540</v>
      </c>
      <c r="H36" s="46" t="s">
        <v>182</v>
      </c>
      <c r="I36" s="46" t="s">
        <v>541</v>
      </c>
      <c r="J36" s="209" t="s">
        <v>194</v>
      </c>
      <c r="K36" s="210"/>
      <c r="L36" s="210"/>
    </row>
    <row r="37" spans="2:12" ht="20.100000000000001" customHeight="1" x14ac:dyDescent="0.25">
      <c r="B37" s="102">
        <v>3</v>
      </c>
      <c r="C37" s="103">
        <v>0.52900000000000003</v>
      </c>
      <c r="D37" s="103">
        <v>0.316</v>
      </c>
      <c r="E37" s="104">
        <v>1065</v>
      </c>
      <c r="F37" s="103">
        <v>0.37</v>
      </c>
      <c r="H37" s="68" t="s">
        <v>206</v>
      </c>
      <c r="I37" s="62">
        <v>0.2</v>
      </c>
      <c r="J37" s="204" t="s">
        <v>11</v>
      </c>
      <c r="K37" s="204"/>
      <c r="L37" s="204"/>
    </row>
    <row r="38" spans="2:12" ht="20.100000000000001" customHeight="1" x14ac:dyDescent="0.25">
      <c r="B38" s="105">
        <v>4</v>
      </c>
      <c r="C38" s="103">
        <v>0.60599999999999998</v>
      </c>
      <c r="D38" s="103">
        <v>0.34</v>
      </c>
      <c r="E38" s="104">
        <v>1330</v>
      </c>
      <c r="F38" s="103">
        <v>0.40699999999999997</v>
      </c>
      <c r="H38" s="68" t="s">
        <v>542</v>
      </c>
      <c r="I38" s="62">
        <v>0.2</v>
      </c>
      <c r="J38" s="204" t="s">
        <v>11</v>
      </c>
      <c r="K38" s="204"/>
      <c r="L38" s="204"/>
    </row>
    <row r="39" spans="2:12" ht="20.100000000000001" customHeight="1" x14ac:dyDescent="0.25">
      <c r="B39" s="105">
        <v>5</v>
      </c>
      <c r="C39" s="103">
        <v>0.63600000000000001</v>
      </c>
      <c r="D39" s="103">
        <v>0.35699999999999998</v>
      </c>
      <c r="E39" s="104">
        <v>1395</v>
      </c>
      <c r="F39" s="103">
        <v>0.42699999999999999</v>
      </c>
      <c r="H39" s="68" t="s">
        <v>288</v>
      </c>
      <c r="I39" s="62">
        <v>0.2</v>
      </c>
      <c r="J39" s="204" t="s">
        <v>12</v>
      </c>
      <c r="K39" s="204"/>
      <c r="L39" s="204"/>
    </row>
    <row r="40" spans="2:12" ht="20.100000000000001" customHeight="1" x14ac:dyDescent="0.25">
      <c r="B40" s="105">
        <v>6</v>
      </c>
      <c r="C40" s="103">
        <v>0.66500000000000004</v>
      </c>
      <c r="D40" s="103">
        <v>0.374</v>
      </c>
      <c r="E40" s="104">
        <v>1457</v>
      </c>
      <c r="F40" s="103">
        <v>0.44700000000000001</v>
      </c>
      <c r="H40" s="68" t="s">
        <v>318</v>
      </c>
      <c r="I40" s="62">
        <v>0.2</v>
      </c>
      <c r="J40" s="204" t="s">
        <v>12</v>
      </c>
      <c r="K40" s="204"/>
      <c r="L40" s="204"/>
    </row>
    <row r="41" spans="2:12" ht="20.100000000000001" customHeight="1" x14ac:dyDescent="0.25">
      <c r="B41" s="106">
        <v>7</v>
      </c>
      <c r="C41" s="103">
        <v>0.69699999999999995</v>
      </c>
      <c r="D41" s="103">
        <v>0.39400000000000002</v>
      </c>
      <c r="E41" s="104">
        <v>1515</v>
      </c>
      <c r="F41" s="103">
        <v>0.47</v>
      </c>
      <c r="H41" s="68" t="s">
        <v>379</v>
      </c>
      <c r="I41" s="62">
        <v>0.2</v>
      </c>
      <c r="J41" s="204" t="s">
        <v>12</v>
      </c>
      <c r="K41" s="204"/>
      <c r="L41" s="204"/>
    </row>
    <row r="42" spans="2:12" ht="20.100000000000001" customHeight="1" x14ac:dyDescent="0.25">
      <c r="H42" s="68" t="s">
        <v>254</v>
      </c>
      <c r="I42" s="62">
        <v>0.2</v>
      </c>
      <c r="J42" s="204" t="s">
        <v>12</v>
      </c>
      <c r="K42" s="204"/>
      <c r="L42" s="204"/>
    </row>
    <row r="43" spans="2:12" ht="20.100000000000001" customHeight="1" x14ac:dyDescent="0.25">
      <c r="H43" s="68" t="s">
        <v>200</v>
      </c>
      <c r="I43" s="62">
        <v>0</v>
      </c>
      <c r="J43" s="204" t="s">
        <v>13</v>
      </c>
      <c r="K43" s="204"/>
      <c r="L43" s="204"/>
    </row>
    <row r="44" spans="2:12" ht="20.100000000000001" customHeight="1" x14ac:dyDescent="0.25">
      <c r="B44" s="83" t="s">
        <v>543</v>
      </c>
      <c r="C44" s="84"/>
      <c r="D44" s="84"/>
      <c r="E44" s="84"/>
      <c r="F44" s="84"/>
      <c r="H44" s="68" t="s">
        <v>212</v>
      </c>
      <c r="I44" s="62">
        <v>0.2</v>
      </c>
      <c r="J44" s="204" t="s">
        <v>13</v>
      </c>
      <c r="K44" s="204"/>
      <c r="L44" s="204"/>
    </row>
    <row r="45" spans="2:12" ht="20.100000000000001" customHeight="1" x14ac:dyDescent="0.25">
      <c r="B45" s="46" t="s">
        <v>121</v>
      </c>
      <c r="C45" s="209" t="s">
        <v>544</v>
      </c>
      <c r="D45" s="210"/>
      <c r="E45" s="210"/>
      <c r="F45" s="210"/>
      <c r="H45" s="68" t="s">
        <v>217</v>
      </c>
      <c r="I45" s="62">
        <v>0.2</v>
      </c>
      <c r="J45" s="204" t="s">
        <v>13</v>
      </c>
      <c r="K45" s="204"/>
      <c r="L45" s="204"/>
    </row>
    <row r="46" spans="2:12" ht="20.100000000000001" customHeight="1" x14ac:dyDescent="0.25">
      <c r="B46" s="68" t="s">
        <v>520</v>
      </c>
      <c r="C46" s="204" t="s">
        <v>545</v>
      </c>
      <c r="D46" s="204"/>
      <c r="E46" s="204"/>
      <c r="F46" s="204"/>
      <c r="H46" s="68" t="s">
        <v>240</v>
      </c>
      <c r="I46" s="62">
        <v>0.2</v>
      </c>
      <c r="J46" s="204" t="s">
        <v>13</v>
      </c>
      <c r="K46" s="204"/>
      <c r="L46" s="204"/>
    </row>
    <row r="47" spans="2:12" ht="20.100000000000001" customHeight="1" x14ac:dyDescent="0.25">
      <c r="B47" s="68" t="s">
        <v>523</v>
      </c>
      <c r="C47" s="204" t="s">
        <v>546</v>
      </c>
      <c r="D47" s="204"/>
      <c r="E47" s="204"/>
      <c r="F47" s="204"/>
      <c r="H47" s="68" t="s">
        <v>228</v>
      </c>
      <c r="I47" s="62">
        <v>0.2</v>
      </c>
      <c r="J47" s="204" t="s">
        <v>13</v>
      </c>
      <c r="K47" s="204"/>
      <c r="L47" s="204"/>
    </row>
    <row r="48" spans="2:12" ht="20.100000000000001" customHeight="1" x14ac:dyDescent="0.25">
      <c r="B48" s="68" t="s">
        <v>525</v>
      </c>
      <c r="C48" s="204" t="s">
        <v>547</v>
      </c>
      <c r="D48" s="204"/>
      <c r="E48" s="204"/>
      <c r="F48" s="204"/>
      <c r="H48" s="68" t="s">
        <v>548</v>
      </c>
      <c r="I48" s="62">
        <v>0.2</v>
      </c>
      <c r="J48" s="204" t="s">
        <v>13</v>
      </c>
      <c r="K48" s="204"/>
      <c r="L48" s="204"/>
    </row>
    <row r="49" spans="2:12" ht="20.100000000000001" customHeight="1" x14ac:dyDescent="0.25">
      <c r="B49" s="68" t="s">
        <v>549</v>
      </c>
      <c r="C49" s="204" t="s">
        <v>550</v>
      </c>
      <c r="D49" s="204"/>
      <c r="E49" s="204"/>
      <c r="F49" s="204"/>
      <c r="H49" s="51"/>
      <c r="I49" s="62"/>
      <c r="J49" s="204"/>
      <c r="K49" s="204"/>
      <c r="L49" s="204"/>
    </row>
    <row r="50" spans="2:12" ht="20.100000000000001" customHeight="1" x14ac:dyDescent="0.25">
      <c r="B50" s="51"/>
      <c r="C50" s="204"/>
      <c r="D50" s="204"/>
      <c r="E50" s="204"/>
      <c r="F50" s="204"/>
      <c r="H50" s="51"/>
      <c r="I50" s="62"/>
      <c r="J50" s="204"/>
      <c r="K50" s="204"/>
      <c r="L50" s="204"/>
    </row>
    <row r="51" spans="2:12" ht="20.100000000000001" customHeight="1" x14ac:dyDescent="0.25">
      <c r="B51" s="51"/>
      <c r="C51" s="204"/>
      <c r="D51" s="204"/>
      <c r="E51" s="204"/>
      <c r="F51" s="204"/>
    </row>
    <row r="52" spans="2:12" ht="20.100000000000001" customHeight="1" x14ac:dyDescent="0.25">
      <c r="B52" s="51"/>
      <c r="C52" s="204"/>
      <c r="D52" s="204"/>
      <c r="E52" s="204"/>
      <c r="F52" s="204"/>
    </row>
    <row r="53" spans="2:12" ht="20.100000000000001" customHeight="1" x14ac:dyDescent="0.25">
      <c r="B53" s="51"/>
      <c r="C53" s="204"/>
      <c r="D53" s="204"/>
      <c r="E53" s="204"/>
      <c r="F53" s="204"/>
    </row>
  </sheetData>
  <mergeCells count="71">
    <mergeCell ref="B4:C4"/>
    <mergeCell ref="C25:E25"/>
    <mergeCell ref="I5:L5"/>
    <mergeCell ref="I23:L23"/>
    <mergeCell ref="K7:L7"/>
    <mergeCell ref="J38:L38"/>
    <mergeCell ref="I18:L18"/>
    <mergeCell ref="B5:C5"/>
    <mergeCell ref="J37:L37"/>
    <mergeCell ref="C12:F12"/>
    <mergeCell ref="I12:L12"/>
    <mergeCell ref="C26:E26"/>
    <mergeCell ref="C11:F11"/>
    <mergeCell ref="C29:E29"/>
    <mergeCell ref="I24:L24"/>
    <mergeCell ref="C10:F10"/>
    <mergeCell ref="C30:E30"/>
    <mergeCell ref="C47:F47"/>
    <mergeCell ref="C50:F50"/>
    <mergeCell ref="J44:L44"/>
    <mergeCell ref="C24:E24"/>
    <mergeCell ref="I28:L28"/>
    <mergeCell ref="C46:F46"/>
    <mergeCell ref="C53:F53"/>
    <mergeCell ref="J41:L41"/>
    <mergeCell ref="C27:E27"/>
    <mergeCell ref="I31:L31"/>
    <mergeCell ref="C49:F49"/>
    <mergeCell ref="I30:L30"/>
    <mergeCell ref="J47:L47"/>
    <mergeCell ref="J43:L43"/>
    <mergeCell ref="J50:L50"/>
    <mergeCell ref="C32:E32"/>
    <mergeCell ref="I27:L27"/>
    <mergeCell ref="J46:L46"/>
    <mergeCell ref="C28:E28"/>
    <mergeCell ref="C45:F45"/>
    <mergeCell ref="J42:L42"/>
    <mergeCell ref="B35:F35"/>
    <mergeCell ref="I4:L4"/>
    <mergeCell ref="J45:L45"/>
    <mergeCell ref="I29:L29"/>
    <mergeCell ref="I10:L10"/>
    <mergeCell ref="C13:F13"/>
    <mergeCell ref="I13:L13"/>
    <mergeCell ref="C18:F18"/>
    <mergeCell ref="C23:E23"/>
    <mergeCell ref="D4:F4"/>
    <mergeCell ref="C15:F15"/>
    <mergeCell ref="I15:L15"/>
    <mergeCell ref="I11:L11"/>
    <mergeCell ref="C14:F14"/>
    <mergeCell ref="I26:L26"/>
    <mergeCell ref="D5:F5"/>
    <mergeCell ref="C16:F16"/>
    <mergeCell ref="C52:F52"/>
    <mergeCell ref="I14:L14"/>
    <mergeCell ref="C48:F48"/>
    <mergeCell ref="C17:F17"/>
    <mergeCell ref="I17:L17"/>
    <mergeCell ref="H35:L35"/>
    <mergeCell ref="J40:L40"/>
    <mergeCell ref="J49:L49"/>
    <mergeCell ref="C31:E31"/>
    <mergeCell ref="J36:L36"/>
    <mergeCell ref="C22:E22"/>
    <mergeCell ref="I16:L16"/>
    <mergeCell ref="J39:L39"/>
    <mergeCell ref="J48:L48"/>
    <mergeCell ref="I25:L25"/>
    <mergeCell ref="C51:F51"/>
  </mergeCells>
  <dataValidations count="14">
    <dataValidation type="list" allowBlank="1" showErrorMessage="1" errorTitle="Valeur non prévue" error="Choisissez une valeur dans la liste déroulante." sqref="C23:C32" xr:uid="{00000000-0002-0000-0500-000000000000}">
      <formula1>ListeCentres</formula1>
    </dataValidation>
    <dataValidation type="list" allowBlank="1" showErrorMessage="1" errorTitle="Valeur non prévue" error="Choisissez une valeur dans la liste déroulante." sqref="F23:F32 I28" xr:uid="{00000000-0002-0000-0500-000001000000}">
      <formula1>"Oui,Non"</formula1>
    </dataValidation>
    <dataValidation type="list" allowBlank="1" showInputMessage="1" showErrorMessage="1" errorTitle="Valeur non prévue" error="Choisissez une valeur dans la liste déroulante." promptTitle="Usage privé" prompt="Non : les trajets « Personnel » sont signalés dans le journal des déplacements." sqref="I23" xr:uid="{00000000-0002-0000-0500-000002000000}">
      <formula1>"Oui,Non"</formula1>
    </dataValidation>
    <dataValidation type="whole" allowBlank="1" showErrorMessage="1" errorTitle="Valeur non valide" error="Saisissez un nombre positif." sqref="I24:I26" xr:uid="{00000000-0002-0000-0500-000003000000}">
      <formula1>0</formula1>
      <formula2>100000</formula2>
    </dataValidation>
    <dataValidation type="decimal" allowBlank="1" showErrorMessage="1" errorTitle="Valeur non valide" error="Saisissez un pourcentage entre 0 % et 100 %." sqref="I27 I29" xr:uid="{00000000-0002-0000-0500-000004000000}">
      <formula1>0</formula1>
      <formula2>1</formula2>
    </dataValidation>
    <dataValidation type="decimal" allowBlank="1" showErrorMessage="1" errorTitle="Valeur non valide" error="Saisissez un nombre positif." sqref="C37:F41" xr:uid="{00000000-0002-0000-0500-000007000000}">
      <formula1>0</formula1>
      <formula2>100000</formula2>
    </dataValidation>
    <dataValidation type="list" allowBlank="1" showErrorMessage="1" errorTitle="Valeur non prévue" error="Choisissez une valeur dans la liste déroulante." sqref="I37:I50" xr:uid="{00000000-0002-0000-0500-000008000000}">
      <formula1>ListeTVA</formula1>
    </dataValidation>
    <dataValidation type="list" allowBlank="1" showErrorMessage="1" errorTitle="Valeur non prévue" error="Choisissez une valeur dans la liste déroulante." sqref="J37:J50" xr:uid="{00000000-0002-0000-0500-000009000000}">
      <formula1>ListeRegroupements</formula1>
    </dataValidation>
    <dataValidation type="list" allowBlank="1" showInputMessage="1" showErrorMessage="1" errorTitle="Valeur non prévue" error="Choisissez une valeur dans la liste déroulante." promptTitle="Énergie" prompt="« Électrique » affiche les quantités en kWh et applique la majoration des IK." sqref="C13" xr:uid="{00000000-0002-0000-0500-00000A000000}">
      <formula1>ListeEnergies</formula1>
    </dataValidation>
    <dataValidation type="list" allowBlank="1" showInputMessage="1" showErrorMessage="1" errorTitle="Valeur non prévue" error="Choisissez une valeur dans la liste déroulante." promptTitle="Statut du véhicule" prompt="« Véhicule personnel » active les indemnités kilométriques ; « Véhicule de fonction » compte le domicile – travail en usage privé." sqref="C18" xr:uid="{00000000-0002-0000-0500-00000B000000}">
      <formula1>ListeStatuts</formula1>
    </dataValidation>
    <dataValidation type="whole" allowBlank="1" showErrorMessage="1" errorTitle="Valeur non valide" error="Puissance fiscale en CV (case P.6 du certificat d'immatriculation)." sqref="C14" xr:uid="{00000000-0002-0000-0500-00000C000000}">
      <formula1>1</formula1>
      <formula2>100</formula2>
    </dataValidation>
    <dataValidation type="date" allowBlank="1" showErrorMessage="1" errorTitle="Date non valide" error="Saisissez une date au format jj/mm/aaaa." sqref="C15 I15" xr:uid="{00000000-0002-0000-0500-00000D000000}">
      <formula1>36526</formula1>
      <formula2>73051</formula2>
    </dataValidation>
    <dataValidation type="decimal" allowBlank="1" showErrorMessage="1" errorTitle="Valeur non valide" error="Saisissez un nombre positif." sqref="C17" xr:uid="{00000000-0002-0000-0500-00000F000000}">
      <formula1>0</formula1>
      <formula2>1000</formula2>
    </dataValidation>
    <dataValidation type="whole" allowBlank="1" showErrorMessage="1" errorTitle="Valeur non valide" error="Saisissez un nombre positif." sqref="I16" xr:uid="{00000000-0002-0000-0500-000010000000}">
      <formula1>0</formula1>
      <formula2>3000000</formula2>
    </dataValidation>
  </dataValidations>
  <printOptions horizontalCentered="1"/>
  <pageMargins left="0.35" right="0.35" top="0.45" bottom="0.55000000000000004" header="0.5" footer="0.5"/>
  <pageSetup paperSize="9" orientation="landscape"/>
  <headerFooter>
    <oddFooter>&amp;L&amp;8 &amp;K8C949ECarnet de bord du véhicule – &amp;A&amp;R&amp;8 &amp;K8C949EPage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3AAB3"/>
    <pageSetUpPr fitToPage="1"/>
  </sheetPr>
  <dimension ref="A1:F65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6" customWidth="1"/>
    <col min="3" max="3" width="24" customWidth="1"/>
    <col min="4" max="4" width="22" customWidth="1"/>
    <col min="5" max="5" width="80" customWidth="1"/>
    <col min="6" max="6" width="2" customWidth="1"/>
  </cols>
  <sheetData>
    <row r="1" spans="1:6" ht="18" customHeight="1" x14ac:dyDescent="0.25">
      <c r="A1" s="1"/>
      <c r="B1" s="3" t="str">
        <f>"CARNET DE BORD DU VÉHICULE   ·   "&amp;Immatriculation</f>
        <v>CARNET DE BORD DU VÉHICULE   ·   FT-317-KV</v>
      </c>
      <c r="C1" s="1"/>
      <c r="D1" s="1"/>
      <c r="E1" s="1"/>
      <c r="F1" s="1"/>
    </row>
    <row r="2" spans="1:6" ht="32.1" customHeight="1" x14ac:dyDescent="0.25">
      <c r="A2" s="1"/>
      <c r="B2" s="38" t="s">
        <v>551</v>
      </c>
      <c r="C2" s="1"/>
      <c r="D2" s="1"/>
      <c r="E2" s="1"/>
      <c r="F2" s="1"/>
    </row>
    <row r="3" spans="1:6" ht="3" customHeight="1" x14ac:dyDescent="0.25">
      <c r="A3" s="10"/>
      <c r="B3" s="10"/>
      <c r="C3" s="10"/>
      <c r="D3" s="10"/>
      <c r="E3" s="10"/>
      <c r="F3" s="10"/>
    </row>
    <row r="4" spans="1:6" ht="8.1" customHeight="1" x14ac:dyDescent="0.25"/>
    <row r="5" spans="1:6" ht="8.1" customHeight="1" x14ac:dyDescent="0.25"/>
    <row r="6" spans="1:6" ht="8.1" customHeight="1" x14ac:dyDescent="0.25"/>
    <row r="7" spans="1:6" ht="8.1" customHeight="1" x14ac:dyDescent="0.25"/>
    <row r="9" spans="1:6" ht="24" customHeight="1" x14ac:dyDescent="0.25">
      <c r="B9" s="83" t="s">
        <v>552</v>
      </c>
      <c r="C9" s="84"/>
      <c r="D9" s="84"/>
      <c r="E9" s="84"/>
    </row>
    <row r="10" spans="1:6" ht="48" customHeight="1" x14ac:dyDescent="0.25">
      <c r="B10" s="244" t="s">
        <v>553</v>
      </c>
      <c r="C10" s="118"/>
      <c r="D10" s="118"/>
      <c r="E10" s="118"/>
    </row>
    <row r="12" spans="1:6" ht="24" customHeight="1" x14ac:dyDescent="0.25">
      <c r="B12" s="83" t="s">
        <v>554</v>
      </c>
      <c r="C12" s="84"/>
      <c r="D12" s="84"/>
      <c r="E12" s="84"/>
    </row>
    <row r="13" spans="1:6" ht="24" customHeight="1" x14ac:dyDescent="0.25">
      <c r="B13" s="107" t="s">
        <v>555</v>
      </c>
      <c r="C13" s="232" t="s">
        <v>556</v>
      </c>
      <c r="D13" s="118"/>
      <c r="E13" s="118"/>
    </row>
    <row r="14" spans="1:6" ht="33.950000000000003" customHeight="1" x14ac:dyDescent="0.25">
      <c r="B14" s="108"/>
      <c r="C14" s="109" t="s">
        <v>557</v>
      </c>
      <c r="D14" s="227" t="s">
        <v>558</v>
      </c>
      <c r="E14" s="182"/>
    </row>
    <row r="15" spans="1:6" ht="33.950000000000003" customHeight="1" x14ac:dyDescent="0.25">
      <c r="B15" s="108"/>
      <c r="C15" s="109" t="s">
        <v>288</v>
      </c>
      <c r="D15" s="227" t="s">
        <v>559</v>
      </c>
      <c r="E15" s="182"/>
    </row>
    <row r="17" spans="2:5" ht="24" customHeight="1" x14ac:dyDescent="0.25">
      <c r="B17" s="107" t="s">
        <v>560</v>
      </c>
      <c r="C17" s="232" t="s">
        <v>561</v>
      </c>
      <c r="D17" s="118"/>
      <c r="E17" s="118"/>
    </row>
    <row r="18" spans="2:5" ht="33.950000000000003" customHeight="1" x14ac:dyDescent="0.25">
      <c r="B18" s="108"/>
      <c r="C18" s="109" t="s">
        <v>31</v>
      </c>
      <c r="D18" s="227" t="s">
        <v>562</v>
      </c>
      <c r="E18" s="182"/>
    </row>
    <row r="19" spans="2:5" ht="33.950000000000003" customHeight="1" x14ac:dyDescent="0.25">
      <c r="B19" s="108"/>
      <c r="C19" s="109" t="s">
        <v>563</v>
      </c>
      <c r="D19" s="227" t="s">
        <v>564</v>
      </c>
      <c r="E19" s="182"/>
    </row>
    <row r="21" spans="2:5" ht="24" customHeight="1" x14ac:dyDescent="0.25">
      <c r="B21" s="107" t="s">
        <v>565</v>
      </c>
      <c r="C21" s="232" t="s">
        <v>566</v>
      </c>
      <c r="D21" s="118"/>
      <c r="E21" s="118"/>
    </row>
    <row r="22" spans="2:5" ht="33.950000000000003" customHeight="1" x14ac:dyDescent="0.25">
      <c r="B22" s="108"/>
      <c r="C22" s="109" t="s">
        <v>567</v>
      </c>
      <c r="D22" s="227" t="s">
        <v>568</v>
      </c>
      <c r="E22" s="182"/>
    </row>
    <row r="23" spans="2:5" ht="33.950000000000003" customHeight="1" x14ac:dyDescent="0.25">
      <c r="B23" s="108"/>
      <c r="C23" s="109" t="s">
        <v>569</v>
      </c>
      <c r="D23" s="227" t="s">
        <v>570</v>
      </c>
      <c r="E23" s="182"/>
    </row>
    <row r="26" spans="2:5" ht="24" customHeight="1" x14ac:dyDescent="0.25">
      <c r="B26" s="83" t="s">
        <v>571</v>
      </c>
      <c r="C26" s="84"/>
      <c r="D26" s="84"/>
      <c r="E26" s="84"/>
    </row>
    <row r="27" spans="2:5" ht="21" customHeight="1" x14ac:dyDescent="0.25">
      <c r="B27" s="230" t="s">
        <v>115</v>
      </c>
      <c r="C27" s="231"/>
      <c r="D27" s="233" t="s">
        <v>572</v>
      </c>
      <c r="E27" s="182"/>
    </row>
    <row r="28" spans="2:5" ht="21" customHeight="1" x14ac:dyDescent="0.25">
      <c r="B28" s="214" t="s">
        <v>573</v>
      </c>
      <c r="C28" s="176"/>
      <c r="D28" s="233" t="s">
        <v>574</v>
      </c>
      <c r="E28" s="182"/>
    </row>
    <row r="29" spans="2:5" ht="21" customHeight="1" x14ac:dyDescent="0.25">
      <c r="B29" s="236" t="s">
        <v>575</v>
      </c>
      <c r="C29" s="237"/>
      <c r="D29" s="233" t="s">
        <v>576</v>
      </c>
      <c r="E29" s="182"/>
    </row>
    <row r="30" spans="2:5" ht="21" customHeight="1" x14ac:dyDescent="0.25">
      <c r="B30" s="238" t="s">
        <v>577</v>
      </c>
      <c r="C30" s="239"/>
      <c r="D30" s="233" t="s">
        <v>578</v>
      </c>
      <c r="E30" s="182"/>
    </row>
    <row r="31" spans="2:5" ht="21" customHeight="1" x14ac:dyDescent="0.25">
      <c r="B31" s="228" t="s">
        <v>579</v>
      </c>
      <c r="C31" s="229"/>
      <c r="D31" s="233" t="s">
        <v>580</v>
      </c>
      <c r="E31" s="182"/>
    </row>
    <row r="32" spans="2:5" ht="21" customHeight="1" x14ac:dyDescent="0.25">
      <c r="B32" s="242" t="s">
        <v>581</v>
      </c>
      <c r="C32" s="243"/>
      <c r="D32" s="233" t="s">
        <v>582</v>
      </c>
      <c r="E32" s="182"/>
    </row>
    <row r="33" spans="2:5" ht="21" customHeight="1" x14ac:dyDescent="0.25">
      <c r="B33" s="240" t="s">
        <v>583</v>
      </c>
      <c r="C33" s="241"/>
      <c r="D33" s="233" t="s">
        <v>584</v>
      </c>
      <c r="E33" s="182"/>
    </row>
    <row r="35" spans="2:5" ht="24" customHeight="1" x14ac:dyDescent="0.25">
      <c r="B35" s="83" t="s">
        <v>585</v>
      </c>
      <c r="C35" s="84"/>
      <c r="D35" s="84"/>
      <c r="E35" s="84"/>
    </row>
    <row r="36" spans="2:5" ht="21" customHeight="1" x14ac:dyDescent="0.25">
      <c r="B36" s="19"/>
      <c r="C36" s="110" t="s">
        <v>31</v>
      </c>
      <c r="D36" s="111" t="s">
        <v>586</v>
      </c>
      <c r="E36" s="112" t="s">
        <v>587</v>
      </c>
    </row>
    <row r="37" spans="2:5" ht="21" customHeight="1" x14ac:dyDescent="0.25">
      <c r="B37" s="19"/>
      <c r="C37" s="110" t="s">
        <v>31</v>
      </c>
      <c r="D37" s="111" t="s">
        <v>588</v>
      </c>
      <c r="E37" s="112" t="s">
        <v>589</v>
      </c>
    </row>
    <row r="38" spans="2:5" ht="21" customHeight="1" x14ac:dyDescent="0.25">
      <c r="B38" s="19"/>
      <c r="C38" s="110" t="s">
        <v>31</v>
      </c>
      <c r="D38" s="113" t="s">
        <v>590</v>
      </c>
      <c r="E38" s="112" t="s">
        <v>591</v>
      </c>
    </row>
    <row r="39" spans="2:5" ht="21" customHeight="1" x14ac:dyDescent="0.25">
      <c r="B39" s="19"/>
      <c r="C39" s="110" t="s">
        <v>31</v>
      </c>
      <c r="D39" s="113" t="s">
        <v>592</v>
      </c>
      <c r="E39" s="112" t="s">
        <v>593</v>
      </c>
    </row>
    <row r="40" spans="2:5" ht="21" customHeight="1" x14ac:dyDescent="0.25">
      <c r="B40" s="19"/>
      <c r="C40" s="110" t="s">
        <v>31</v>
      </c>
      <c r="D40" s="111" t="s">
        <v>594</v>
      </c>
      <c r="E40" s="112" t="s">
        <v>595</v>
      </c>
    </row>
    <row r="41" spans="2:5" ht="21" customHeight="1" x14ac:dyDescent="0.25">
      <c r="B41" s="19"/>
      <c r="C41" s="110" t="s">
        <v>31</v>
      </c>
      <c r="D41" s="113" t="s">
        <v>596</v>
      </c>
      <c r="E41" s="112" t="s">
        <v>597</v>
      </c>
    </row>
    <row r="42" spans="2:5" ht="21" customHeight="1" x14ac:dyDescent="0.25">
      <c r="B42" s="19"/>
      <c r="C42" s="110" t="s">
        <v>563</v>
      </c>
      <c r="D42" s="111" t="s">
        <v>598</v>
      </c>
      <c r="E42" s="112" t="s">
        <v>599</v>
      </c>
    </row>
    <row r="43" spans="2:5" ht="21" customHeight="1" x14ac:dyDescent="0.25">
      <c r="B43" s="19"/>
      <c r="C43" s="110" t="s">
        <v>563</v>
      </c>
      <c r="D43" s="111" t="s">
        <v>600</v>
      </c>
      <c r="E43" s="112" t="s">
        <v>601</v>
      </c>
    </row>
    <row r="44" spans="2:5" ht="21" customHeight="1" x14ac:dyDescent="0.25">
      <c r="B44" s="19"/>
      <c r="C44" s="110" t="s">
        <v>563</v>
      </c>
      <c r="D44" s="113" t="s">
        <v>602</v>
      </c>
      <c r="E44" s="112" t="s">
        <v>603</v>
      </c>
    </row>
    <row r="45" spans="2:5" ht="21" customHeight="1" x14ac:dyDescent="0.25">
      <c r="B45" s="19"/>
      <c r="C45" s="110" t="s">
        <v>563</v>
      </c>
      <c r="D45" s="111" t="s">
        <v>604</v>
      </c>
      <c r="E45" s="112" t="s">
        <v>605</v>
      </c>
    </row>
    <row r="46" spans="2:5" ht="21" customHeight="1" x14ac:dyDescent="0.25">
      <c r="B46" s="19"/>
      <c r="C46" s="110" t="s">
        <v>288</v>
      </c>
      <c r="D46" s="111" t="s">
        <v>606</v>
      </c>
      <c r="E46" s="112" t="s">
        <v>607</v>
      </c>
    </row>
    <row r="48" spans="2:5" ht="24" customHeight="1" x14ac:dyDescent="0.25">
      <c r="B48" s="83" t="s">
        <v>608</v>
      </c>
      <c r="C48" s="84"/>
      <c r="D48" s="84"/>
      <c r="E48" s="84"/>
    </row>
    <row r="49" spans="2:5" ht="20.100000000000001" customHeight="1" x14ac:dyDescent="0.25">
      <c r="B49" s="226" t="s">
        <v>609</v>
      </c>
      <c r="C49" s="118"/>
      <c r="D49" s="118"/>
      <c r="E49" s="118"/>
    </row>
    <row r="50" spans="2:5" ht="32.1" customHeight="1" x14ac:dyDescent="0.25">
      <c r="B50" s="235" t="s">
        <v>610</v>
      </c>
      <c r="C50" s="182"/>
      <c r="D50" s="182"/>
      <c r="E50" s="182"/>
    </row>
    <row r="51" spans="2:5" ht="20.100000000000001" customHeight="1" x14ac:dyDescent="0.25">
      <c r="B51" s="226" t="s">
        <v>611</v>
      </c>
      <c r="C51" s="118"/>
      <c r="D51" s="118"/>
      <c r="E51" s="118"/>
    </row>
    <row r="52" spans="2:5" ht="32.1" customHeight="1" x14ac:dyDescent="0.25">
      <c r="B52" s="235" t="s">
        <v>612</v>
      </c>
      <c r="C52" s="182"/>
      <c r="D52" s="182"/>
      <c r="E52" s="182"/>
    </row>
    <row r="53" spans="2:5" ht="20.100000000000001" customHeight="1" x14ac:dyDescent="0.25">
      <c r="B53" s="226" t="s">
        <v>613</v>
      </c>
      <c r="C53" s="118"/>
      <c r="D53" s="118"/>
      <c r="E53" s="118"/>
    </row>
    <row r="54" spans="2:5" ht="32.1" customHeight="1" x14ac:dyDescent="0.25">
      <c r="B54" s="235" t="s">
        <v>614</v>
      </c>
      <c r="C54" s="182"/>
      <c r="D54" s="182"/>
      <c r="E54" s="182"/>
    </row>
    <row r="55" spans="2:5" ht="20.100000000000001" customHeight="1" x14ac:dyDescent="0.25">
      <c r="B55" s="226" t="s">
        <v>615</v>
      </c>
      <c r="C55" s="118"/>
      <c r="D55" s="118"/>
      <c r="E55" s="118"/>
    </row>
    <row r="56" spans="2:5" ht="32.1" customHeight="1" x14ac:dyDescent="0.25">
      <c r="B56" s="235" t="s">
        <v>616</v>
      </c>
      <c r="C56" s="182"/>
      <c r="D56" s="182"/>
      <c r="E56" s="182"/>
    </row>
    <row r="57" spans="2:5" ht="20.100000000000001" customHeight="1" x14ac:dyDescent="0.25">
      <c r="B57" s="226" t="s">
        <v>617</v>
      </c>
      <c r="C57" s="118"/>
      <c r="D57" s="118"/>
      <c r="E57" s="118"/>
    </row>
    <row r="58" spans="2:5" ht="32.1" customHeight="1" x14ac:dyDescent="0.25">
      <c r="B58" s="235" t="s">
        <v>618</v>
      </c>
      <c r="C58" s="182"/>
      <c r="D58" s="182"/>
      <c r="E58" s="182"/>
    </row>
    <row r="60" spans="2:5" ht="24" customHeight="1" x14ac:dyDescent="0.25">
      <c r="B60" s="83" t="s">
        <v>619</v>
      </c>
      <c r="C60" s="84"/>
      <c r="D60" s="84"/>
      <c r="E60" s="84"/>
    </row>
    <row r="61" spans="2:5" ht="30" customHeight="1" x14ac:dyDescent="0.25">
      <c r="B61" s="114" t="s">
        <v>620</v>
      </c>
      <c r="C61" s="234" t="s">
        <v>621</v>
      </c>
      <c r="D61" s="118"/>
      <c r="E61" s="118"/>
    </row>
    <row r="62" spans="2:5" ht="20.100000000000001" customHeight="1" x14ac:dyDescent="0.25">
      <c r="B62" s="114" t="s">
        <v>620</v>
      </c>
      <c r="C62" s="234" t="s">
        <v>622</v>
      </c>
      <c r="D62" s="118"/>
      <c r="E62" s="118"/>
    </row>
    <row r="63" spans="2:5" ht="30" customHeight="1" x14ac:dyDescent="0.25">
      <c r="B63" s="114" t="s">
        <v>620</v>
      </c>
      <c r="C63" s="234" t="s">
        <v>623</v>
      </c>
      <c r="D63" s="118"/>
      <c r="E63" s="118"/>
    </row>
    <row r="64" spans="2:5" ht="20.100000000000001" customHeight="1" x14ac:dyDescent="0.25">
      <c r="B64" s="114" t="s">
        <v>620</v>
      </c>
      <c r="C64" s="234" t="s">
        <v>624</v>
      </c>
      <c r="D64" s="118"/>
      <c r="E64" s="118"/>
    </row>
    <row r="65" spans="2:5" ht="30" customHeight="1" x14ac:dyDescent="0.25">
      <c r="B65" s="114" t="s">
        <v>620</v>
      </c>
      <c r="C65" s="234" t="s">
        <v>625</v>
      </c>
      <c r="D65" s="118"/>
      <c r="E65" s="118"/>
    </row>
  </sheetData>
  <mergeCells count="39">
    <mergeCell ref="D14:E14"/>
    <mergeCell ref="C64:E64"/>
    <mergeCell ref="B32:C32"/>
    <mergeCell ref="B10:E10"/>
    <mergeCell ref="C63:E63"/>
    <mergeCell ref="C17:E17"/>
    <mergeCell ref="D32:E32"/>
    <mergeCell ref="B56:E56"/>
    <mergeCell ref="B29:C29"/>
    <mergeCell ref="C13:E13"/>
    <mergeCell ref="B52:E52"/>
    <mergeCell ref="B28:C28"/>
    <mergeCell ref="D28:E28"/>
    <mergeCell ref="D18:E18"/>
    <mergeCell ref="B30:C30"/>
    <mergeCell ref="D30:E30"/>
    <mergeCell ref="B33:C33"/>
    <mergeCell ref="B53:E53"/>
    <mergeCell ref="D15:E15"/>
    <mergeCell ref="D33:E33"/>
    <mergeCell ref="D29:E29"/>
    <mergeCell ref="C65:E65"/>
    <mergeCell ref="B50:E50"/>
    <mergeCell ref="C61:E61"/>
    <mergeCell ref="D27:E27"/>
    <mergeCell ref="B54:E54"/>
    <mergeCell ref="B58:E58"/>
    <mergeCell ref="C62:E62"/>
    <mergeCell ref="B57:E57"/>
    <mergeCell ref="B49:E49"/>
    <mergeCell ref="D19:E19"/>
    <mergeCell ref="B55:E55"/>
    <mergeCell ref="D22:E22"/>
    <mergeCell ref="B31:C31"/>
    <mergeCell ref="B51:E51"/>
    <mergeCell ref="B27:C27"/>
    <mergeCell ref="C21:E21"/>
    <mergeCell ref="D31:E31"/>
    <mergeCell ref="D23:E23"/>
  </mergeCells>
  <hyperlinks>
    <hyperlink ref="C14" location="'Paramètres'!A1" display="Paramètres" xr:uid="{00000000-0004-0000-0600-000000000000}"/>
    <hyperlink ref="C15" location="'Entretien'!A1" display="Entretien" xr:uid="{00000000-0004-0000-0600-000001000000}"/>
    <hyperlink ref="C18" location="'Déplacements'!A1" display="Déplacements" xr:uid="{00000000-0004-0000-0600-000002000000}"/>
    <hyperlink ref="C19" location="'Dépenses'!A1" display="Dépenses" xr:uid="{00000000-0004-0000-0600-000003000000}"/>
    <hyperlink ref="C22" location="'Synthèse'!A1" display="Synthèse" xr:uid="{00000000-0004-0000-0600-000004000000}"/>
    <hyperlink ref="C23" location="'Relevé mensuel'!A1" display="Relevé mensuel" xr:uid="{00000000-0004-0000-0600-000005000000}"/>
  </hyperlinks>
  <printOptions horizontalCentered="1"/>
  <pageMargins left="0.35" right="0.35" top="0.45" bottom="0.55000000000000004" header="0.5" footer="0.5"/>
  <pageSetup paperSize="9" fitToHeight="0" orientation="portrait"/>
  <headerFooter>
    <oddFooter>&amp;L&amp;8 &amp;K8C949ECarnet de bord du véhicule – &amp;A&amp;R&amp;8 &amp;K8C949EPage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62</vt:i4>
      </vt:variant>
    </vt:vector>
  </HeadingPairs>
  <TitlesOfParts>
    <vt:vector size="69" baseType="lpstr">
      <vt:lpstr>Synthèse</vt:lpstr>
      <vt:lpstr>Déplacements</vt:lpstr>
      <vt:lpstr>Dépenses</vt:lpstr>
      <vt:lpstr>Entretien</vt:lpstr>
      <vt:lpstr>Relevé mensuel</vt:lpstr>
      <vt:lpstr>Paramètres</vt:lpstr>
      <vt:lpstr>Mode d'emploi</vt:lpstr>
      <vt:lpstr>AlerteJours</vt:lpstr>
      <vt:lpstr>AlerteKm</vt:lpstr>
      <vt:lpstr>AnneeSynth</vt:lpstr>
      <vt:lpstr>BaremeCV</vt:lpstr>
      <vt:lpstr>BaremeF2</vt:lpstr>
      <vt:lpstr>BaremeT1</vt:lpstr>
      <vt:lpstr>BaremeT2</vt:lpstr>
      <vt:lpstr>BaremeT3</vt:lpstr>
      <vt:lpstr>Capacite</vt:lpstr>
      <vt:lpstr>CatGroupe</vt:lpstr>
      <vt:lpstr>CatNoms</vt:lpstr>
      <vt:lpstr>CatTVA</vt:lpstr>
      <vt:lpstr>Centres</vt:lpstr>
      <vt:lpstr>CondActif</vt:lpstr>
      <vt:lpstr>CondNoms</vt:lpstr>
      <vt:lpstr>CondService</vt:lpstr>
      <vt:lpstr>ConsoRef</vt:lpstr>
      <vt:lpstr>DateMEC</vt:lpstr>
      <vt:lpstr>DateOuverture</vt:lpstr>
      <vt:lpstr>DateSituation</vt:lpstr>
      <vt:lpstr>Dépenses!Druckbereich</vt:lpstr>
      <vt:lpstr>Déplacements!Druckbereich</vt:lpstr>
      <vt:lpstr>Entretien!Druckbereich</vt:lpstr>
      <vt:lpstr>'Mode d''emploi'!Druckbereich</vt:lpstr>
      <vt:lpstr>Paramètres!Druckbereich</vt:lpstr>
      <vt:lpstr>'Relevé mensuel'!Druckbereich</vt:lpstr>
      <vt:lpstr>Synthèse!Druckbereich</vt:lpstr>
      <vt:lpstr>Dépenses!Drucktitel</vt:lpstr>
      <vt:lpstr>Déplacements!Drucktitel</vt:lpstr>
      <vt:lpstr>Energie</vt:lpstr>
      <vt:lpstr>Gestionnaire</vt:lpstr>
      <vt:lpstr>Immatriculation</vt:lpstr>
      <vt:lpstr>InclureDT</vt:lpstr>
      <vt:lpstr>KmActuel</vt:lpstr>
      <vt:lpstr>KmOuverture</vt:lpstr>
      <vt:lpstr>ListeEnergiesPlage</vt:lpstr>
      <vt:lpstr>ListeMoisPlage</vt:lpstr>
      <vt:lpstr>ListeNaturePlage</vt:lpstr>
      <vt:lpstr>ListeOperationsPlage</vt:lpstr>
      <vt:lpstr>ListePeriodesPlage</vt:lpstr>
      <vt:lpstr>ListeReglementsPlage</vt:lpstr>
      <vt:lpstr>ListeRegroupementsPlage</vt:lpstr>
      <vt:lpstr>ListeStatutsPlage</vt:lpstr>
      <vt:lpstr>ListeTVAPlage</vt:lpstr>
      <vt:lpstr>MajorationElec</vt:lpstr>
      <vt:lpstr>Marque</vt:lpstr>
      <vt:lpstr>Modele</vt:lpstr>
      <vt:lpstr>PerDebut</vt:lpstr>
      <vt:lpstr>PerFin</vt:lpstr>
      <vt:lpstr>Periode</vt:lpstr>
      <vt:lpstr>PuissanceCV</vt:lpstr>
      <vt:lpstr>RelAnnee</vt:lpstr>
      <vt:lpstr>RelConducteur</vt:lpstr>
      <vt:lpstr>RelDebut</vt:lpstr>
      <vt:lpstr>RelFin</vt:lpstr>
      <vt:lpstr>RelMois</vt:lpstr>
      <vt:lpstr>SeuilConso</vt:lpstr>
      <vt:lpstr>Statut</vt:lpstr>
      <vt:lpstr>TitulaireVehicule</vt:lpstr>
      <vt:lpstr>ToleranceKm</vt:lpstr>
      <vt:lpstr>UniteQte</vt:lpstr>
      <vt:lpstr>UsagePrive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Carnet de bord du véhicule</dc:title>
  <dc:subject>Déplacements, dépenses, entretien et relevés mensuels d'un véhicule</dc:subject>
  <dc:creator>Carnet de bord du véhicule</dc:creator>
  <cp:lastModifiedBy>Sergio Jiménez Canales</cp:lastModifiedBy>
  <dcterms:created xsi:type="dcterms:W3CDTF">2026-09-23T15:43:21Z</dcterms:created>
  <dcterms:modified xsi:type="dcterms:W3CDTF">2026-09-27T15:17:39Z</dcterms:modified>
</cp:coreProperties>
</file>