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ModelesExcel\Generador\"/>
    </mc:Choice>
  </mc:AlternateContent>
  <xr:revisionPtr revIDLastSave="0" documentId="13_ncr:1_{4989AC5B-4565-414C-B719-677DEE4A2186}" xr6:coauthVersionLast="47" xr6:coauthVersionMax="47" xr10:uidLastSave="{00000000-0000-0000-0000-000000000000}"/>
  <bookViews>
    <workbookView xWindow="690" yWindow="690" windowWidth="25500" windowHeight="13500" xr2:uid="{00000000-000D-0000-FFFF-FFFF00000000}"/>
  </bookViews>
  <sheets>
    <sheet name="Tableau de bord" sheetId="1" r:id="rId1"/>
    <sheet name="Trajets" sheetId="2" r:id="rId2"/>
    <sheet name="Carburant" sheetId="3" r:id="rId3"/>
    <sheet name="Frais &amp; entretien" sheetId="4" r:id="rId4"/>
    <sheet name="Échéances" sheetId="5" r:id="rId5"/>
    <sheet name="Véhicule" sheetId="6" r:id="rId6"/>
    <sheet name="Mode d'emploi" sheetId="7" r:id="rId7"/>
  </sheets>
  <definedNames>
    <definedName name="_xlnm._FilterDatabase" localSheetId="2" hidden="1">Carburant!$B$6:$P$206</definedName>
    <definedName name="_xlnm._FilterDatabase" localSheetId="3" hidden="1">'Frais &amp; entretien'!$B$6:$M$306</definedName>
    <definedName name="_xlnm._FilterDatabase" localSheetId="1" hidden="1">Trajets!$B$6:$N$606</definedName>
    <definedName name="AlerteJours">Véhicule!$I$20</definedName>
    <definedName name="AlerteKm">Véhicule!$I$21</definedName>
    <definedName name="AnneeSuivi">'Tableau de bord'!$C$5</definedName>
    <definedName name="BaremeCV">Véhicule!$B$32:$B$36</definedName>
    <definedName name="BaremeF2">Véhicule!$E$32:$E$36</definedName>
    <definedName name="BaremeT1">Véhicule!$C$32:$C$36</definedName>
    <definedName name="BaremeT2">Véhicule!$D$32:$D$36</definedName>
    <definedName name="BaremeT3">Véhicule!$F$32:$F$36</definedName>
    <definedName name="Capacite">Véhicule!$C$14</definedName>
    <definedName name="Conducteurs">Véhicule!$B$20:$B$27</definedName>
    <definedName name="ConsoMoyenne">Véhicule!$I$16</definedName>
    <definedName name="DateMEC">Véhicule!$C$12</definedName>
    <definedName name="DateOuverture">Véhicule!$I$9</definedName>
    <definedName name="DateSituation">Véhicule!$I$14</definedName>
    <definedName name="DebutAnnee">DATE(AnneeSuivi,1,1)</definedName>
    <definedName name="_xlnm.Print_Area" localSheetId="2">Carburant!$A$1:$Q$206</definedName>
    <definedName name="_xlnm.Print_Area" localSheetId="4">Échéances!$A$1:$O$20</definedName>
    <definedName name="_xlnm.Print_Area" localSheetId="3">'Frais &amp; entretien'!$A$1:$N$306</definedName>
    <definedName name="_xlnm.Print_Area" localSheetId="6">'Mode d''emploi'!$A$1:$E$49</definedName>
    <definedName name="_xlnm.Print_Area" localSheetId="0">'Tableau de bord'!$A$1:$S$60</definedName>
    <definedName name="_xlnm.Print_Area" localSheetId="1">Trajets!$A$1:$O$606</definedName>
    <definedName name="_xlnm.Print_Area" localSheetId="5">Véhicule!$A$1:$L$51</definedName>
    <definedName name="_xlnm.Print_Titles" localSheetId="2">Carburant!$6:$6</definedName>
    <definedName name="_xlnm.Print_Titles" localSheetId="3">'Frais &amp; entretien'!$6:$6</definedName>
    <definedName name="_xlnm.Print_Titles" localSheetId="1">Trajets!$6:$6</definedName>
    <definedName name="Energie">Véhicule!$C$10</definedName>
    <definedName name="FinAnnee">DATE(AnneeSuivi,12,31)</definedName>
    <definedName name="Immatriculation">Véhicule!$C$7</definedName>
    <definedName name="InclureDT">Véhicule!$I$23</definedName>
    <definedName name="KmActuel">Véhicule!$I$13</definedName>
    <definedName name="KmOuverture">Véhicule!$I$10</definedName>
    <definedName name="ListeConducteurs">OFFSET(Véhicule!$B$20,0,0,MAX(1,COUNTIF(Véhicule!$B$20:$B$27,"?*")),1)</definedName>
    <definedName name="ListeEnergies">OFFSET(Véhicule!$N$8,0,0,MAX(1,COUNTIF(Véhicule!$N$8:$N$19,"?*")),1)</definedName>
    <definedName name="ListeNaturesDepense">OFFSET(Véhicule!$H$32,0,0,MAX(1,COUNTIF(Véhicule!$H$32:$H$51,"?*")),1)</definedName>
    <definedName name="ListeNatureTrajet">OFFSET(Véhicule!$M$8,0,0,MAX(1,COUNTIF(Véhicule!$M$8:$M$19,"?*")),1)</definedName>
    <definedName name="ListePostes">OFFSET(Véhicule!$R$8,0,0,MAX(1,COUNTIF(Véhicule!$R$8:$R$19,"?*")),1)</definedName>
    <definedName name="ListeReglements">OFFSET(Véhicule!$P$8,0,0,MAX(1,COUNTIF(Véhicule!$P$8:$P$19,"?*")),1)</definedName>
    <definedName name="ListeRoles">OFFSET(Véhicule!$Q$8,0,0,MAX(1,COUNTIF(Véhicule!$Q$8:$Q$19,"?*")),1)</definedName>
    <definedName name="ListeStatuts">OFFSET(Véhicule!$O$8,0,0,MAX(1,COUNTIF(Véhicule!$O$8:$O$19,"?*")),1)</definedName>
    <definedName name="MajorationElec">Véhicule!$I$24</definedName>
    <definedName name="Marque">Véhicule!$C$8</definedName>
    <definedName name="Modele">Véhicule!$C$9</definedName>
    <definedName name="NaturesNoms">Véhicule!$H$32:$H$51</definedName>
    <definedName name="NaturesPoste">Véhicule!$I$32:$I$51</definedName>
    <definedName name="PuissanceCV">Véhicule!$C$11</definedName>
    <definedName name="SeuilConso">Véhicule!$I$25</definedName>
    <definedName name="Statut">Véhicule!$I$7</definedName>
    <definedName name="ToleranceKm">Véhicule!$I$22</definedName>
    <definedName name="UniteQte">Véhicule!$I$15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6" l="1"/>
  <c r="H16" i="6" s="1"/>
  <c r="I14" i="6"/>
  <c r="H5" i="1" s="1"/>
  <c r="I13" i="6"/>
  <c r="B20" i="5" s="1"/>
  <c r="Q18" i="5"/>
  <c r="P18" i="5"/>
  <c r="M18" i="5"/>
  <c r="G18" i="5"/>
  <c r="I18" i="5" s="1"/>
  <c r="K18" i="5" s="1"/>
  <c r="Q17" i="5"/>
  <c r="P17" i="5"/>
  <c r="M17" i="5"/>
  <c r="H17" i="5"/>
  <c r="J17" i="5" s="1"/>
  <c r="L17" i="5" s="1"/>
  <c r="G17" i="5"/>
  <c r="I17" i="5" s="1"/>
  <c r="K17" i="5" s="1"/>
  <c r="Q16" i="5"/>
  <c r="P16" i="5"/>
  <c r="M16" i="5"/>
  <c r="L16" i="5"/>
  <c r="K16" i="5"/>
  <c r="J16" i="5"/>
  <c r="I16" i="5"/>
  <c r="H16" i="5"/>
  <c r="G16" i="5"/>
  <c r="Q15" i="5"/>
  <c r="P15" i="5"/>
  <c r="M15" i="5"/>
  <c r="I15" i="5"/>
  <c r="K15" i="5" s="1"/>
  <c r="G15" i="5"/>
  <c r="H15" i="5" s="1"/>
  <c r="J15" i="5" s="1"/>
  <c r="L15" i="5" s="1"/>
  <c r="Q14" i="5"/>
  <c r="P14" i="5"/>
  <c r="G14" i="5" s="1"/>
  <c r="Q13" i="5"/>
  <c r="P13" i="5"/>
  <c r="G13" i="5" s="1"/>
  <c r="Q12" i="5"/>
  <c r="P12" i="5"/>
  <c r="G12" i="5" s="1"/>
  <c r="Q11" i="5"/>
  <c r="P11" i="5"/>
  <c r="G11" i="5" s="1"/>
  <c r="Q10" i="5"/>
  <c r="P10" i="5"/>
  <c r="G10" i="5" s="1"/>
  <c r="Q9" i="5"/>
  <c r="P9" i="5"/>
  <c r="G9" i="5" s="1"/>
  <c r="Q8" i="5"/>
  <c r="P8" i="5"/>
  <c r="G8" i="5" s="1"/>
  <c r="Q7" i="5"/>
  <c r="P7" i="5"/>
  <c r="G7" i="5" s="1"/>
  <c r="N2" i="5"/>
  <c r="N1" i="5"/>
  <c r="M306" i="4"/>
  <c r="F306" i="4"/>
  <c r="B306" i="4"/>
  <c r="M305" i="4"/>
  <c r="F305" i="4"/>
  <c r="B305" i="4"/>
  <c r="M304" i="4"/>
  <c r="F304" i="4"/>
  <c r="B304" i="4"/>
  <c r="M303" i="4"/>
  <c r="F303" i="4"/>
  <c r="B303" i="4"/>
  <c r="M302" i="4"/>
  <c r="F302" i="4"/>
  <c r="B302" i="4"/>
  <c r="M301" i="4"/>
  <c r="F301" i="4"/>
  <c r="B301" i="4"/>
  <c r="M300" i="4"/>
  <c r="F300" i="4"/>
  <c r="B300" i="4"/>
  <c r="M299" i="4"/>
  <c r="F299" i="4"/>
  <c r="B299" i="4"/>
  <c r="M298" i="4"/>
  <c r="F298" i="4"/>
  <c r="B298" i="4"/>
  <c r="M297" i="4"/>
  <c r="F297" i="4"/>
  <c r="B297" i="4"/>
  <c r="M296" i="4"/>
  <c r="F296" i="4"/>
  <c r="B296" i="4"/>
  <c r="M295" i="4"/>
  <c r="F295" i="4"/>
  <c r="B295" i="4"/>
  <c r="M294" i="4"/>
  <c r="F294" i="4"/>
  <c r="B294" i="4"/>
  <c r="M293" i="4"/>
  <c r="F293" i="4"/>
  <c r="B293" i="4"/>
  <c r="M292" i="4"/>
  <c r="F292" i="4"/>
  <c r="B292" i="4"/>
  <c r="M291" i="4"/>
  <c r="F291" i="4"/>
  <c r="B291" i="4"/>
  <c r="M290" i="4"/>
  <c r="F290" i="4"/>
  <c r="B290" i="4"/>
  <c r="M289" i="4"/>
  <c r="F289" i="4"/>
  <c r="B289" i="4"/>
  <c r="M288" i="4"/>
  <c r="F288" i="4"/>
  <c r="B288" i="4"/>
  <c r="M287" i="4"/>
  <c r="F287" i="4"/>
  <c r="B287" i="4"/>
  <c r="M286" i="4"/>
  <c r="F286" i="4"/>
  <c r="B286" i="4"/>
  <c r="M285" i="4"/>
  <c r="F285" i="4"/>
  <c r="B285" i="4"/>
  <c r="M284" i="4"/>
  <c r="F284" i="4"/>
  <c r="B284" i="4"/>
  <c r="M283" i="4"/>
  <c r="F283" i="4"/>
  <c r="B283" i="4"/>
  <c r="M282" i="4"/>
  <c r="F282" i="4"/>
  <c r="B282" i="4"/>
  <c r="M281" i="4"/>
  <c r="F281" i="4"/>
  <c r="B281" i="4"/>
  <c r="M280" i="4"/>
  <c r="F280" i="4"/>
  <c r="B280" i="4"/>
  <c r="M279" i="4"/>
  <c r="F279" i="4"/>
  <c r="B279" i="4"/>
  <c r="M278" i="4"/>
  <c r="F278" i="4"/>
  <c r="B278" i="4"/>
  <c r="M277" i="4"/>
  <c r="F277" i="4"/>
  <c r="B277" i="4"/>
  <c r="M276" i="4"/>
  <c r="F276" i="4"/>
  <c r="B276" i="4"/>
  <c r="M275" i="4"/>
  <c r="F275" i="4"/>
  <c r="B275" i="4"/>
  <c r="M274" i="4"/>
  <c r="F274" i="4"/>
  <c r="B274" i="4"/>
  <c r="M273" i="4"/>
  <c r="F273" i="4"/>
  <c r="B273" i="4"/>
  <c r="M272" i="4"/>
  <c r="F272" i="4"/>
  <c r="B272" i="4"/>
  <c r="M271" i="4"/>
  <c r="F271" i="4"/>
  <c r="B271" i="4"/>
  <c r="M270" i="4"/>
  <c r="F270" i="4"/>
  <c r="B270" i="4"/>
  <c r="M269" i="4"/>
  <c r="F269" i="4"/>
  <c r="B269" i="4"/>
  <c r="M268" i="4"/>
  <c r="F268" i="4"/>
  <c r="B268" i="4"/>
  <c r="M267" i="4"/>
  <c r="F267" i="4"/>
  <c r="B267" i="4"/>
  <c r="M266" i="4"/>
  <c r="F266" i="4"/>
  <c r="B266" i="4"/>
  <c r="M265" i="4"/>
  <c r="F265" i="4"/>
  <c r="B265" i="4"/>
  <c r="M264" i="4"/>
  <c r="F264" i="4"/>
  <c r="B264" i="4"/>
  <c r="M263" i="4"/>
  <c r="F263" i="4"/>
  <c r="B263" i="4"/>
  <c r="M262" i="4"/>
  <c r="F262" i="4"/>
  <c r="B262" i="4"/>
  <c r="M261" i="4"/>
  <c r="F261" i="4"/>
  <c r="B261" i="4"/>
  <c r="M260" i="4"/>
  <c r="F260" i="4"/>
  <c r="B260" i="4"/>
  <c r="M259" i="4"/>
  <c r="F259" i="4"/>
  <c r="B259" i="4"/>
  <c r="M258" i="4"/>
  <c r="F258" i="4"/>
  <c r="B258" i="4"/>
  <c r="M257" i="4"/>
  <c r="F257" i="4"/>
  <c r="B257" i="4"/>
  <c r="M256" i="4"/>
  <c r="F256" i="4"/>
  <c r="B256" i="4"/>
  <c r="M255" i="4"/>
  <c r="F255" i="4"/>
  <c r="B255" i="4"/>
  <c r="M254" i="4"/>
  <c r="F254" i="4"/>
  <c r="B254" i="4"/>
  <c r="M253" i="4"/>
  <c r="F253" i="4"/>
  <c r="B253" i="4"/>
  <c r="M252" i="4"/>
  <c r="F252" i="4"/>
  <c r="B252" i="4"/>
  <c r="M251" i="4"/>
  <c r="F251" i="4"/>
  <c r="B251" i="4"/>
  <c r="M250" i="4"/>
  <c r="F250" i="4"/>
  <c r="B250" i="4"/>
  <c r="M249" i="4"/>
  <c r="F249" i="4"/>
  <c r="B249" i="4"/>
  <c r="M248" i="4"/>
  <c r="F248" i="4"/>
  <c r="B248" i="4"/>
  <c r="M247" i="4"/>
  <c r="F247" i="4"/>
  <c r="B247" i="4"/>
  <c r="M246" i="4"/>
  <c r="F246" i="4"/>
  <c r="B246" i="4"/>
  <c r="M245" i="4"/>
  <c r="F245" i="4"/>
  <c r="B245" i="4"/>
  <c r="M244" i="4"/>
  <c r="F244" i="4"/>
  <c r="B244" i="4"/>
  <c r="M243" i="4"/>
  <c r="F243" i="4"/>
  <c r="B243" i="4"/>
  <c r="M242" i="4"/>
  <c r="F242" i="4"/>
  <c r="B242" i="4"/>
  <c r="M241" i="4"/>
  <c r="F241" i="4"/>
  <c r="B241" i="4"/>
  <c r="M240" i="4"/>
  <c r="F240" i="4"/>
  <c r="B240" i="4"/>
  <c r="M239" i="4"/>
  <c r="F239" i="4"/>
  <c r="B239" i="4"/>
  <c r="M238" i="4"/>
  <c r="F238" i="4"/>
  <c r="B238" i="4"/>
  <c r="M237" i="4"/>
  <c r="F237" i="4"/>
  <c r="B237" i="4"/>
  <c r="M236" i="4"/>
  <c r="F236" i="4"/>
  <c r="B236" i="4"/>
  <c r="M235" i="4"/>
  <c r="F235" i="4"/>
  <c r="B235" i="4"/>
  <c r="M234" i="4"/>
  <c r="F234" i="4"/>
  <c r="B234" i="4"/>
  <c r="M233" i="4"/>
  <c r="F233" i="4"/>
  <c r="B233" i="4"/>
  <c r="M232" i="4"/>
  <c r="F232" i="4"/>
  <c r="B232" i="4"/>
  <c r="M231" i="4"/>
  <c r="F231" i="4"/>
  <c r="B231" i="4"/>
  <c r="M230" i="4"/>
  <c r="F230" i="4"/>
  <c r="B230" i="4"/>
  <c r="M229" i="4"/>
  <c r="F229" i="4"/>
  <c r="B229" i="4"/>
  <c r="M228" i="4"/>
  <c r="F228" i="4"/>
  <c r="B228" i="4"/>
  <c r="M227" i="4"/>
  <c r="F227" i="4"/>
  <c r="B227" i="4"/>
  <c r="M226" i="4"/>
  <c r="F226" i="4"/>
  <c r="B226" i="4"/>
  <c r="M225" i="4"/>
  <c r="F225" i="4"/>
  <c r="B225" i="4"/>
  <c r="M224" i="4"/>
  <c r="F224" i="4"/>
  <c r="B224" i="4"/>
  <c r="M223" i="4"/>
  <c r="F223" i="4"/>
  <c r="B223" i="4"/>
  <c r="M222" i="4"/>
  <c r="F222" i="4"/>
  <c r="B222" i="4"/>
  <c r="M221" i="4"/>
  <c r="F221" i="4"/>
  <c r="B221" i="4"/>
  <c r="M220" i="4"/>
  <c r="F220" i="4"/>
  <c r="B220" i="4"/>
  <c r="M219" i="4"/>
  <c r="F219" i="4"/>
  <c r="B219" i="4"/>
  <c r="M218" i="4"/>
  <c r="F218" i="4"/>
  <c r="B218" i="4"/>
  <c r="M217" i="4"/>
  <c r="F217" i="4"/>
  <c r="B217" i="4"/>
  <c r="M216" i="4"/>
  <c r="F216" i="4"/>
  <c r="B216" i="4"/>
  <c r="M215" i="4"/>
  <c r="F215" i="4"/>
  <c r="B215" i="4"/>
  <c r="M214" i="4"/>
  <c r="F214" i="4"/>
  <c r="B214" i="4"/>
  <c r="M213" i="4"/>
  <c r="F213" i="4"/>
  <c r="B213" i="4"/>
  <c r="M212" i="4"/>
  <c r="F212" i="4"/>
  <c r="B212" i="4"/>
  <c r="M211" i="4"/>
  <c r="F211" i="4"/>
  <c r="B211" i="4"/>
  <c r="M210" i="4"/>
  <c r="F210" i="4"/>
  <c r="B210" i="4"/>
  <c r="M209" i="4"/>
  <c r="F209" i="4"/>
  <c r="B209" i="4"/>
  <c r="M208" i="4"/>
  <c r="F208" i="4"/>
  <c r="B208" i="4"/>
  <c r="M207" i="4"/>
  <c r="F207" i="4"/>
  <c r="B207" i="4"/>
  <c r="M206" i="4"/>
  <c r="F206" i="4"/>
  <c r="B206" i="4"/>
  <c r="M205" i="4"/>
  <c r="F205" i="4"/>
  <c r="B205" i="4"/>
  <c r="M204" i="4"/>
  <c r="F204" i="4"/>
  <c r="B204" i="4"/>
  <c r="M203" i="4"/>
  <c r="F203" i="4"/>
  <c r="B203" i="4"/>
  <c r="M202" i="4"/>
  <c r="F202" i="4"/>
  <c r="B202" i="4"/>
  <c r="M201" i="4"/>
  <c r="F201" i="4"/>
  <c r="B201" i="4"/>
  <c r="M200" i="4"/>
  <c r="F200" i="4"/>
  <c r="B200" i="4"/>
  <c r="M199" i="4"/>
  <c r="F199" i="4"/>
  <c r="B199" i="4"/>
  <c r="M198" i="4"/>
  <c r="F198" i="4"/>
  <c r="B198" i="4"/>
  <c r="M197" i="4"/>
  <c r="F197" i="4"/>
  <c r="B197" i="4"/>
  <c r="M196" i="4"/>
  <c r="F196" i="4"/>
  <c r="B196" i="4"/>
  <c r="M195" i="4"/>
  <c r="F195" i="4"/>
  <c r="B195" i="4"/>
  <c r="M194" i="4"/>
  <c r="F194" i="4"/>
  <c r="B194" i="4"/>
  <c r="M193" i="4"/>
  <c r="F193" i="4"/>
  <c r="B193" i="4"/>
  <c r="M192" i="4"/>
  <c r="F192" i="4"/>
  <c r="B192" i="4"/>
  <c r="M191" i="4"/>
  <c r="F191" i="4"/>
  <c r="B191" i="4"/>
  <c r="M190" i="4"/>
  <c r="F190" i="4"/>
  <c r="B190" i="4"/>
  <c r="M189" i="4"/>
  <c r="F189" i="4"/>
  <c r="B189" i="4"/>
  <c r="M188" i="4"/>
  <c r="F188" i="4"/>
  <c r="B188" i="4"/>
  <c r="M187" i="4"/>
  <c r="F187" i="4"/>
  <c r="B187" i="4"/>
  <c r="M186" i="4"/>
  <c r="F186" i="4"/>
  <c r="B186" i="4"/>
  <c r="M185" i="4"/>
  <c r="F185" i="4"/>
  <c r="B185" i="4"/>
  <c r="M184" i="4"/>
  <c r="F184" i="4"/>
  <c r="B184" i="4"/>
  <c r="M183" i="4"/>
  <c r="F183" i="4"/>
  <c r="B183" i="4"/>
  <c r="M182" i="4"/>
  <c r="F182" i="4"/>
  <c r="B182" i="4"/>
  <c r="M181" i="4"/>
  <c r="F181" i="4"/>
  <c r="B181" i="4"/>
  <c r="M180" i="4"/>
  <c r="F180" i="4"/>
  <c r="B180" i="4"/>
  <c r="M179" i="4"/>
  <c r="F179" i="4"/>
  <c r="B179" i="4"/>
  <c r="M178" i="4"/>
  <c r="F178" i="4"/>
  <c r="B178" i="4"/>
  <c r="M177" i="4"/>
  <c r="F177" i="4"/>
  <c r="B177" i="4"/>
  <c r="M176" i="4"/>
  <c r="F176" i="4"/>
  <c r="B176" i="4"/>
  <c r="M175" i="4"/>
  <c r="F175" i="4"/>
  <c r="B175" i="4"/>
  <c r="M174" i="4"/>
  <c r="F174" i="4"/>
  <c r="B174" i="4"/>
  <c r="M173" i="4"/>
  <c r="F173" i="4"/>
  <c r="B173" i="4"/>
  <c r="M172" i="4"/>
  <c r="F172" i="4"/>
  <c r="B172" i="4"/>
  <c r="M171" i="4"/>
  <c r="F171" i="4"/>
  <c r="B171" i="4"/>
  <c r="M170" i="4"/>
  <c r="F170" i="4"/>
  <c r="B170" i="4"/>
  <c r="M169" i="4"/>
  <c r="F169" i="4"/>
  <c r="B169" i="4"/>
  <c r="M168" i="4"/>
  <c r="F168" i="4"/>
  <c r="B168" i="4"/>
  <c r="M167" i="4"/>
  <c r="F167" i="4"/>
  <c r="B167" i="4"/>
  <c r="M166" i="4"/>
  <c r="F166" i="4"/>
  <c r="B166" i="4"/>
  <c r="M165" i="4"/>
  <c r="F165" i="4"/>
  <c r="B165" i="4"/>
  <c r="M164" i="4"/>
  <c r="F164" i="4"/>
  <c r="B164" i="4"/>
  <c r="M163" i="4"/>
  <c r="F163" i="4"/>
  <c r="B163" i="4"/>
  <c r="M162" i="4"/>
  <c r="F162" i="4"/>
  <c r="B162" i="4"/>
  <c r="M161" i="4"/>
  <c r="F161" i="4"/>
  <c r="B161" i="4"/>
  <c r="M160" i="4"/>
  <c r="F160" i="4"/>
  <c r="B160" i="4"/>
  <c r="M159" i="4"/>
  <c r="F159" i="4"/>
  <c r="B159" i="4"/>
  <c r="M158" i="4"/>
  <c r="F158" i="4"/>
  <c r="B158" i="4"/>
  <c r="M157" i="4"/>
  <c r="F157" i="4"/>
  <c r="B157" i="4"/>
  <c r="M156" i="4"/>
  <c r="F156" i="4"/>
  <c r="B156" i="4"/>
  <c r="M155" i="4"/>
  <c r="F155" i="4"/>
  <c r="B155" i="4"/>
  <c r="M154" i="4"/>
  <c r="F154" i="4"/>
  <c r="B154" i="4"/>
  <c r="M153" i="4"/>
  <c r="F153" i="4"/>
  <c r="B153" i="4"/>
  <c r="M152" i="4"/>
  <c r="F152" i="4"/>
  <c r="B152" i="4"/>
  <c r="M151" i="4"/>
  <c r="F151" i="4"/>
  <c r="B151" i="4"/>
  <c r="M150" i="4"/>
  <c r="F150" i="4"/>
  <c r="B150" i="4"/>
  <c r="M149" i="4"/>
  <c r="F149" i="4"/>
  <c r="B149" i="4"/>
  <c r="M148" i="4"/>
  <c r="F148" i="4"/>
  <c r="B148" i="4"/>
  <c r="M147" i="4"/>
  <c r="F147" i="4"/>
  <c r="B147" i="4"/>
  <c r="M146" i="4"/>
  <c r="F146" i="4"/>
  <c r="B146" i="4"/>
  <c r="M145" i="4"/>
  <c r="F145" i="4"/>
  <c r="B145" i="4"/>
  <c r="M144" i="4"/>
  <c r="F144" i="4"/>
  <c r="B144" i="4"/>
  <c r="M143" i="4"/>
  <c r="F143" i="4"/>
  <c r="B143" i="4"/>
  <c r="M142" i="4"/>
  <c r="F142" i="4"/>
  <c r="B142" i="4"/>
  <c r="M141" i="4"/>
  <c r="F141" i="4"/>
  <c r="B141" i="4"/>
  <c r="M140" i="4"/>
  <c r="F140" i="4"/>
  <c r="B140" i="4"/>
  <c r="M139" i="4"/>
  <c r="F139" i="4"/>
  <c r="B139" i="4"/>
  <c r="M138" i="4"/>
  <c r="F138" i="4"/>
  <c r="B138" i="4"/>
  <c r="M137" i="4"/>
  <c r="F137" i="4"/>
  <c r="B137" i="4"/>
  <c r="M136" i="4"/>
  <c r="F136" i="4"/>
  <c r="B136" i="4"/>
  <c r="M135" i="4"/>
  <c r="F135" i="4"/>
  <c r="B135" i="4"/>
  <c r="M134" i="4"/>
  <c r="F134" i="4"/>
  <c r="B134" i="4"/>
  <c r="M133" i="4"/>
  <c r="F133" i="4"/>
  <c r="B133" i="4"/>
  <c r="M132" i="4"/>
  <c r="F132" i="4"/>
  <c r="B132" i="4"/>
  <c r="M131" i="4"/>
  <c r="F131" i="4"/>
  <c r="B131" i="4"/>
  <c r="M130" i="4"/>
  <c r="F130" i="4"/>
  <c r="B130" i="4"/>
  <c r="M129" i="4"/>
  <c r="F129" i="4"/>
  <c r="B129" i="4"/>
  <c r="M128" i="4"/>
  <c r="F128" i="4"/>
  <c r="B128" i="4"/>
  <c r="M127" i="4"/>
  <c r="F127" i="4"/>
  <c r="B127" i="4"/>
  <c r="M126" i="4"/>
  <c r="F126" i="4"/>
  <c r="B126" i="4"/>
  <c r="M125" i="4"/>
  <c r="F125" i="4"/>
  <c r="B125" i="4"/>
  <c r="M124" i="4"/>
  <c r="F124" i="4"/>
  <c r="B124" i="4"/>
  <c r="M123" i="4"/>
  <c r="F123" i="4"/>
  <c r="B123" i="4"/>
  <c r="M122" i="4"/>
  <c r="F122" i="4"/>
  <c r="B122" i="4"/>
  <c r="M121" i="4"/>
  <c r="F121" i="4"/>
  <c r="B121" i="4"/>
  <c r="M120" i="4"/>
  <c r="F120" i="4"/>
  <c r="B120" i="4"/>
  <c r="M119" i="4"/>
  <c r="F119" i="4"/>
  <c r="B119" i="4"/>
  <c r="M118" i="4"/>
  <c r="F118" i="4"/>
  <c r="B118" i="4"/>
  <c r="M117" i="4"/>
  <c r="F117" i="4"/>
  <c r="B117" i="4"/>
  <c r="M116" i="4"/>
  <c r="F116" i="4"/>
  <c r="B116" i="4"/>
  <c r="M115" i="4"/>
  <c r="F115" i="4"/>
  <c r="B115" i="4"/>
  <c r="M114" i="4"/>
  <c r="F114" i="4"/>
  <c r="B114" i="4"/>
  <c r="M113" i="4"/>
  <c r="F113" i="4"/>
  <c r="B113" i="4"/>
  <c r="M112" i="4"/>
  <c r="F112" i="4"/>
  <c r="B112" i="4"/>
  <c r="M111" i="4"/>
  <c r="F111" i="4"/>
  <c r="B111" i="4"/>
  <c r="M110" i="4"/>
  <c r="F110" i="4"/>
  <c r="B110" i="4"/>
  <c r="M109" i="4"/>
  <c r="F109" i="4"/>
  <c r="B109" i="4"/>
  <c r="M108" i="4"/>
  <c r="F108" i="4"/>
  <c r="B108" i="4"/>
  <c r="M107" i="4"/>
  <c r="F107" i="4"/>
  <c r="B107" i="4"/>
  <c r="M106" i="4"/>
  <c r="F106" i="4"/>
  <c r="B106" i="4"/>
  <c r="M105" i="4"/>
  <c r="F105" i="4"/>
  <c r="B105" i="4"/>
  <c r="M104" i="4"/>
  <c r="F104" i="4"/>
  <c r="B104" i="4"/>
  <c r="M103" i="4"/>
  <c r="F103" i="4"/>
  <c r="B103" i="4"/>
  <c r="M102" i="4"/>
  <c r="F102" i="4"/>
  <c r="B102" i="4"/>
  <c r="M101" i="4"/>
  <c r="F101" i="4"/>
  <c r="B101" i="4"/>
  <c r="M100" i="4"/>
  <c r="F100" i="4"/>
  <c r="B100" i="4"/>
  <c r="M99" i="4"/>
  <c r="F99" i="4"/>
  <c r="B99" i="4"/>
  <c r="M98" i="4"/>
  <c r="F98" i="4"/>
  <c r="B98" i="4"/>
  <c r="M97" i="4"/>
  <c r="F97" i="4"/>
  <c r="B97" i="4"/>
  <c r="M96" i="4"/>
  <c r="F96" i="4"/>
  <c r="B96" i="4"/>
  <c r="M95" i="4"/>
  <c r="F95" i="4"/>
  <c r="B95" i="4"/>
  <c r="M94" i="4"/>
  <c r="F94" i="4"/>
  <c r="B94" i="4"/>
  <c r="M93" i="4"/>
  <c r="F93" i="4"/>
  <c r="B93" i="4"/>
  <c r="M92" i="4"/>
  <c r="F92" i="4"/>
  <c r="B92" i="4"/>
  <c r="M91" i="4"/>
  <c r="F91" i="4"/>
  <c r="B91" i="4"/>
  <c r="M90" i="4"/>
  <c r="F90" i="4"/>
  <c r="B90" i="4"/>
  <c r="M89" i="4"/>
  <c r="F89" i="4"/>
  <c r="B89" i="4"/>
  <c r="M88" i="4"/>
  <c r="F88" i="4"/>
  <c r="B88" i="4"/>
  <c r="M87" i="4"/>
  <c r="F87" i="4"/>
  <c r="B87" i="4"/>
  <c r="M86" i="4"/>
  <c r="F86" i="4"/>
  <c r="B86" i="4"/>
  <c r="M85" i="4"/>
  <c r="F85" i="4"/>
  <c r="B85" i="4"/>
  <c r="M84" i="4"/>
  <c r="F84" i="4"/>
  <c r="B84" i="4"/>
  <c r="M83" i="4"/>
  <c r="F83" i="4"/>
  <c r="B83" i="4"/>
  <c r="M82" i="4"/>
  <c r="F82" i="4"/>
  <c r="B82" i="4"/>
  <c r="M81" i="4"/>
  <c r="F81" i="4"/>
  <c r="B81" i="4"/>
  <c r="M80" i="4"/>
  <c r="F80" i="4"/>
  <c r="B80" i="4"/>
  <c r="M79" i="4"/>
  <c r="F79" i="4"/>
  <c r="B79" i="4"/>
  <c r="M78" i="4"/>
  <c r="F78" i="4"/>
  <c r="B78" i="4"/>
  <c r="M77" i="4"/>
  <c r="F77" i="4"/>
  <c r="B77" i="4"/>
  <c r="M76" i="4"/>
  <c r="F76" i="4"/>
  <c r="B76" i="4"/>
  <c r="M75" i="4"/>
  <c r="F75" i="4"/>
  <c r="B75" i="4"/>
  <c r="M74" i="4"/>
  <c r="F74" i="4"/>
  <c r="B74" i="4"/>
  <c r="M73" i="4"/>
  <c r="F73" i="4"/>
  <c r="B73" i="4"/>
  <c r="M72" i="4"/>
  <c r="F72" i="4"/>
  <c r="B72" i="4"/>
  <c r="M71" i="4"/>
  <c r="F71" i="4"/>
  <c r="B71" i="4"/>
  <c r="F70" i="4"/>
  <c r="M70" i="4" s="1"/>
  <c r="B70" i="4"/>
  <c r="M69" i="4"/>
  <c r="F69" i="4"/>
  <c r="B69" i="4"/>
  <c r="M68" i="4"/>
  <c r="F68" i="4"/>
  <c r="B68" i="4"/>
  <c r="F67" i="4"/>
  <c r="M67" i="4" s="1"/>
  <c r="B67" i="4"/>
  <c r="F66" i="4"/>
  <c r="M66" i="4" s="1"/>
  <c r="B66" i="4"/>
  <c r="M65" i="4"/>
  <c r="F65" i="4"/>
  <c r="B65" i="4"/>
  <c r="F64" i="4"/>
  <c r="M64" i="4" s="1"/>
  <c r="B64" i="4"/>
  <c r="M63" i="4"/>
  <c r="F63" i="4"/>
  <c r="B63" i="4"/>
  <c r="M62" i="4"/>
  <c r="F62" i="4"/>
  <c r="B62" i="4"/>
  <c r="F61" i="4"/>
  <c r="M61" i="4" s="1"/>
  <c r="B61" i="4"/>
  <c r="M60" i="4"/>
  <c r="F60" i="4"/>
  <c r="B60" i="4"/>
  <c r="M59" i="4"/>
  <c r="F59" i="4"/>
  <c r="B59" i="4"/>
  <c r="F58" i="4"/>
  <c r="M58" i="4" s="1"/>
  <c r="B58" i="4"/>
  <c r="M57" i="4"/>
  <c r="F57" i="4"/>
  <c r="B57" i="4"/>
  <c r="F56" i="4"/>
  <c r="M56" i="4" s="1"/>
  <c r="B56" i="4"/>
  <c r="F55" i="4"/>
  <c r="M55" i="4" s="1"/>
  <c r="B55" i="4"/>
  <c r="M54" i="4"/>
  <c r="F54" i="4"/>
  <c r="B54" i="4"/>
  <c r="F53" i="4"/>
  <c r="M53" i="4" s="1"/>
  <c r="B53" i="4"/>
  <c r="F52" i="4"/>
  <c r="M52" i="4" s="1"/>
  <c r="B52" i="4"/>
  <c r="M51" i="4"/>
  <c r="F51" i="4"/>
  <c r="B51" i="4"/>
  <c r="F50" i="4"/>
  <c r="M50" i="4" s="1"/>
  <c r="B50" i="4"/>
  <c r="M49" i="4"/>
  <c r="F49" i="4"/>
  <c r="B49" i="4"/>
  <c r="M48" i="4"/>
  <c r="F48" i="4"/>
  <c r="B48" i="4"/>
  <c r="F47" i="4"/>
  <c r="M47" i="4" s="1"/>
  <c r="B47" i="4"/>
  <c r="F46" i="4"/>
  <c r="M46" i="4" s="1"/>
  <c r="B46" i="4"/>
  <c r="M45" i="4"/>
  <c r="F45" i="4"/>
  <c r="B45" i="4"/>
  <c r="F44" i="4"/>
  <c r="M44" i="4" s="1"/>
  <c r="B44" i="4"/>
  <c r="M43" i="4"/>
  <c r="F43" i="4"/>
  <c r="B43" i="4"/>
  <c r="M42" i="4"/>
  <c r="F42" i="4"/>
  <c r="B42" i="4"/>
  <c r="F41" i="4"/>
  <c r="M41" i="4" s="1"/>
  <c r="B41" i="4"/>
  <c r="M40" i="4"/>
  <c r="F40" i="4"/>
  <c r="B40" i="4"/>
  <c r="M39" i="4"/>
  <c r="F39" i="4"/>
  <c r="B39" i="4"/>
  <c r="F38" i="4"/>
  <c r="M38" i="4" s="1"/>
  <c r="B38" i="4"/>
  <c r="M37" i="4"/>
  <c r="F37" i="4"/>
  <c r="B37" i="4"/>
  <c r="F36" i="4"/>
  <c r="M36" i="4" s="1"/>
  <c r="B36" i="4"/>
  <c r="F35" i="4"/>
  <c r="M35" i="4" s="1"/>
  <c r="B35" i="4"/>
  <c r="M34" i="4"/>
  <c r="F34" i="4"/>
  <c r="B34" i="4"/>
  <c r="F33" i="4"/>
  <c r="M33" i="4" s="1"/>
  <c r="B33" i="4"/>
  <c r="F32" i="4"/>
  <c r="M32" i="4" s="1"/>
  <c r="B32" i="4"/>
  <c r="M31" i="4"/>
  <c r="F31" i="4"/>
  <c r="B31" i="4"/>
  <c r="F30" i="4"/>
  <c r="M30" i="4" s="1"/>
  <c r="B30" i="4"/>
  <c r="M29" i="4"/>
  <c r="F29" i="4"/>
  <c r="B29" i="4"/>
  <c r="M28" i="4"/>
  <c r="F28" i="4"/>
  <c r="B28" i="4"/>
  <c r="F27" i="4"/>
  <c r="M27" i="4" s="1"/>
  <c r="B27" i="4"/>
  <c r="F26" i="4"/>
  <c r="M26" i="4" s="1"/>
  <c r="B26" i="4"/>
  <c r="M25" i="4"/>
  <c r="F25" i="4"/>
  <c r="B25" i="4"/>
  <c r="F24" i="4"/>
  <c r="M24" i="4" s="1"/>
  <c r="B24" i="4"/>
  <c r="M23" i="4"/>
  <c r="F23" i="4"/>
  <c r="B23" i="4"/>
  <c r="M22" i="4"/>
  <c r="F22" i="4"/>
  <c r="B22" i="4"/>
  <c r="F21" i="4"/>
  <c r="D51" i="1" s="1"/>
  <c r="B21" i="4"/>
  <c r="M20" i="4"/>
  <c r="F20" i="4"/>
  <c r="B20" i="4"/>
  <c r="M19" i="4"/>
  <c r="F19" i="4"/>
  <c r="B19" i="4"/>
  <c r="F18" i="4"/>
  <c r="M18" i="4" s="1"/>
  <c r="B18" i="4"/>
  <c r="M17" i="4"/>
  <c r="F17" i="4"/>
  <c r="B17" i="4"/>
  <c r="F16" i="4"/>
  <c r="M16" i="4" s="1"/>
  <c r="B16" i="4"/>
  <c r="F15" i="4"/>
  <c r="M15" i="4" s="1"/>
  <c r="B15" i="4"/>
  <c r="M14" i="4"/>
  <c r="F14" i="4"/>
  <c r="B14" i="4"/>
  <c r="F13" i="4"/>
  <c r="M13" i="4" s="1"/>
  <c r="B13" i="4"/>
  <c r="F12" i="4"/>
  <c r="D53" i="1" s="1"/>
  <c r="B12" i="4"/>
  <c r="M11" i="4"/>
  <c r="F11" i="4"/>
  <c r="B11" i="4"/>
  <c r="F10" i="4"/>
  <c r="M10" i="4" s="1"/>
  <c r="B10" i="4"/>
  <c r="M9" i="4"/>
  <c r="F9" i="4"/>
  <c r="B9" i="4"/>
  <c r="M8" i="4"/>
  <c r="F8" i="4"/>
  <c r="B8" i="4"/>
  <c r="F7" i="4"/>
  <c r="M7" i="4" s="1"/>
  <c r="B7" i="4"/>
  <c r="M2" i="4"/>
  <c r="M1" i="4"/>
  <c r="T206" i="3"/>
  <c r="S206" i="3"/>
  <c r="R206" i="3"/>
  <c r="O206" i="3"/>
  <c r="M206" i="3"/>
  <c r="N206" i="3" s="1"/>
  <c r="L206" i="3"/>
  <c r="I206" i="3"/>
  <c r="B206" i="3"/>
  <c r="S205" i="3"/>
  <c r="R205" i="3"/>
  <c r="O205" i="3"/>
  <c r="M205" i="3"/>
  <c r="T205" i="3" s="1"/>
  <c r="L205" i="3"/>
  <c r="I205" i="3"/>
  <c r="B205" i="3"/>
  <c r="S204" i="3"/>
  <c r="R204" i="3"/>
  <c r="O204" i="3"/>
  <c r="M204" i="3"/>
  <c r="N204" i="3" s="1"/>
  <c r="L204" i="3"/>
  <c r="I204" i="3"/>
  <c r="B204" i="3"/>
  <c r="T203" i="3"/>
  <c r="S203" i="3"/>
  <c r="R203" i="3"/>
  <c r="O203" i="3"/>
  <c r="M203" i="3"/>
  <c r="N203" i="3" s="1"/>
  <c r="L203" i="3"/>
  <c r="I203" i="3"/>
  <c r="B203" i="3"/>
  <c r="S202" i="3"/>
  <c r="R202" i="3"/>
  <c r="M202" i="3" s="1"/>
  <c r="O202" i="3"/>
  <c r="L202" i="3"/>
  <c r="I202" i="3"/>
  <c r="B202" i="3"/>
  <c r="S201" i="3"/>
  <c r="R201" i="3"/>
  <c r="M201" i="3" s="1"/>
  <c r="O201" i="3"/>
  <c r="L201" i="3"/>
  <c r="I201" i="3"/>
  <c r="B201" i="3"/>
  <c r="S200" i="3"/>
  <c r="R200" i="3"/>
  <c r="O200" i="3"/>
  <c r="M200" i="3"/>
  <c r="T200" i="3" s="1"/>
  <c r="L200" i="3"/>
  <c r="I200" i="3"/>
  <c r="B200" i="3"/>
  <c r="S199" i="3"/>
  <c r="R199" i="3"/>
  <c r="M199" i="3" s="1"/>
  <c r="O199" i="3"/>
  <c r="L199" i="3"/>
  <c r="I199" i="3"/>
  <c r="B199" i="3"/>
  <c r="S198" i="3"/>
  <c r="R198" i="3"/>
  <c r="M198" i="3" s="1"/>
  <c r="O198" i="3"/>
  <c r="L198" i="3"/>
  <c r="I198" i="3"/>
  <c r="B198" i="3"/>
  <c r="S197" i="3"/>
  <c r="R197" i="3"/>
  <c r="M197" i="3" s="1"/>
  <c r="O197" i="3"/>
  <c r="L197" i="3"/>
  <c r="I197" i="3"/>
  <c r="B197" i="3"/>
  <c r="S196" i="3"/>
  <c r="R196" i="3"/>
  <c r="M196" i="3" s="1"/>
  <c r="O196" i="3"/>
  <c r="L196" i="3"/>
  <c r="I196" i="3"/>
  <c r="B196" i="3"/>
  <c r="S195" i="3"/>
  <c r="R195" i="3"/>
  <c r="M195" i="3" s="1"/>
  <c r="O195" i="3"/>
  <c r="L195" i="3"/>
  <c r="I195" i="3"/>
  <c r="B195" i="3"/>
  <c r="S194" i="3"/>
  <c r="R194" i="3"/>
  <c r="M194" i="3" s="1"/>
  <c r="O194" i="3"/>
  <c r="L194" i="3"/>
  <c r="I194" i="3"/>
  <c r="B194" i="3"/>
  <c r="S193" i="3"/>
  <c r="R193" i="3"/>
  <c r="M193" i="3" s="1"/>
  <c r="O193" i="3"/>
  <c r="L193" i="3"/>
  <c r="I193" i="3"/>
  <c r="B193" i="3"/>
  <c r="S192" i="3"/>
  <c r="R192" i="3"/>
  <c r="M192" i="3" s="1"/>
  <c r="O192" i="3"/>
  <c r="L192" i="3"/>
  <c r="I192" i="3"/>
  <c r="B192" i="3"/>
  <c r="S191" i="3"/>
  <c r="R191" i="3"/>
  <c r="O191" i="3"/>
  <c r="N191" i="3"/>
  <c r="M191" i="3"/>
  <c r="T191" i="3" s="1"/>
  <c r="L191" i="3"/>
  <c r="I191" i="3"/>
  <c r="B191" i="3"/>
  <c r="S190" i="3"/>
  <c r="R190" i="3"/>
  <c r="O190" i="3"/>
  <c r="M190" i="3"/>
  <c r="T190" i="3" s="1"/>
  <c r="L190" i="3"/>
  <c r="I190" i="3"/>
  <c r="B190" i="3"/>
  <c r="S189" i="3"/>
  <c r="R189" i="3"/>
  <c r="O189" i="3"/>
  <c r="M189" i="3"/>
  <c r="T189" i="3" s="1"/>
  <c r="L189" i="3"/>
  <c r="I189" i="3"/>
  <c r="B189" i="3"/>
  <c r="S188" i="3"/>
  <c r="R188" i="3"/>
  <c r="O188" i="3"/>
  <c r="M188" i="3"/>
  <c r="T188" i="3" s="1"/>
  <c r="L188" i="3"/>
  <c r="I188" i="3"/>
  <c r="B188" i="3"/>
  <c r="S187" i="3"/>
  <c r="R187" i="3"/>
  <c r="O187" i="3"/>
  <c r="M187" i="3"/>
  <c r="T187" i="3" s="1"/>
  <c r="L187" i="3"/>
  <c r="I187" i="3"/>
  <c r="B187" i="3"/>
  <c r="T186" i="3"/>
  <c r="S186" i="3"/>
  <c r="R186" i="3"/>
  <c r="O186" i="3"/>
  <c r="M186" i="3"/>
  <c r="N186" i="3" s="1"/>
  <c r="L186" i="3"/>
  <c r="I186" i="3"/>
  <c r="B186" i="3"/>
  <c r="S185" i="3"/>
  <c r="R185" i="3"/>
  <c r="O185" i="3"/>
  <c r="M185" i="3"/>
  <c r="T185" i="3" s="1"/>
  <c r="L185" i="3"/>
  <c r="I185" i="3"/>
  <c r="B185" i="3"/>
  <c r="S184" i="3"/>
  <c r="R184" i="3"/>
  <c r="O184" i="3"/>
  <c r="M184" i="3"/>
  <c r="N184" i="3" s="1"/>
  <c r="L184" i="3"/>
  <c r="I184" i="3"/>
  <c r="B184" i="3"/>
  <c r="T183" i="3"/>
  <c r="S183" i="3"/>
  <c r="R183" i="3"/>
  <c r="O183" i="3"/>
  <c r="M183" i="3"/>
  <c r="N183" i="3" s="1"/>
  <c r="L183" i="3"/>
  <c r="I183" i="3"/>
  <c r="B183" i="3"/>
  <c r="S182" i="3"/>
  <c r="R182" i="3"/>
  <c r="M182" i="3" s="1"/>
  <c r="O182" i="3"/>
  <c r="L182" i="3"/>
  <c r="I182" i="3"/>
  <c r="B182" i="3"/>
  <c r="S181" i="3"/>
  <c r="R181" i="3"/>
  <c r="M181" i="3" s="1"/>
  <c r="O181" i="3"/>
  <c r="L181" i="3"/>
  <c r="I181" i="3"/>
  <c r="B181" i="3"/>
  <c r="S180" i="3"/>
  <c r="R180" i="3"/>
  <c r="O180" i="3"/>
  <c r="M180" i="3"/>
  <c r="T180" i="3" s="1"/>
  <c r="L180" i="3"/>
  <c r="I180" i="3"/>
  <c r="B180" i="3"/>
  <c r="S179" i="3"/>
  <c r="R179" i="3"/>
  <c r="M179" i="3" s="1"/>
  <c r="O179" i="3"/>
  <c r="L179" i="3"/>
  <c r="I179" i="3"/>
  <c r="B179" i="3"/>
  <c r="S178" i="3"/>
  <c r="R178" i="3"/>
  <c r="M178" i="3" s="1"/>
  <c r="O178" i="3"/>
  <c r="L178" i="3"/>
  <c r="I178" i="3"/>
  <c r="B178" i="3"/>
  <c r="S177" i="3"/>
  <c r="R177" i="3"/>
  <c r="M177" i="3" s="1"/>
  <c r="O177" i="3"/>
  <c r="L177" i="3"/>
  <c r="I177" i="3"/>
  <c r="B177" i="3"/>
  <c r="S176" i="3"/>
  <c r="R176" i="3"/>
  <c r="M176" i="3" s="1"/>
  <c r="O176" i="3"/>
  <c r="L176" i="3"/>
  <c r="I176" i="3"/>
  <c r="B176" i="3"/>
  <c r="S175" i="3"/>
  <c r="R175" i="3"/>
  <c r="M175" i="3" s="1"/>
  <c r="O175" i="3"/>
  <c r="L175" i="3"/>
  <c r="I175" i="3"/>
  <c r="B175" i="3"/>
  <c r="S174" i="3"/>
  <c r="R174" i="3"/>
  <c r="M174" i="3" s="1"/>
  <c r="O174" i="3"/>
  <c r="L174" i="3"/>
  <c r="I174" i="3"/>
  <c r="B174" i="3"/>
  <c r="S173" i="3"/>
  <c r="R173" i="3"/>
  <c r="M173" i="3" s="1"/>
  <c r="O173" i="3"/>
  <c r="L173" i="3"/>
  <c r="I173" i="3"/>
  <c r="B173" i="3"/>
  <c r="S172" i="3"/>
  <c r="R172" i="3"/>
  <c r="M172" i="3" s="1"/>
  <c r="O172" i="3"/>
  <c r="L172" i="3"/>
  <c r="I172" i="3"/>
  <c r="B172" i="3"/>
  <c r="S171" i="3"/>
  <c r="R171" i="3"/>
  <c r="O171" i="3"/>
  <c r="N171" i="3"/>
  <c r="M171" i="3"/>
  <c r="T171" i="3" s="1"/>
  <c r="L171" i="3"/>
  <c r="I171" i="3"/>
  <c r="B171" i="3"/>
  <c r="S170" i="3"/>
  <c r="R170" i="3"/>
  <c r="O170" i="3"/>
  <c r="M170" i="3"/>
  <c r="T170" i="3" s="1"/>
  <c r="L170" i="3"/>
  <c r="I170" i="3"/>
  <c r="B170" i="3"/>
  <c r="S169" i="3"/>
  <c r="R169" i="3"/>
  <c r="O169" i="3"/>
  <c r="M169" i="3"/>
  <c r="T169" i="3" s="1"/>
  <c r="L169" i="3"/>
  <c r="I169" i="3"/>
  <c r="B169" i="3"/>
  <c r="S168" i="3"/>
  <c r="R168" i="3"/>
  <c r="O168" i="3"/>
  <c r="M168" i="3"/>
  <c r="T168" i="3" s="1"/>
  <c r="L168" i="3"/>
  <c r="I168" i="3"/>
  <c r="B168" i="3"/>
  <c r="S167" i="3"/>
  <c r="R167" i="3"/>
  <c r="O167" i="3"/>
  <c r="M167" i="3"/>
  <c r="T167" i="3" s="1"/>
  <c r="L167" i="3"/>
  <c r="I167" i="3"/>
  <c r="B167" i="3"/>
  <c r="T166" i="3"/>
  <c r="S166" i="3"/>
  <c r="R166" i="3"/>
  <c r="O166" i="3"/>
  <c r="M166" i="3"/>
  <c r="N166" i="3" s="1"/>
  <c r="L166" i="3"/>
  <c r="I166" i="3"/>
  <c r="B166" i="3"/>
  <c r="S165" i="3"/>
  <c r="R165" i="3"/>
  <c r="O165" i="3"/>
  <c r="M165" i="3"/>
  <c r="T165" i="3" s="1"/>
  <c r="L165" i="3"/>
  <c r="I165" i="3"/>
  <c r="B165" i="3"/>
  <c r="S164" i="3"/>
  <c r="R164" i="3"/>
  <c r="O164" i="3"/>
  <c r="M164" i="3"/>
  <c r="N164" i="3" s="1"/>
  <c r="L164" i="3"/>
  <c r="I164" i="3"/>
  <c r="B164" i="3"/>
  <c r="T163" i="3"/>
  <c r="S163" i="3"/>
  <c r="R163" i="3"/>
  <c r="O163" i="3"/>
  <c r="M163" i="3"/>
  <c r="N163" i="3" s="1"/>
  <c r="L163" i="3"/>
  <c r="I163" i="3"/>
  <c r="B163" i="3"/>
  <c r="S162" i="3"/>
  <c r="R162" i="3"/>
  <c r="M162" i="3" s="1"/>
  <c r="O162" i="3"/>
  <c r="L162" i="3"/>
  <c r="I162" i="3"/>
  <c r="B162" i="3"/>
  <c r="S161" i="3"/>
  <c r="R161" i="3"/>
  <c r="M161" i="3" s="1"/>
  <c r="O161" i="3"/>
  <c r="L161" i="3"/>
  <c r="I161" i="3"/>
  <c r="B161" i="3"/>
  <c r="S160" i="3"/>
  <c r="R160" i="3"/>
  <c r="O160" i="3"/>
  <c r="M160" i="3"/>
  <c r="T160" i="3" s="1"/>
  <c r="L160" i="3"/>
  <c r="I160" i="3"/>
  <c r="B160" i="3"/>
  <c r="S159" i="3"/>
  <c r="R159" i="3"/>
  <c r="M159" i="3" s="1"/>
  <c r="O159" i="3"/>
  <c r="L159" i="3"/>
  <c r="I159" i="3"/>
  <c r="B159" i="3"/>
  <c r="S158" i="3"/>
  <c r="R158" i="3"/>
  <c r="M158" i="3" s="1"/>
  <c r="O158" i="3"/>
  <c r="L158" i="3"/>
  <c r="I158" i="3"/>
  <c r="B158" i="3"/>
  <c r="S157" i="3"/>
  <c r="R157" i="3"/>
  <c r="M157" i="3" s="1"/>
  <c r="O157" i="3"/>
  <c r="L157" i="3"/>
  <c r="I157" i="3"/>
  <c r="B157" i="3"/>
  <c r="S156" i="3"/>
  <c r="R156" i="3"/>
  <c r="M156" i="3" s="1"/>
  <c r="O156" i="3"/>
  <c r="L156" i="3"/>
  <c r="I156" i="3"/>
  <c r="B156" i="3"/>
  <c r="S155" i="3"/>
  <c r="R155" i="3"/>
  <c r="M155" i="3" s="1"/>
  <c r="O155" i="3"/>
  <c r="L155" i="3"/>
  <c r="I155" i="3"/>
  <c r="B155" i="3"/>
  <c r="T154" i="3"/>
  <c r="S154" i="3"/>
  <c r="R154" i="3"/>
  <c r="O154" i="3"/>
  <c r="N154" i="3"/>
  <c r="M154" i="3"/>
  <c r="L154" i="3"/>
  <c r="I154" i="3"/>
  <c r="B154" i="3"/>
  <c r="S153" i="3"/>
  <c r="R153" i="3"/>
  <c r="M153" i="3" s="1"/>
  <c r="O153" i="3"/>
  <c r="L153" i="3"/>
  <c r="I153" i="3"/>
  <c r="B153" i="3"/>
  <c r="S152" i="3"/>
  <c r="R152" i="3"/>
  <c r="M152" i="3" s="1"/>
  <c r="O152" i="3"/>
  <c r="L152" i="3"/>
  <c r="I152" i="3"/>
  <c r="B152" i="3"/>
  <c r="S151" i="3"/>
  <c r="R151" i="3"/>
  <c r="O151" i="3"/>
  <c r="N151" i="3"/>
  <c r="M151" i="3"/>
  <c r="T151" i="3" s="1"/>
  <c r="L151" i="3"/>
  <c r="I151" i="3"/>
  <c r="B151" i="3"/>
  <c r="S150" i="3"/>
  <c r="R150" i="3"/>
  <c r="O150" i="3"/>
  <c r="M150" i="3"/>
  <c r="T150" i="3" s="1"/>
  <c r="L150" i="3"/>
  <c r="I150" i="3"/>
  <c r="B150" i="3"/>
  <c r="S149" i="3"/>
  <c r="R149" i="3"/>
  <c r="O149" i="3"/>
  <c r="M149" i="3"/>
  <c r="T149" i="3" s="1"/>
  <c r="L149" i="3"/>
  <c r="I149" i="3"/>
  <c r="B149" i="3"/>
  <c r="S148" i="3"/>
  <c r="R148" i="3"/>
  <c r="O148" i="3"/>
  <c r="M148" i="3"/>
  <c r="T148" i="3" s="1"/>
  <c r="L148" i="3"/>
  <c r="I148" i="3"/>
  <c r="B148" i="3"/>
  <c r="S147" i="3"/>
  <c r="R147" i="3"/>
  <c r="O147" i="3"/>
  <c r="M147" i="3"/>
  <c r="T147" i="3" s="1"/>
  <c r="L147" i="3"/>
  <c r="I147" i="3"/>
  <c r="B147" i="3"/>
  <c r="T146" i="3"/>
  <c r="S146" i="3"/>
  <c r="R146" i="3"/>
  <c r="O146" i="3"/>
  <c r="M146" i="3"/>
  <c r="N146" i="3" s="1"/>
  <c r="L146" i="3"/>
  <c r="I146" i="3"/>
  <c r="B146" i="3"/>
  <c r="S145" i="3"/>
  <c r="R145" i="3"/>
  <c r="O145" i="3"/>
  <c r="M145" i="3"/>
  <c r="T145" i="3" s="1"/>
  <c r="L145" i="3"/>
  <c r="I145" i="3"/>
  <c r="B145" i="3"/>
  <c r="S144" i="3"/>
  <c r="R144" i="3"/>
  <c r="O144" i="3"/>
  <c r="M144" i="3"/>
  <c r="N144" i="3" s="1"/>
  <c r="L144" i="3"/>
  <c r="I144" i="3"/>
  <c r="B144" i="3"/>
  <c r="T143" i="3"/>
  <c r="S143" i="3"/>
  <c r="R143" i="3"/>
  <c r="O143" i="3"/>
  <c r="M143" i="3"/>
  <c r="N143" i="3" s="1"/>
  <c r="L143" i="3"/>
  <c r="I143" i="3"/>
  <c r="B143" i="3"/>
  <c r="S142" i="3"/>
  <c r="R142" i="3"/>
  <c r="M142" i="3" s="1"/>
  <c r="O142" i="3"/>
  <c r="L142" i="3"/>
  <c r="I142" i="3"/>
  <c r="B142" i="3"/>
  <c r="S141" i="3"/>
  <c r="R141" i="3"/>
  <c r="M141" i="3" s="1"/>
  <c r="O141" i="3"/>
  <c r="L141" i="3"/>
  <c r="I141" i="3"/>
  <c r="B141" i="3"/>
  <c r="S140" i="3"/>
  <c r="R140" i="3"/>
  <c r="O140" i="3"/>
  <c r="M140" i="3"/>
  <c r="T140" i="3" s="1"/>
  <c r="L140" i="3"/>
  <c r="I140" i="3"/>
  <c r="B140" i="3"/>
  <c r="S139" i="3"/>
  <c r="R139" i="3"/>
  <c r="M139" i="3" s="1"/>
  <c r="O139" i="3"/>
  <c r="L139" i="3"/>
  <c r="I139" i="3"/>
  <c r="B139" i="3"/>
  <c r="S138" i="3"/>
  <c r="R138" i="3"/>
  <c r="M138" i="3" s="1"/>
  <c r="O138" i="3"/>
  <c r="L138" i="3"/>
  <c r="I138" i="3"/>
  <c r="B138" i="3"/>
  <c r="S137" i="3"/>
  <c r="R137" i="3"/>
  <c r="M137" i="3" s="1"/>
  <c r="O137" i="3"/>
  <c r="L137" i="3"/>
  <c r="I137" i="3"/>
  <c r="B137" i="3"/>
  <c r="S136" i="3"/>
  <c r="R136" i="3"/>
  <c r="M136" i="3" s="1"/>
  <c r="O136" i="3"/>
  <c r="L136" i="3"/>
  <c r="I136" i="3"/>
  <c r="B136" i="3"/>
  <c r="S135" i="3"/>
  <c r="R135" i="3"/>
  <c r="M135" i="3" s="1"/>
  <c r="O135" i="3"/>
  <c r="L135" i="3"/>
  <c r="I135" i="3"/>
  <c r="B135" i="3"/>
  <c r="T134" i="3"/>
  <c r="S134" i="3"/>
  <c r="R134" i="3"/>
  <c r="O134" i="3"/>
  <c r="N134" i="3"/>
  <c r="M134" i="3"/>
  <c r="L134" i="3"/>
  <c r="I134" i="3"/>
  <c r="B134" i="3"/>
  <c r="S133" i="3"/>
  <c r="R133" i="3"/>
  <c r="M133" i="3" s="1"/>
  <c r="O133" i="3"/>
  <c r="L133" i="3"/>
  <c r="I133" i="3"/>
  <c r="B133" i="3"/>
  <c r="S132" i="3"/>
  <c r="R132" i="3"/>
  <c r="M132" i="3" s="1"/>
  <c r="O132" i="3"/>
  <c r="L132" i="3"/>
  <c r="I132" i="3"/>
  <c r="B132" i="3"/>
  <c r="S131" i="3"/>
  <c r="R131" i="3"/>
  <c r="O131" i="3"/>
  <c r="N131" i="3"/>
  <c r="M131" i="3"/>
  <c r="T131" i="3" s="1"/>
  <c r="L131" i="3"/>
  <c r="I131" i="3"/>
  <c r="B131" i="3"/>
  <c r="S130" i="3"/>
  <c r="R130" i="3"/>
  <c r="O130" i="3"/>
  <c r="M130" i="3"/>
  <c r="T130" i="3" s="1"/>
  <c r="L130" i="3"/>
  <c r="I130" i="3"/>
  <c r="B130" i="3"/>
  <c r="S129" i="3"/>
  <c r="R129" i="3"/>
  <c r="O129" i="3"/>
  <c r="M129" i="3"/>
  <c r="T129" i="3" s="1"/>
  <c r="L129" i="3"/>
  <c r="I129" i="3"/>
  <c r="B129" i="3"/>
  <c r="S128" i="3"/>
  <c r="R128" i="3"/>
  <c r="O128" i="3"/>
  <c r="M128" i="3"/>
  <c r="T128" i="3" s="1"/>
  <c r="L128" i="3"/>
  <c r="I128" i="3"/>
  <c r="B128" i="3"/>
  <c r="S127" i="3"/>
  <c r="R127" i="3"/>
  <c r="O127" i="3"/>
  <c r="M127" i="3"/>
  <c r="T127" i="3" s="1"/>
  <c r="L127" i="3"/>
  <c r="I127" i="3"/>
  <c r="B127" i="3"/>
  <c r="T126" i="3"/>
  <c r="S126" i="3"/>
  <c r="R126" i="3"/>
  <c r="O126" i="3"/>
  <c r="M126" i="3"/>
  <c r="N126" i="3" s="1"/>
  <c r="L126" i="3"/>
  <c r="I126" i="3"/>
  <c r="B126" i="3"/>
  <c r="S125" i="3"/>
  <c r="R125" i="3"/>
  <c r="O125" i="3"/>
  <c r="M125" i="3"/>
  <c r="T125" i="3" s="1"/>
  <c r="L125" i="3"/>
  <c r="I125" i="3"/>
  <c r="B125" i="3"/>
  <c r="S124" i="3"/>
  <c r="R124" i="3"/>
  <c r="O124" i="3"/>
  <c r="M124" i="3"/>
  <c r="N124" i="3" s="1"/>
  <c r="L124" i="3"/>
  <c r="I124" i="3"/>
  <c r="B124" i="3"/>
  <c r="T123" i="3"/>
  <c r="S123" i="3"/>
  <c r="R123" i="3"/>
  <c r="O123" i="3"/>
  <c r="M123" i="3"/>
  <c r="N123" i="3" s="1"/>
  <c r="L123" i="3"/>
  <c r="I123" i="3"/>
  <c r="B123" i="3"/>
  <c r="S122" i="3"/>
  <c r="R122" i="3"/>
  <c r="O122" i="3"/>
  <c r="M122" i="3"/>
  <c r="T122" i="3" s="1"/>
  <c r="L122" i="3"/>
  <c r="I122" i="3"/>
  <c r="B122" i="3"/>
  <c r="S121" i="3"/>
  <c r="R121" i="3"/>
  <c r="M121" i="3" s="1"/>
  <c r="O121" i="3"/>
  <c r="L121" i="3"/>
  <c r="I121" i="3"/>
  <c r="B121" i="3"/>
  <c r="S120" i="3"/>
  <c r="R120" i="3"/>
  <c r="O120" i="3"/>
  <c r="M120" i="3"/>
  <c r="T120" i="3" s="1"/>
  <c r="L120" i="3"/>
  <c r="I120" i="3"/>
  <c r="B120" i="3"/>
  <c r="S119" i="3"/>
  <c r="R119" i="3"/>
  <c r="M119" i="3" s="1"/>
  <c r="O119" i="3"/>
  <c r="L119" i="3"/>
  <c r="I119" i="3"/>
  <c r="B119" i="3"/>
  <c r="S118" i="3"/>
  <c r="R118" i="3"/>
  <c r="M118" i="3" s="1"/>
  <c r="O118" i="3"/>
  <c r="L118" i="3"/>
  <c r="I118" i="3"/>
  <c r="B118" i="3"/>
  <c r="S117" i="3"/>
  <c r="R117" i="3"/>
  <c r="M117" i="3" s="1"/>
  <c r="O117" i="3"/>
  <c r="L117" i="3"/>
  <c r="I117" i="3"/>
  <c r="B117" i="3"/>
  <c r="S116" i="3"/>
  <c r="R116" i="3"/>
  <c r="M116" i="3" s="1"/>
  <c r="O116" i="3"/>
  <c r="L116" i="3"/>
  <c r="I116" i="3"/>
  <c r="B116" i="3"/>
  <c r="S115" i="3"/>
  <c r="R115" i="3"/>
  <c r="M115" i="3" s="1"/>
  <c r="O115" i="3"/>
  <c r="L115" i="3"/>
  <c r="I115" i="3"/>
  <c r="B115" i="3"/>
  <c r="T114" i="3"/>
  <c r="S114" i="3"/>
  <c r="R114" i="3"/>
  <c r="O114" i="3"/>
  <c r="N114" i="3"/>
  <c r="M114" i="3"/>
  <c r="L114" i="3"/>
  <c r="I114" i="3"/>
  <c r="B114" i="3"/>
  <c r="S113" i="3"/>
  <c r="R113" i="3"/>
  <c r="M113" i="3" s="1"/>
  <c r="O113" i="3"/>
  <c r="L113" i="3"/>
  <c r="I113" i="3"/>
  <c r="B113" i="3"/>
  <c r="S112" i="3"/>
  <c r="R112" i="3"/>
  <c r="M112" i="3" s="1"/>
  <c r="O112" i="3"/>
  <c r="L112" i="3"/>
  <c r="I112" i="3"/>
  <c r="B112" i="3"/>
  <c r="S111" i="3"/>
  <c r="R111" i="3"/>
  <c r="O111" i="3"/>
  <c r="N111" i="3"/>
  <c r="M111" i="3"/>
  <c r="T111" i="3" s="1"/>
  <c r="L111" i="3"/>
  <c r="I111" i="3"/>
  <c r="B111" i="3"/>
  <c r="S110" i="3"/>
  <c r="R110" i="3"/>
  <c r="O110" i="3"/>
  <c r="M110" i="3"/>
  <c r="T110" i="3" s="1"/>
  <c r="L110" i="3"/>
  <c r="I110" i="3"/>
  <c r="B110" i="3"/>
  <c r="S109" i="3"/>
  <c r="R109" i="3"/>
  <c r="O109" i="3"/>
  <c r="M109" i="3"/>
  <c r="T109" i="3" s="1"/>
  <c r="L109" i="3"/>
  <c r="I109" i="3"/>
  <c r="B109" i="3"/>
  <c r="S108" i="3"/>
  <c r="R108" i="3"/>
  <c r="O108" i="3"/>
  <c r="M108" i="3"/>
  <c r="T108" i="3" s="1"/>
  <c r="L108" i="3"/>
  <c r="I108" i="3"/>
  <c r="B108" i="3"/>
  <c r="S107" i="3"/>
  <c r="R107" i="3"/>
  <c r="O107" i="3"/>
  <c r="M107" i="3"/>
  <c r="T107" i="3" s="1"/>
  <c r="L107" i="3"/>
  <c r="I107" i="3"/>
  <c r="B107" i="3"/>
  <c r="T106" i="3"/>
  <c r="S106" i="3"/>
  <c r="R106" i="3"/>
  <c r="O106" i="3"/>
  <c r="M106" i="3"/>
  <c r="N106" i="3" s="1"/>
  <c r="L106" i="3"/>
  <c r="I106" i="3"/>
  <c r="B106" i="3"/>
  <c r="S105" i="3"/>
  <c r="R105" i="3"/>
  <c r="O105" i="3"/>
  <c r="M105" i="3"/>
  <c r="T105" i="3" s="1"/>
  <c r="L105" i="3"/>
  <c r="I105" i="3"/>
  <c r="B105" i="3"/>
  <c r="S104" i="3"/>
  <c r="R104" i="3"/>
  <c r="O104" i="3"/>
  <c r="M104" i="3"/>
  <c r="N104" i="3" s="1"/>
  <c r="L104" i="3"/>
  <c r="I104" i="3"/>
  <c r="B104" i="3"/>
  <c r="T103" i="3"/>
  <c r="S103" i="3"/>
  <c r="R103" i="3"/>
  <c r="O103" i="3"/>
  <c r="M103" i="3"/>
  <c r="N103" i="3" s="1"/>
  <c r="L103" i="3"/>
  <c r="I103" i="3"/>
  <c r="B103" i="3"/>
  <c r="S102" i="3"/>
  <c r="R102" i="3"/>
  <c r="O102" i="3"/>
  <c r="M102" i="3"/>
  <c r="T102" i="3" s="1"/>
  <c r="L102" i="3"/>
  <c r="I102" i="3"/>
  <c r="B102" i="3"/>
  <c r="S101" i="3"/>
  <c r="R101" i="3"/>
  <c r="M101" i="3" s="1"/>
  <c r="O101" i="3"/>
  <c r="L101" i="3"/>
  <c r="I101" i="3"/>
  <c r="B101" i="3"/>
  <c r="S100" i="3"/>
  <c r="R100" i="3"/>
  <c r="O100" i="3"/>
  <c r="M100" i="3"/>
  <c r="T100" i="3" s="1"/>
  <c r="L100" i="3"/>
  <c r="I100" i="3"/>
  <c r="B100" i="3"/>
  <c r="S99" i="3"/>
  <c r="R99" i="3"/>
  <c r="M99" i="3" s="1"/>
  <c r="O99" i="3"/>
  <c r="L99" i="3"/>
  <c r="I99" i="3"/>
  <c r="B99" i="3"/>
  <c r="S98" i="3"/>
  <c r="R98" i="3"/>
  <c r="M98" i="3" s="1"/>
  <c r="O98" i="3"/>
  <c r="L98" i="3"/>
  <c r="I98" i="3"/>
  <c r="B98" i="3"/>
  <c r="S97" i="3"/>
  <c r="R97" i="3"/>
  <c r="M97" i="3" s="1"/>
  <c r="O97" i="3"/>
  <c r="L97" i="3"/>
  <c r="I97" i="3"/>
  <c r="B97" i="3"/>
  <c r="S96" i="3"/>
  <c r="R96" i="3"/>
  <c r="M96" i="3" s="1"/>
  <c r="O96" i="3"/>
  <c r="L96" i="3"/>
  <c r="I96" i="3"/>
  <c r="B96" i="3"/>
  <c r="S95" i="3"/>
  <c r="R95" i="3"/>
  <c r="M95" i="3" s="1"/>
  <c r="O95" i="3"/>
  <c r="L95" i="3"/>
  <c r="I95" i="3"/>
  <c r="B95" i="3"/>
  <c r="T94" i="3"/>
  <c r="S94" i="3"/>
  <c r="R94" i="3"/>
  <c r="O94" i="3"/>
  <c r="N94" i="3"/>
  <c r="M94" i="3"/>
  <c r="L94" i="3"/>
  <c r="I94" i="3"/>
  <c r="B94" i="3"/>
  <c r="S93" i="3"/>
  <c r="R93" i="3"/>
  <c r="M93" i="3" s="1"/>
  <c r="O93" i="3"/>
  <c r="L93" i="3"/>
  <c r="I93" i="3"/>
  <c r="B93" i="3"/>
  <c r="S92" i="3"/>
  <c r="R92" i="3"/>
  <c r="O92" i="3"/>
  <c r="M92" i="3"/>
  <c r="T92" i="3" s="1"/>
  <c r="L92" i="3"/>
  <c r="I92" i="3"/>
  <c r="B92" i="3"/>
  <c r="S91" i="3"/>
  <c r="R91" i="3"/>
  <c r="O91" i="3"/>
  <c r="N91" i="3"/>
  <c r="M91" i="3"/>
  <c r="T91" i="3" s="1"/>
  <c r="L91" i="3"/>
  <c r="I91" i="3"/>
  <c r="B91" i="3"/>
  <c r="S90" i="3"/>
  <c r="R90" i="3"/>
  <c r="O90" i="3"/>
  <c r="M90" i="3"/>
  <c r="T90" i="3" s="1"/>
  <c r="L90" i="3"/>
  <c r="I90" i="3"/>
  <c r="B90" i="3"/>
  <c r="S89" i="3"/>
  <c r="R89" i="3"/>
  <c r="O89" i="3"/>
  <c r="M89" i="3"/>
  <c r="T89" i="3" s="1"/>
  <c r="L89" i="3"/>
  <c r="I89" i="3"/>
  <c r="B89" i="3"/>
  <c r="S88" i="3"/>
  <c r="R88" i="3"/>
  <c r="O88" i="3"/>
  <c r="M88" i="3"/>
  <c r="T88" i="3" s="1"/>
  <c r="L88" i="3"/>
  <c r="I88" i="3"/>
  <c r="B88" i="3"/>
  <c r="S87" i="3"/>
  <c r="R87" i="3"/>
  <c r="O87" i="3"/>
  <c r="M87" i="3"/>
  <c r="T87" i="3" s="1"/>
  <c r="L87" i="3"/>
  <c r="I87" i="3"/>
  <c r="B87" i="3"/>
  <c r="T86" i="3"/>
  <c r="S86" i="3"/>
  <c r="R86" i="3"/>
  <c r="O86" i="3"/>
  <c r="M86" i="3"/>
  <c r="N86" i="3" s="1"/>
  <c r="L86" i="3"/>
  <c r="I86" i="3"/>
  <c r="B86" i="3"/>
  <c r="S85" i="3"/>
  <c r="R85" i="3"/>
  <c r="O85" i="3"/>
  <c r="M85" i="3"/>
  <c r="T85" i="3" s="1"/>
  <c r="L85" i="3"/>
  <c r="I85" i="3"/>
  <c r="B85" i="3"/>
  <c r="S84" i="3"/>
  <c r="R84" i="3"/>
  <c r="O84" i="3"/>
  <c r="M84" i="3"/>
  <c r="N84" i="3" s="1"/>
  <c r="L84" i="3"/>
  <c r="I84" i="3"/>
  <c r="B84" i="3"/>
  <c r="T83" i="3"/>
  <c r="S83" i="3"/>
  <c r="R83" i="3"/>
  <c r="O83" i="3"/>
  <c r="M83" i="3"/>
  <c r="N83" i="3" s="1"/>
  <c r="L83" i="3"/>
  <c r="I83" i="3"/>
  <c r="B83" i="3"/>
  <c r="S82" i="3"/>
  <c r="R82" i="3"/>
  <c r="O82" i="3"/>
  <c r="M82" i="3"/>
  <c r="T82" i="3" s="1"/>
  <c r="L82" i="3"/>
  <c r="I82" i="3"/>
  <c r="B82" i="3"/>
  <c r="S81" i="3"/>
  <c r="R81" i="3"/>
  <c r="M81" i="3" s="1"/>
  <c r="O81" i="3"/>
  <c r="L81" i="3"/>
  <c r="I81" i="3"/>
  <c r="B81" i="3"/>
  <c r="S80" i="3"/>
  <c r="R80" i="3"/>
  <c r="O80" i="3"/>
  <c r="M80" i="3"/>
  <c r="T80" i="3" s="1"/>
  <c r="L80" i="3"/>
  <c r="I80" i="3"/>
  <c r="B80" i="3"/>
  <c r="S79" i="3"/>
  <c r="R79" i="3"/>
  <c r="M79" i="3" s="1"/>
  <c r="O79" i="3"/>
  <c r="L79" i="3"/>
  <c r="I79" i="3"/>
  <c r="B79" i="3"/>
  <c r="S78" i="3"/>
  <c r="R78" i="3"/>
  <c r="M78" i="3" s="1"/>
  <c r="O78" i="3"/>
  <c r="L78" i="3"/>
  <c r="I78" i="3"/>
  <c r="B78" i="3"/>
  <c r="S77" i="3"/>
  <c r="R77" i="3"/>
  <c r="M77" i="3" s="1"/>
  <c r="O77" i="3"/>
  <c r="L77" i="3"/>
  <c r="I77" i="3"/>
  <c r="B77" i="3"/>
  <c r="S76" i="3"/>
  <c r="R76" i="3"/>
  <c r="M76" i="3" s="1"/>
  <c r="O76" i="3"/>
  <c r="L76" i="3"/>
  <c r="I76" i="3"/>
  <c r="B76" i="3"/>
  <c r="S75" i="3"/>
  <c r="R75" i="3"/>
  <c r="M75" i="3" s="1"/>
  <c r="O75" i="3"/>
  <c r="L75" i="3"/>
  <c r="I75" i="3"/>
  <c r="B75" i="3"/>
  <c r="T74" i="3"/>
  <c r="S74" i="3"/>
  <c r="R74" i="3"/>
  <c r="O74" i="3"/>
  <c r="N74" i="3"/>
  <c r="M74" i="3"/>
  <c r="L74" i="3"/>
  <c r="I74" i="3"/>
  <c r="B74" i="3"/>
  <c r="S73" i="3"/>
  <c r="R73" i="3"/>
  <c r="M73" i="3" s="1"/>
  <c r="O73" i="3"/>
  <c r="L73" i="3"/>
  <c r="I73" i="3"/>
  <c r="B73" i="3"/>
  <c r="S72" i="3"/>
  <c r="R72" i="3"/>
  <c r="O72" i="3"/>
  <c r="M72" i="3"/>
  <c r="T72" i="3" s="1"/>
  <c r="L72" i="3"/>
  <c r="I72" i="3"/>
  <c r="B72" i="3"/>
  <c r="S71" i="3"/>
  <c r="R71" i="3"/>
  <c r="O71" i="3"/>
  <c r="N71" i="3"/>
  <c r="M71" i="3"/>
  <c r="T71" i="3" s="1"/>
  <c r="L71" i="3"/>
  <c r="I71" i="3"/>
  <c r="B71" i="3"/>
  <c r="S70" i="3"/>
  <c r="R70" i="3"/>
  <c r="O70" i="3"/>
  <c r="M70" i="3"/>
  <c r="T70" i="3" s="1"/>
  <c r="L70" i="3"/>
  <c r="I70" i="3"/>
  <c r="B70" i="3"/>
  <c r="S69" i="3"/>
  <c r="R69" i="3"/>
  <c r="O69" i="3"/>
  <c r="M69" i="3"/>
  <c r="T69" i="3" s="1"/>
  <c r="L69" i="3"/>
  <c r="I69" i="3"/>
  <c r="B69" i="3"/>
  <c r="S68" i="3"/>
  <c r="R68" i="3"/>
  <c r="O68" i="3"/>
  <c r="M68" i="3"/>
  <c r="T68" i="3" s="1"/>
  <c r="L68" i="3"/>
  <c r="I68" i="3"/>
  <c r="B68" i="3"/>
  <c r="S67" i="3"/>
  <c r="R67" i="3"/>
  <c r="O67" i="3"/>
  <c r="M67" i="3"/>
  <c r="T67" i="3" s="1"/>
  <c r="L67" i="3"/>
  <c r="I67" i="3"/>
  <c r="B67" i="3"/>
  <c r="T66" i="3"/>
  <c r="S66" i="3"/>
  <c r="R66" i="3"/>
  <c r="O66" i="3"/>
  <c r="M66" i="3"/>
  <c r="N66" i="3" s="1"/>
  <c r="L66" i="3"/>
  <c r="I66" i="3"/>
  <c r="B66" i="3"/>
  <c r="S65" i="3"/>
  <c r="R65" i="3"/>
  <c r="O65" i="3"/>
  <c r="M65" i="3"/>
  <c r="T65" i="3" s="1"/>
  <c r="L65" i="3"/>
  <c r="I65" i="3"/>
  <c r="B65" i="3"/>
  <c r="S64" i="3"/>
  <c r="R64" i="3"/>
  <c r="O64" i="3"/>
  <c r="M64" i="3"/>
  <c r="N64" i="3" s="1"/>
  <c r="L64" i="3"/>
  <c r="I64" i="3"/>
  <c r="B64" i="3"/>
  <c r="T63" i="3"/>
  <c r="S63" i="3"/>
  <c r="R63" i="3"/>
  <c r="O63" i="3"/>
  <c r="M63" i="3"/>
  <c r="N63" i="3" s="1"/>
  <c r="L63" i="3"/>
  <c r="I63" i="3"/>
  <c r="B63" i="3"/>
  <c r="S62" i="3"/>
  <c r="R62" i="3"/>
  <c r="O62" i="3"/>
  <c r="M62" i="3"/>
  <c r="T62" i="3" s="1"/>
  <c r="L62" i="3"/>
  <c r="I62" i="3"/>
  <c r="B62" i="3"/>
  <c r="S61" i="3"/>
  <c r="R61" i="3"/>
  <c r="M61" i="3" s="1"/>
  <c r="O61" i="3"/>
  <c r="L61" i="3"/>
  <c r="I61" i="3"/>
  <c r="B61" i="3"/>
  <c r="S60" i="3"/>
  <c r="R60" i="3"/>
  <c r="O60" i="3"/>
  <c r="M60" i="3"/>
  <c r="T60" i="3" s="1"/>
  <c r="L60" i="3"/>
  <c r="I60" i="3"/>
  <c r="B60" i="3"/>
  <c r="S59" i="3"/>
  <c r="R59" i="3"/>
  <c r="M59" i="3" s="1"/>
  <c r="O59" i="3"/>
  <c r="L59" i="3"/>
  <c r="I59" i="3"/>
  <c r="B59" i="3"/>
  <c r="S58" i="3"/>
  <c r="R58" i="3"/>
  <c r="M58" i="3" s="1"/>
  <c r="O58" i="3"/>
  <c r="L58" i="3"/>
  <c r="I58" i="3"/>
  <c r="B58" i="3"/>
  <c r="S57" i="3"/>
  <c r="R57" i="3"/>
  <c r="M57" i="3" s="1"/>
  <c r="O57" i="3"/>
  <c r="L57" i="3"/>
  <c r="I57" i="3"/>
  <c r="B57" i="3"/>
  <c r="S56" i="3"/>
  <c r="R56" i="3"/>
  <c r="M56" i="3" s="1"/>
  <c r="O56" i="3"/>
  <c r="L56" i="3"/>
  <c r="I56" i="3"/>
  <c r="B56" i="3"/>
  <c r="S55" i="3"/>
  <c r="R55" i="3"/>
  <c r="M55" i="3" s="1"/>
  <c r="O55" i="3"/>
  <c r="L55" i="3"/>
  <c r="I55" i="3"/>
  <c r="B55" i="3"/>
  <c r="T54" i="3"/>
  <c r="S54" i="3"/>
  <c r="R54" i="3"/>
  <c r="O54" i="3"/>
  <c r="N54" i="3"/>
  <c r="M54" i="3"/>
  <c r="L54" i="3"/>
  <c r="I54" i="3"/>
  <c r="B54" i="3"/>
  <c r="S53" i="3"/>
  <c r="R53" i="3"/>
  <c r="M53" i="3" s="1"/>
  <c r="O53" i="3"/>
  <c r="L53" i="3"/>
  <c r="I53" i="3"/>
  <c r="B53" i="3"/>
  <c r="S52" i="3"/>
  <c r="R52" i="3"/>
  <c r="O52" i="3"/>
  <c r="M52" i="3"/>
  <c r="T52" i="3" s="1"/>
  <c r="L52" i="3"/>
  <c r="I52" i="3"/>
  <c r="B52" i="3"/>
  <c r="S51" i="3"/>
  <c r="R51" i="3"/>
  <c r="O51" i="3"/>
  <c r="N51" i="3"/>
  <c r="M51" i="3"/>
  <c r="T51" i="3" s="1"/>
  <c r="L51" i="3"/>
  <c r="I51" i="3"/>
  <c r="B51" i="3"/>
  <c r="S50" i="3"/>
  <c r="R50" i="3"/>
  <c r="O50" i="3"/>
  <c r="M50" i="3"/>
  <c r="T50" i="3" s="1"/>
  <c r="L50" i="3"/>
  <c r="I50" i="3"/>
  <c r="B50" i="3"/>
  <c r="S49" i="3"/>
  <c r="R49" i="3"/>
  <c r="O49" i="3"/>
  <c r="M49" i="3"/>
  <c r="T49" i="3" s="1"/>
  <c r="L49" i="3"/>
  <c r="I49" i="3"/>
  <c r="B49" i="3"/>
  <c r="S48" i="3"/>
  <c r="R48" i="3"/>
  <c r="O48" i="3"/>
  <c r="M48" i="3"/>
  <c r="T48" i="3" s="1"/>
  <c r="L48" i="3"/>
  <c r="I48" i="3"/>
  <c r="B48" i="3"/>
  <c r="S47" i="3"/>
  <c r="R47" i="3"/>
  <c r="O47" i="3"/>
  <c r="M47" i="3"/>
  <c r="T47" i="3" s="1"/>
  <c r="L47" i="3"/>
  <c r="I47" i="3"/>
  <c r="B47" i="3"/>
  <c r="T46" i="3"/>
  <c r="S46" i="3"/>
  <c r="R46" i="3"/>
  <c r="O46" i="3"/>
  <c r="M46" i="3"/>
  <c r="N46" i="3" s="1"/>
  <c r="L46" i="3"/>
  <c r="I46" i="3"/>
  <c r="B46" i="3"/>
  <c r="S45" i="3"/>
  <c r="R45" i="3"/>
  <c r="O45" i="3"/>
  <c r="M45" i="3"/>
  <c r="T45" i="3" s="1"/>
  <c r="L45" i="3"/>
  <c r="I45" i="3"/>
  <c r="B45" i="3"/>
  <c r="S44" i="3"/>
  <c r="R44" i="3"/>
  <c r="O44" i="3"/>
  <c r="M44" i="3"/>
  <c r="N44" i="3" s="1"/>
  <c r="L44" i="3"/>
  <c r="I44" i="3"/>
  <c r="B44" i="3"/>
  <c r="T43" i="3"/>
  <c r="S43" i="3"/>
  <c r="R43" i="3"/>
  <c r="O43" i="3"/>
  <c r="M43" i="3"/>
  <c r="N43" i="3" s="1"/>
  <c r="L43" i="3"/>
  <c r="I43" i="3"/>
  <c r="B43" i="3"/>
  <c r="S42" i="3"/>
  <c r="R42" i="3"/>
  <c r="O42" i="3"/>
  <c r="M42" i="3"/>
  <c r="T42" i="3" s="1"/>
  <c r="L42" i="3"/>
  <c r="I42" i="3"/>
  <c r="B42" i="3"/>
  <c r="S41" i="3"/>
  <c r="R41" i="3"/>
  <c r="M41" i="3" s="1"/>
  <c r="O41" i="3"/>
  <c r="L41" i="3"/>
  <c r="I41" i="3"/>
  <c r="B41" i="3"/>
  <c r="S40" i="3"/>
  <c r="R40" i="3"/>
  <c r="O40" i="3"/>
  <c r="M40" i="3"/>
  <c r="T40" i="3" s="1"/>
  <c r="L40" i="3"/>
  <c r="I40" i="3"/>
  <c r="B40" i="3"/>
  <c r="S39" i="3"/>
  <c r="R39" i="3"/>
  <c r="M39" i="3" s="1"/>
  <c r="O39" i="3"/>
  <c r="L39" i="3"/>
  <c r="I39" i="3"/>
  <c r="B39" i="3"/>
  <c r="S38" i="3"/>
  <c r="R38" i="3"/>
  <c r="M38" i="3" s="1"/>
  <c r="O38" i="3"/>
  <c r="L38" i="3"/>
  <c r="I38" i="3"/>
  <c r="B38" i="3"/>
  <c r="S37" i="3"/>
  <c r="R37" i="3"/>
  <c r="M37" i="3" s="1"/>
  <c r="O37" i="3"/>
  <c r="L37" i="3"/>
  <c r="I37" i="3"/>
  <c r="B37" i="3"/>
  <c r="S36" i="3"/>
  <c r="R36" i="3"/>
  <c r="M36" i="3" s="1"/>
  <c r="L36" i="3"/>
  <c r="I36" i="3"/>
  <c r="B36" i="3"/>
  <c r="S35" i="3"/>
  <c r="R35" i="3"/>
  <c r="M35" i="3" s="1"/>
  <c r="L35" i="3"/>
  <c r="I35" i="3"/>
  <c r="B35" i="3"/>
  <c r="S34" i="3"/>
  <c r="M34" i="3" s="1"/>
  <c r="R34" i="3"/>
  <c r="L34" i="3"/>
  <c r="I34" i="3"/>
  <c r="B34" i="3"/>
  <c r="S33" i="3"/>
  <c r="R33" i="3"/>
  <c r="M33" i="3" s="1"/>
  <c r="L33" i="3"/>
  <c r="I33" i="3"/>
  <c r="B33" i="3"/>
  <c r="S32" i="3"/>
  <c r="M32" i="3" s="1"/>
  <c r="R32" i="3"/>
  <c r="L32" i="3"/>
  <c r="I32" i="3"/>
  <c r="B32" i="3"/>
  <c r="S31" i="3"/>
  <c r="R31" i="3"/>
  <c r="N31" i="3"/>
  <c r="M31" i="3"/>
  <c r="T31" i="3" s="1"/>
  <c r="L31" i="3"/>
  <c r="I31" i="3"/>
  <c r="B31" i="3"/>
  <c r="S30" i="3"/>
  <c r="R30" i="3"/>
  <c r="M30" i="3"/>
  <c r="T30" i="3" s="1"/>
  <c r="L30" i="3"/>
  <c r="I30" i="3"/>
  <c r="B30" i="3"/>
  <c r="S29" i="3"/>
  <c r="M29" i="3" s="1"/>
  <c r="R29" i="3"/>
  <c r="L29" i="3"/>
  <c r="I29" i="3"/>
  <c r="B29" i="3"/>
  <c r="S28" i="3"/>
  <c r="M28" i="3" s="1"/>
  <c r="R28" i="3"/>
  <c r="L28" i="3"/>
  <c r="I28" i="3"/>
  <c r="B28" i="3"/>
  <c r="S27" i="3"/>
  <c r="M27" i="3" s="1"/>
  <c r="R27" i="3"/>
  <c r="L27" i="3"/>
  <c r="I27" i="3"/>
  <c r="B27" i="3"/>
  <c r="S26" i="3"/>
  <c r="M26" i="3" s="1"/>
  <c r="R26" i="3"/>
  <c r="L26" i="3"/>
  <c r="I26" i="3"/>
  <c r="B26" i="3"/>
  <c r="S25" i="3"/>
  <c r="R25" i="3"/>
  <c r="M25" i="3"/>
  <c r="T25" i="3" s="1"/>
  <c r="L25" i="3"/>
  <c r="I25" i="3"/>
  <c r="B25" i="3"/>
  <c r="S24" i="3"/>
  <c r="M24" i="3" s="1"/>
  <c r="R24" i="3"/>
  <c r="L24" i="3"/>
  <c r="I24" i="3"/>
  <c r="B24" i="3"/>
  <c r="T23" i="3"/>
  <c r="S23" i="3"/>
  <c r="R23" i="3"/>
  <c r="M23" i="3"/>
  <c r="L23" i="3"/>
  <c r="I23" i="3"/>
  <c r="B23" i="3"/>
  <c r="S22" i="3"/>
  <c r="R22" i="3"/>
  <c r="M22" i="3"/>
  <c r="T22" i="3" s="1"/>
  <c r="L22" i="3"/>
  <c r="I22" i="3"/>
  <c r="B22" i="3"/>
  <c r="S21" i="3"/>
  <c r="R21" i="3"/>
  <c r="M21" i="3" s="1"/>
  <c r="L21" i="3"/>
  <c r="I21" i="3"/>
  <c r="B21" i="3"/>
  <c r="S20" i="3"/>
  <c r="R20" i="3"/>
  <c r="M20" i="3"/>
  <c r="T20" i="3" s="1"/>
  <c r="L20" i="3"/>
  <c r="I20" i="3"/>
  <c r="B20" i="3"/>
  <c r="S19" i="3"/>
  <c r="R19" i="3"/>
  <c r="M19" i="3" s="1"/>
  <c r="L19" i="3"/>
  <c r="I19" i="3"/>
  <c r="B19" i="3"/>
  <c r="S18" i="3"/>
  <c r="R18" i="3"/>
  <c r="M18" i="3" s="1"/>
  <c r="L18" i="3"/>
  <c r="I18" i="3"/>
  <c r="B18" i="3"/>
  <c r="S17" i="3"/>
  <c r="R17" i="3"/>
  <c r="M17" i="3" s="1"/>
  <c r="L17" i="3"/>
  <c r="I17" i="3"/>
  <c r="B17" i="3"/>
  <c r="S16" i="3"/>
  <c r="R16" i="3"/>
  <c r="M16" i="3" s="1"/>
  <c r="L16" i="3"/>
  <c r="I16" i="3"/>
  <c r="B16" i="3"/>
  <c r="S15" i="3"/>
  <c r="R15" i="3"/>
  <c r="M15" i="3" s="1"/>
  <c r="L15" i="3"/>
  <c r="I15" i="3"/>
  <c r="B15" i="3"/>
  <c r="S14" i="3"/>
  <c r="M14" i="3" s="1"/>
  <c r="R14" i="3"/>
  <c r="L14" i="3"/>
  <c r="I14" i="3"/>
  <c r="B14" i="3"/>
  <c r="S13" i="3"/>
  <c r="R13" i="3"/>
  <c r="M13" i="3" s="1"/>
  <c r="L13" i="3"/>
  <c r="I13" i="3"/>
  <c r="B13" i="3"/>
  <c r="S12" i="3"/>
  <c r="M12" i="3" s="1"/>
  <c r="R12" i="3"/>
  <c r="L12" i="3"/>
  <c r="I12" i="3"/>
  <c r="B12" i="3"/>
  <c r="S11" i="3"/>
  <c r="R11" i="3"/>
  <c r="N11" i="3"/>
  <c r="M11" i="3"/>
  <c r="T11" i="3" s="1"/>
  <c r="L11" i="3"/>
  <c r="I11" i="3"/>
  <c r="B11" i="3"/>
  <c r="S10" i="3"/>
  <c r="R10" i="3"/>
  <c r="M10" i="3" s="1"/>
  <c r="L10" i="3"/>
  <c r="I10" i="3"/>
  <c r="B10" i="3"/>
  <c r="S9" i="3"/>
  <c r="M9" i="3" s="1"/>
  <c r="R9" i="3"/>
  <c r="L9" i="3"/>
  <c r="I9" i="3"/>
  <c r="B9" i="3"/>
  <c r="S8" i="3"/>
  <c r="M8" i="3" s="1"/>
  <c r="R8" i="3"/>
  <c r="L8" i="3"/>
  <c r="I8" i="3"/>
  <c r="B8" i="3"/>
  <c r="S7" i="3"/>
  <c r="R7" i="3"/>
  <c r="O7" i="3"/>
  <c r="M7" i="3"/>
  <c r="L7" i="3"/>
  <c r="I7" i="3"/>
  <c r="B7" i="3"/>
  <c r="M6" i="3"/>
  <c r="I6" i="3"/>
  <c r="G6" i="3"/>
  <c r="P2" i="3"/>
  <c r="P1" i="3"/>
  <c r="M606" i="2"/>
  <c r="L606" i="2"/>
  <c r="K606" i="2"/>
  <c r="B606" i="2"/>
  <c r="M605" i="2"/>
  <c r="L605" i="2"/>
  <c r="K605" i="2"/>
  <c r="B605" i="2"/>
  <c r="M604" i="2"/>
  <c r="L604" i="2"/>
  <c r="K604" i="2"/>
  <c r="B604" i="2"/>
  <c r="M603" i="2"/>
  <c r="L603" i="2"/>
  <c r="K603" i="2"/>
  <c r="B603" i="2"/>
  <c r="M602" i="2"/>
  <c r="L602" i="2"/>
  <c r="K602" i="2"/>
  <c r="B602" i="2"/>
  <c r="M601" i="2"/>
  <c r="L601" i="2"/>
  <c r="K601" i="2"/>
  <c r="B601" i="2"/>
  <c r="M600" i="2"/>
  <c r="L600" i="2"/>
  <c r="K600" i="2"/>
  <c r="B600" i="2"/>
  <c r="M599" i="2"/>
  <c r="L599" i="2"/>
  <c r="K599" i="2"/>
  <c r="B599" i="2"/>
  <c r="M598" i="2"/>
  <c r="L598" i="2"/>
  <c r="K598" i="2"/>
  <c r="B598" i="2"/>
  <c r="M597" i="2"/>
  <c r="L597" i="2"/>
  <c r="K597" i="2"/>
  <c r="B597" i="2"/>
  <c r="M596" i="2"/>
  <c r="L596" i="2"/>
  <c r="K596" i="2"/>
  <c r="B596" i="2"/>
  <c r="M595" i="2"/>
  <c r="L595" i="2"/>
  <c r="K595" i="2"/>
  <c r="B595" i="2"/>
  <c r="M594" i="2"/>
  <c r="L594" i="2"/>
  <c r="K594" i="2"/>
  <c r="B594" i="2"/>
  <c r="M593" i="2"/>
  <c r="L593" i="2"/>
  <c r="K593" i="2"/>
  <c r="B593" i="2"/>
  <c r="M592" i="2"/>
  <c r="L592" i="2"/>
  <c r="K592" i="2"/>
  <c r="B592" i="2"/>
  <c r="M591" i="2"/>
  <c r="L591" i="2"/>
  <c r="K591" i="2"/>
  <c r="B591" i="2"/>
  <c r="M590" i="2"/>
  <c r="L590" i="2"/>
  <c r="K590" i="2"/>
  <c r="B590" i="2"/>
  <c r="M589" i="2"/>
  <c r="L589" i="2"/>
  <c r="K589" i="2"/>
  <c r="B589" i="2"/>
  <c r="M588" i="2"/>
  <c r="L588" i="2"/>
  <c r="K588" i="2"/>
  <c r="B588" i="2"/>
  <c r="M587" i="2"/>
  <c r="L587" i="2"/>
  <c r="K587" i="2"/>
  <c r="B587" i="2"/>
  <c r="M586" i="2"/>
  <c r="L586" i="2"/>
  <c r="K586" i="2"/>
  <c r="B586" i="2"/>
  <c r="M585" i="2"/>
  <c r="L585" i="2"/>
  <c r="K585" i="2"/>
  <c r="B585" i="2"/>
  <c r="M584" i="2"/>
  <c r="L584" i="2"/>
  <c r="K584" i="2"/>
  <c r="B584" i="2"/>
  <c r="M583" i="2"/>
  <c r="L583" i="2"/>
  <c r="K583" i="2"/>
  <c r="B583" i="2"/>
  <c r="M582" i="2"/>
  <c r="L582" i="2"/>
  <c r="K582" i="2"/>
  <c r="B582" i="2"/>
  <c r="M581" i="2"/>
  <c r="L581" i="2"/>
  <c r="K581" i="2"/>
  <c r="B581" i="2"/>
  <c r="M580" i="2"/>
  <c r="L580" i="2"/>
  <c r="K580" i="2"/>
  <c r="B580" i="2"/>
  <c r="M579" i="2"/>
  <c r="L579" i="2"/>
  <c r="K579" i="2"/>
  <c r="B579" i="2"/>
  <c r="M578" i="2"/>
  <c r="L578" i="2"/>
  <c r="K578" i="2"/>
  <c r="B578" i="2"/>
  <c r="M577" i="2"/>
  <c r="L577" i="2"/>
  <c r="K577" i="2"/>
  <c r="B577" i="2"/>
  <c r="M576" i="2"/>
  <c r="L576" i="2"/>
  <c r="K576" i="2"/>
  <c r="B576" i="2"/>
  <c r="M575" i="2"/>
  <c r="L575" i="2"/>
  <c r="K575" i="2"/>
  <c r="B575" i="2"/>
  <c r="M574" i="2"/>
  <c r="L574" i="2"/>
  <c r="K574" i="2"/>
  <c r="B574" i="2"/>
  <c r="M573" i="2"/>
  <c r="L573" i="2"/>
  <c r="K573" i="2"/>
  <c r="B573" i="2"/>
  <c r="M572" i="2"/>
  <c r="L572" i="2"/>
  <c r="K572" i="2"/>
  <c r="B572" i="2"/>
  <c r="M571" i="2"/>
  <c r="L571" i="2"/>
  <c r="K571" i="2"/>
  <c r="B571" i="2"/>
  <c r="M570" i="2"/>
  <c r="L570" i="2"/>
  <c r="K570" i="2"/>
  <c r="B570" i="2"/>
  <c r="M569" i="2"/>
  <c r="L569" i="2"/>
  <c r="K569" i="2"/>
  <c r="B569" i="2"/>
  <c r="M568" i="2"/>
  <c r="L568" i="2"/>
  <c r="K568" i="2"/>
  <c r="B568" i="2"/>
  <c r="M567" i="2"/>
  <c r="L567" i="2"/>
  <c r="K567" i="2"/>
  <c r="B567" i="2"/>
  <c r="M566" i="2"/>
  <c r="L566" i="2"/>
  <c r="K566" i="2"/>
  <c r="B566" i="2"/>
  <c r="M565" i="2"/>
  <c r="L565" i="2"/>
  <c r="K565" i="2"/>
  <c r="B565" i="2"/>
  <c r="M564" i="2"/>
  <c r="L564" i="2"/>
  <c r="K564" i="2"/>
  <c r="B564" i="2"/>
  <c r="M563" i="2"/>
  <c r="L563" i="2"/>
  <c r="K563" i="2"/>
  <c r="B563" i="2"/>
  <c r="M562" i="2"/>
  <c r="L562" i="2"/>
  <c r="K562" i="2"/>
  <c r="B562" i="2"/>
  <c r="M561" i="2"/>
  <c r="L561" i="2"/>
  <c r="K561" i="2"/>
  <c r="B561" i="2"/>
  <c r="M560" i="2"/>
  <c r="L560" i="2"/>
  <c r="K560" i="2"/>
  <c r="B560" i="2"/>
  <c r="M559" i="2"/>
  <c r="L559" i="2"/>
  <c r="K559" i="2"/>
  <c r="B559" i="2"/>
  <c r="M558" i="2"/>
  <c r="L558" i="2"/>
  <c r="K558" i="2"/>
  <c r="B558" i="2"/>
  <c r="M557" i="2"/>
  <c r="L557" i="2"/>
  <c r="K557" i="2"/>
  <c r="B557" i="2"/>
  <c r="M556" i="2"/>
  <c r="L556" i="2"/>
  <c r="K556" i="2"/>
  <c r="B556" i="2"/>
  <c r="M555" i="2"/>
  <c r="L555" i="2"/>
  <c r="K555" i="2"/>
  <c r="B555" i="2"/>
  <c r="M554" i="2"/>
  <c r="L554" i="2"/>
  <c r="K554" i="2"/>
  <c r="B554" i="2"/>
  <c r="M553" i="2"/>
  <c r="L553" i="2"/>
  <c r="K553" i="2"/>
  <c r="B553" i="2"/>
  <c r="M552" i="2"/>
  <c r="L552" i="2"/>
  <c r="K552" i="2"/>
  <c r="B552" i="2"/>
  <c r="M551" i="2"/>
  <c r="L551" i="2"/>
  <c r="K551" i="2"/>
  <c r="B551" i="2"/>
  <c r="M550" i="2"/>
  <c r="L550" i="2"/>
  <c r="K550" i="2"/>
  <c r="B550" i="2"/>
  <c r="M549" i="2"/>
  <c r="L549" i="2"/>
  <c r="K549" i="2"/>
  <c r="B549" i="2"/>
  <c r="M548" i="2"/>
  <c r="L548" i="2"/>
  <c r="K548" i="2"/>
  <c r="B548" i="2"/>
  <c r="M547" i="2"/>
  <c r="L547" i="2"/>
  <c r="K547" i="2"/>
  <c r="B547" i="2"/>
  <c r="M546" i="2"/>
  <c r="L546" i="2"/>
  <c r="K546" i="2"/>
  <c r="B546" i="2"/>
  <c r="M545" i="2"/>
  <c r="L545" i="2"/>
  <c r="K545" i="2"/>
  <c r="B545" i="2"/>
  <c r="M544" i="2"/>
  <c r="L544" i="2"/>
  <c r="K544" i="2"/>
  <c r="B544" i="2"/>
  <c r="M543" i="2"/>
  <c r="L543" i="2"/>
  <c r="K543" i="2"/>
  <c r="B543" i="2"/>
  <c r="M542" i="2"/>
  <c r="L542" i="2"/>
  <c r="K542" i="2"/>
  <c r="B542" i="2"/>
  <c r="M541" i="2"/>
  <c r="L541" i="2"/>
  <c r="K541" i="2"/>
  <c r="B541" i="2"/>
  <c r="M540" i="2"/>
  <c r="L540" i="2"/>
  <c r="K540" i="2"/>
  <c r="B540" i="2"/>
  <c r="M539" i="2"/>
  <c r="L539" i="2"/>
  <c r="K539" i="2"/>
  <c r="B539" i="2"/>
  <c r="M538" i="2"/>
  <c r="L538" i="2"/>
  <c r="K538" i="2"/>
  <c r="B538" i="2"/>
  <c r="M537" i="2"/>
  <c r="L537" i="2"/>
  <c r="K537" i="2"/>
  <c r="B537" i="2"/>
  <c r="M536" i="2"/>
  <c r="L536" i="2"/>
  <c r="K536" i="2"/>
  <c r="B536" i="2"/>
  <c r="M535" i="2"/>
  <c r="L535" i="2"/>
  <c r="K535" i="2"/>
  <c r="B535" i="2"/>
  <c r="M534" i="2"/>
  <c r="L534" i="2"/>
  <c r="K534" i="2"/>
  <c r="B534" i="2"/>
  <c r="M533" i="2"/>
  <c r="L533" i="2"/>
  <c r="K533" i="2"/>
  <c r="B533" i="2"/>
  <c r="M532" i="2"/>
  <c r="L532" i="2"/>
  <c r="K532" i="2"/>
  <c r="B532" i="2"/>
  <c r="M531" i="2"/>
  <c r="L531" i="2"/>
  <c r="K531" i="2"/>
  <c r="B531" i="2"/>
  <c r="M530" i="2"/>
  <c r="L530" i="2"/>
  <c r="K530" i="2"/>
  <c r="B530" i="2"/>
  <c r="M529" i="2"/>
  <c r="L529" i="2"/>
  <c r="K529" i="2"/>
  <c r="B529" i="2"/>
  <c r="M528" i="2"/>
  <c r="L528" i="2"/>
  <c r="K528" i="2"/>
  <c r="B528" i="2"/>
  <c r="M527" i="2"/>
  <c r="L527" i="2"/>
  <c r="K527" i="2"/>
  <c r="B527" i="2"/>
  <c r="M526" i="2"/>
  <c r="L526" i="2"/>
  <c r="K526" i="2"/>
  <c r="B526" i="2"/>
  <c r="M525" i="2"/>
  <c r="L525" i="2"/>
  <c r="K525" i="2"/>
  <c r="B525" i="2"/>
  <c r="M524" i="2"/>
  <c r="L524" i="2"/>
  <c r="K524" i="2"/>
  <c r="B524" i="2"/>
  <c r="M523" i="2"/>
  <c r="L523" i="2"/>
  <c r="K523" i="2"/>
  <c r="B523" i="2"/>
  <c r="M522" i="2"/>
  <c r="L522" i="2"/>
  <c r="K522" i="2"/>
  <c r="B522" i="2"/>
  <c r="M521" i="2"/>
  <c r="L521" i="2"/>
  <c r="K521" i="2"/>
  <c r="B521" i="2"/>
  <c r="M520" i="2"/>
  <c r="L520" i="2"/>
  <c r="K520" i="2"/>
  <c r="B520" i="2"/>
  <c r="M519" i="2"/>
  <c r="L519" i="2"/>
  <c r="K519" i="2"/>
  <c r="B519" i="2"/>
  <c r="M518" i="2"/>
  <c r="L518" i="2"/>
  <c r="K518" i="2"/>
  <c r="B518" i="2"/>
  <c r="M517" i="2"/>
  <c r="L517" i="2"/>
  <c r="K517" i="2"/>
  <c r="B517" i="2"/>
  <c r="M516" i="2"/>
  <c r="L516" i="2"/>
  <c r="K516" i="2"/>
  <c r="B516" i="2"/>
  <c r="M515" i="2"/>
  <c r="L515" i="2"/>
  <c r="K515" i="2"/>
  <c r="B515" i="2"/>
  <c r="M514" i="2"/>
  <c r="L514" i="2"/>
  <c r="K514" i="2"/>
  <c r="B514" i="2"/>
  <c r="M513" i="2"/>
  <c r="L513" i="2"/>
  <c r="K513" i="2"/>
  <c r="B513" i="2"/>
  <c r="M512" i="2"/>
  <c r="L512" i="2"/>
  <c r="K512" i="2"/>
  <c r="B512" i="2"/>
  <c r="M511" i="2"/>
  <c r="L511" i="2"/>
  <c r="K511" i="2"/>
  <c r="B511" i="2"/>
  <c r="M510" i="2"/>
  <c r="L510" i="2"/>
  <c r="K510" i="2"/>
  <c r="B510" i="2"/>
  <c r="M509" i="2"/>
  <c r="L509" i="2"/>
  <c r="K509" i="2"/>
  <c r="B509" i="2"/>
  <c r="M508" i="2"/>
  <c r="L508" i="2"/>
  <c r="K508" i="2"/>
  <c r="B508" i="2"/>
  <c r="M507" i="2"/>
  <c r="L507" i="2"/>
  <c r="K507" i="2"/>
  <c r="B507" i="2"/>
  <c r="M506" i="2"/>
  <c r="L506" i="2"/>
  <c r="K506" i="2"/>
  <c r="B506" i="2"/>
  <c r="M505" i="2"/>
  <c r="L505" i="2"/>
  <c r="K505" i="2"/>
  <c r="B505" i="2"/>
  <c r="M504" i="2"/>
  <c r="L504" i="2"/>
  <c r="K504" i="2"/>
  <c r="B504" i="2"/>
  <c r="M503" i="2"/>
  <c r="L503" i="2"/>
  <c r="K503" i="2"/>
  <c r="B503" i="2"/>
  <c r="M502" i="2"/>
  <c r="L502" i="2"/>
  <c r="K502" i="2"/>
  <c r="B502" i="2"/>
  <c r="M501" i="2"/>
  <c r="L501" i="2"/>
  <c r="K501" i="2"/>
  <c r="B501" i="2"/>
  <c r="M500" i="2"/>
  <c r="L500" i="2"/>
  <c r="K500" i="2"/>
  <c r="B500" i="2"/>
  <c r="M499" i="2"/>
  <c r="L499" i="2"/>
  <c r="K499" i="2"/>
  <c r="B499" i="2"/>
  <c r="M498" i="2"/>
  <c r="L498" i="2"/>
  <c r="K498" i="2"/>
  <c r="B498" i="2"/>
  <c r="M497" i="2"/>
  <c r="L497" i="2"/>
  <c r="K497" i="2"/>
  <c r="B497" i="2"/>
  <c r="M496" i="2"/>
  <c r="L496" i="2"/>
  <c r="K496" i="2"/>
  <c r="B496" i="2"/>
  <c r="M495" i="2"/>
  <c r="L495" i="2"/>
  <c r="K495" i="2"/>
  <c r="B495" i="2"/>
  <c r="M494" i="2"/>
  <c r="L494" i="2"/>
  <c r="K494" i="2"/>
  <c r="B494" i="2"/>
  <c r="M493" i="2"/>
  <c r="L493" i="2"/>
  <c r="K493" i="2"/>
  <c r="B493" i="2"/>
  <c r="M492" i="2"/>
  <c r="L492" i="2"/>
  <c r="K492" i="2"/>
  <c r="B492" i="2"/>
  <c r="M491" i="2"/>
  <c r="L491" i="2"/>
  <c r="K491" i="2"/>
  <c r="B491" i="2"/>
  <c r="M490" i="2"/>
  <c r="L490" i="2"/>
  <c r="K490" i="2"/>
  <c r="B490" i="2"/>
  <c r="M489" i="2"/>
  <c r="L489" i="2"/>
  <c r="K489" i="2"/>
  <c r="B489" i="2"/>
  <c r="M488" i="2"/>
  <c r="L488" i="2"/>
  <c r="K488" i="2"/>
  <c r="B488" i="2"/>
  <c r="M487" i="2"/>
  <c r="L487" i="2"/>
  <c r="K487" i="2"/>
  <c r="B487" i="2"/>
  <c r="M486" i="2"/>
  <c r="L486" i="2"/>
  <c r="K486" i="2"/>
  <c r="B486" i="2"/>
  <c r="M485" i="2"/>
  <c r="L485" i="2"/>
  <c r="K485" i="2"/>
  <c r="B485" i="2"/>
  <c r="M484" i="2"/>
  <c r="L484" i="2"/>
  <c r="K484" i="2"/>
  <c r="B484" i="2"/>
  <c r="M483" i="2"/>
  <c r="L483" i="2"/>
  <c r="K483" i="2"/>
  <c r="B483" i="2"/>
  <c r="M482" i="2"/>
  <c r="L482" i="2"/>
  <c r="K482" i="2"/>
  <c r="B482" i="2"/>
  <c r="M481" i="2"/>
  <c r="L481" i="2"/>
  <c r="K481" i="2"/>
  <c r="B481" i="2"/>
  <c r="M480" i="2"/>
  <c r="L480" i="2"/>
  <c r="K480" i="2"/>
  <c r="B480" i="2"/>
  <c r="M479" i="2"/>
  <c r="L479" i="2"/>
  <c r="K479" i="2"/>
  <c r="B479" i="2"/>
  <c r="M478" i="2"/>
  <c r="L478" i="2"/>
  <c r="K478" i="2"/>
  <c r="B478" i="2"/>
  <c r="M477" i="2"/>
  <c r="L477" i="2"/>
  <c r="K477" i="2"/>
  <c r="B477" i="2"/>
  <c r="M476" i="2"/>
  <c r="L476" i="2"/>
  <c r="K476" i="2"/>
  <c r="B476" i="2"/>
  <c r="M475" i="2"/>
  <c r="L475" i="2"/>
  <c r="K475" i="2"/>
  <c r="B475" i="2"/>
  <c r="M474" i="2"/>
  <c r="L474" i="2"/>
  <c r="K474" i="2"/>
  <c r="B474" i="2"/>
  <c r="M473" i="2"/>
  <c r="L473" i="2"/>
  <c r="K473" i="2"/>
  <c r="B473" i="2"/>
  <c r="M472" i="2"/>
  <c r="L472" i="2"/>
  <c r="K472" i="2"/>
  <c r="B472" i="2"/>
  <c r="M471" i="2"/>
  <c r="L471" i="2"/>
  <c r="K471" i="2"/>
  <c r="B471" i="2"/>
  <c r="M470" i="2"/>
  <c r="L470" i="2"/>
  <c r="K470" i="2"/>
  <c r="B470" i="2"/>
  <c r="M469" i="2"/>
  <c r="L469" i="2"/>
  <c r="K469" i="2"/>
  <c r="B469" i="2"/>
  <c r="M468" i="2"/>
  <c r="L468" i="2"/>
  <c r="K468" i="2"/>
  <c r="B468" i="2"/>
  <c r="M467" i="2"/>
  <c r="L467" i="2"/>
  <c r="K467" i="2"/>
  <c r="B467" i="2"/>
  <c r="M466" i="2"/>
  <c r="L466" i="2"/>
  <c r="K466" i="2"/>
  <c r="B466" i="2"/>
  <c r="M465" i="2"/>
  <c r="L465" i="2"/>
  <c r="K465" i="2"/>
  <c r="B465" i="2"/>
  <c r="M464" i="2"/>
  <c r="L464" i="2"/>
  <c r="K464" i="2"/>
  <c r="B464" i="2"/>
  <c r="M463" i="2"/>
  <c r="L463" i="2"/>
  <c r="K463" i="2"/>
  <c r="B463" i="2"/>
  <c r="M462" i="2"/>
  <c r="L462" i="2"/>
  <c r="K462" i="2"/>
  <c r="B462" i="2"/>
  <c r="M461" i="2"/>
  <c r="L461" i="2"/>
  <c r="K461" i="2"/>
  <c r="B461" i="2"/>
  <c r="M460" i="2"/>
  <c r="L460" i="2"/>
  <c r="K460" i="2"/>
  <c r="B460" i="2"/>
  <c r="M459" i="2"/>
  <c r="L459" i="2"/>
  <c r="K459" i="2"/>
  <c r="B459" i="2"/>
  <c r="M458" i="2"/>
  <c r="L458" i="2"/>
  <c r="K458" i="2"/>
  <c r="B458" i="2"/>
  <c r="M457" i="2"/>
  <c r="L457" i="2"/>
  <c r="K457" i="2"/>
  <c r="B457" i="2"/>
  <c r="M456" i="2"/>
  <c r="L456" i="2"/>
  <c r="K456" i="2"/>
  <c r="B456" i="2"/>
  <c r="M455" i="2"/>
  <c r="L455" i="2"/>
  <c r="K455" i="2"/>
  <c r="B455" i="2"/>
  <c r="M454" i="2"/>
  <c r="L454" i="2"/>
  <c r="K454" i="2"/>
  <c r="B454" i="2"/>
  <c r="M453" i="2"/>
  <c r="L453" i="2"/>
  <c r="K453" i="2"/>
  <c r="B453" i="2"/>
  <c r="M452" i="2"/>
  <c r="L452" i="2"/>
  <c r="K452" i="2"/>
  <c r="B452" i="2"/>
  <c r="M451" i="2"/>
  <c r="L451" i="2"/>
  <c r="K451" i="2"/>
  <c r="B451" i="2"/>
  <c r="M450" i="2"/>
  <c r="L450" i="2"/>
  <c r="K450" i="2"/>
  <c r="B450" i="2"/>
  <c r="M449" i="2"/>
  <c r="L449" i="2"/>
  <c r="K449" i="2"/>
  <c r="B449" i="2"/>
  <c r="M448" i="2"/>
  <c r="L448" i="2"/>
  <c r="K448" i="2"/>
  <c r="B448" i="2"/>
  <c r="M447" i="2"/>
  <c r="L447" i="2"/>
  <c r="K447" i="2"/>
  <c r="B447" i="2"/>
  <c r="M446" i="2"/>
  <c r="L446" i="2"/>
  <c r="K446" i="2"/>
  <c r="B446" i="2"/>
  <c r="M445" i="2"/>
  <c r="L445" i="2"/>
  <c r="K445" i="2"/>
  <c r="B445" i="2"/>
  <c r="M444" i="2"/>
  <c r="L444" i="2"/>
  <c r="K444" i="2"/>
  <c r="B444" i="2"/>
  <c r="M443" i="2"/>
  <c r="L443" i="2"/>
  <c r="K443" i="2"/>
  <c r="B443" i="2"/>
  <c r="M442" i="2"/>
  <c r="L442" i="2"/>
  <c r="K442" i="2"/>
  <c r="B442" i="2"/>
  <c r="M441" i="2"/>
  <c r="L441" i="2"/>
  <c r="K441" i="2"/>
  <c r="B441" i="2"/>
  <c r="M440" i="2"/>
  <c r="L440" i="2"/>
  <c r="K440" i="2"/>
  <c r="B440" i="2"/>
  <c r="M439" i="2"/>
  <c r="L439" i="2"/>
  <c r="K439" i="2"/>
  <c r="B439" i="2"/>
  <c r="M438" i="2"/>
  <c r="L438" i="2"/>
  <c r="K438" i="2"/>
  <c r="B438" i="2"/>
  <c r="M437" i="2"/>
  <c r="L437" i="2"/>
  <c r="K437" i="2"/>
  <c r="B437" i="2"/>
  <c r="M436" i="2"/>
  <c r="L436" i="2"/>
  <c r="K436" i="2"/>
  <c r="B436" i="2"/>
  <c r="M435" i="2"/>
  <c r="L435" i="2"/>
  <c r="K435" i="2"/>
  <c r="B435" i="2"/>
  <c r="M434" i="2"/>
  <c r="L434" i="2"/>
  <c r="K434" i="2"/>
  <c r="B434" i="2"/>
  <c r="M433" i="2"/>
  <c r="L433" i="2"/>
  <c r="K433" i="2"/>
  <c r="B433" i="2"/>
  <c r="M432" i="2"/>
  <c r="L432" i="2"/>
  <c r="K432" i="2"/>
  <c r="B432" i="2"/>
  <c r="M431" i="2"/>
  <c r="L431" i="2"/>
  <c r="K431" i="2"/>
  <c r="B431" i="2"/>
  <c r="M430" i="2"/>
  <c r="L430" i="2"/>
  <c r="K430" i="2"/>
  <c r="B430" i="2"/>
  <c r="M429" i="2"/>
  <c r="L429" i="2"/>
  <c r="K429" i="2"/>
  <c r="B429" i="2"/>
  <c r="M428" i="2"/>
  <c r="L428" i="2"/>
  <c r="K428" i="2"/>
  <c r="B428" i="2"/>
  <c r="M427" i="2"/>
  <c r="L427" i="2"/>
  <c r="K427" i="2"/>
  <c r="B427" i="2"/>
  <c r="M426" i="2"/>
  <c r="L426" i="2"/>
  <c r="K426" i="2"/>
  <c r="B426" i="2"/>
  <c r="M425" i="2"/>
  <c r="L425" i="2"/>
  <c r="K425" i="2"/>
  <c r="B425" i="2"/>
  <c r="M424" i="2"/>
  <c r="L424" i="2"/>
  <c r="K424" i="2"/>
  <c r="B424" i="2"/>
  <c r="M423" i="2"/>
  <c r="L423" i="2"/>
  <c r="K423" i="2"/>
  <c r="B423" i="2"/>
  <c r="M422" i="2"/>
  <c r="L422" i="2"/>
  <c r="K422" i="2"/>
  <c r="B422" i="2"/>
  <c r="M421" i="2"/>
  <c r="L421" i="2"/>
  <c r="K421" i="2"/>
  <c r="B421" i="2"/>
  <c r="M420" i="2"/>
  <c r="L420" i="2"/>
  <c r="K420" i="2"/>
  <c r="B420" i="2"/>
  <c r="M419" i="2"/>
  <c r="L419" i="2"/>
  <c r="K419" i="2"/>
  <c r="B419" i="2"/>
  <c r="M418" i="2"/>
  <c r="L418" i="2"/>
  <c r="K418" i="2"/>
  <c r="B418" i="2"/>
  <c r="M417" i="2"/>
  <c r="L417" i="2"/>
  <c r="K417" i="2"/>
  <c r="B417" i="2"/>
  <c r="M416" i="2"/>
  <c r="L416" i="2"/>
  <c r="K416" i="2"/>
  <c r="B416" i="2"/>
  <c r="M415" i="2"/>
  <c r="L415" i="2"/>
  <c r="K415" i="2"/>
  <c r="B415" i="2"/>
  <c r="M414" i="2"/>
  <c r="L414" i="2"/>
  <c r="K414" i="2"/>
  <c r="B414" i="2"/>
  <c r="M413" i="2"/>
  <c r="L413" i="2"/>
  <c r="K413" i="2"/>
  <c r="B413" i="2"/>
  <c r="M412" i="2"/>
  <c r="L412" i="2"/>
  <c r="K412" i="2"/>
  <c r="B412" i="2"/>
  <c r="M411" i="2"/>
  <c r="L411" i="2"/>
  <c r="K411" i="2"/>
  <c r="B411" i="2"/>
  <c r="M410" i="2"/>
  <c r="L410" i="2"/>
  <c r="K410" i="2"/>
  <c r="B410" i="2"/>
  <c r="M409" i="2"/>
  <c r="L409" i="2"/>
  <c r="K409" i="2"/>
  <c r="B409" i="2"/>
  <c r="M408" i="2"/>
  <c r="L408" i="2"/>
  <c r="K408" i="2"/>
  <c r="B408" i="2"/>
  <c r="M407" i="2"/>
  <c r="L407" i="2"/>
  <c r="K407" i="2"/>
  <c r="B407" i="2"/>
  <c r="M406" i="2"/>
  <c r="L406" i="2"/>
  <c r="K406" i="2"/>
  <c r="B406" i="2"/>
  <c r="M405" i="2"/>
  <c r="L405" i="2"/>
  <c r="K405" i="2"/>
  <c r="B405" i="2"/>
  <c r="M404" i="2"/>
  <c r="L404" i="2"/>
  <c r="K404" i="2"/>
  <c r="B404" i="2"/>
  <c r="M403" i="2"/>
  <c r="L403" i="2"/>
  <c r="K403" i="2"/>
  <c r="B403" i="2"/>
  <c r="M402" i="2"/>
  <c r="L402" i="2"/>
  <c r="K402" i="2"/>
  <c r="B402" i="2"/>
  <c r="M401" i="2"/>
  <c r="L401" i="2"/>
  <c r="K401" i="2"/>
  <c r="B401" i="2"/>
  <c r="M400" i="2"/>
  <c r="L400" i="2"/>
  <c r="K400" i="2"/>
  <c r="B400" i="2"/>
  <c r="M399" i="2"/>
  <c r="L399" i="2"/>
  <c r="K399" i="2"/>
  <c r="B399" i="2"/>
  <c r="M398" i="2"/>
  <c r="L398" i="2"/>
  <c r="K398" i="2"/>
  <c r="B398" i="2"/>
  <c r="M397" i="2"/>
  <c r="L397" i="2"/>
  <c r="K397" i="2"/>
  <c r="B397" i="2"/>
  <c r="M396" i="2"/>
  <c r="L396" i="2"/>
  <c r="K396" i="2"/>
  <c r="B396" i="2"/>
  <c r="M395" i="2"/>
  <c r="L395" i="2"/>
  <c r="K395" i="2"/>
  <c r="B395" i="2"/>
  <c r="M394" i="2"/>
  <c r="L394" i="2"/>
  <c r="K394" i="2"/>
  <c r="B394" i="2"/>
  <c r="M393" i="2"/>
  <c r="L393" i="2"/>
  <c r="K393" i="2"/>
  <c r="B393" i="2"/>
  <c r="M392" i="2"/>
  <c r="L392" i="2"/>
  <c r="K392" i="2"/>
  <c r="B392" i="2"/>
  <c r="M391" i="2"/>
  <c r="L391" i="2"/>
  <c r="K391" i="2"/>
  <c r="B391" i="2"/>
  <c r="M390" i="2"/>
  <c r="L390" i="2"/>
  <c r="K390" i="2"/>
  <c r="B390" i="2"/>
  <c r="M389" i="2"/>
  <c r="L389" i="2"/>
  <c r="K389" i="2"/>
  <c r="B389" i="2"/>
  <c r="M388" i="2"/>
  <c r="L388" i="2"/>
  <c r="K388" i="2"/>
  <c r="B388" i="2"/>
  <c r="M387" i="2"/>
  <c r="L387" i="2"/>
  <c r="K387" i="2"/>
  <c r="B387" i="2"/>
  <c r="M386" i="2"/>
  <c r="L386" i="2"/>
  <c r="K386" i="2"/>
  <c r="B386" i="2"/>
  <c r="M385" i="2"/>
  <c r="L385" i="2"/>
  <c r="K385" i="2"/>
  <c r="B385" i="2"/>
  <c r="M384" i="2"/>
  <c r="L384" i="2"/>
  <c r="K384" i="2"/>
  <c r="B384" i="2"/>
  <c r="M383" i="2"/>
  <c r="L383" i="2"/>
  <c r="K383" i="2"/>
  <c r="B383" i="2"/>
  <c r="M382" i="2"/>
  <c r="L382" i="2"/>
  <c r="K382" i="2"/>
  <c r="B382" i="2"/>
  <c r="M381" i="2"/>
  <c r="L381" i="2"/>
  <c r="K381" i="2"/>
  <c r="B381" i="2"/>
  <c r="M380" i="2"/>
  <c r="L380" i="2"/>
  <c r="K380" i="2"/>
  <c r="B380" i="2"/>
  <c r="M379" i="2"/>
  <c r="L379" i="2"/>
  <c r="K379" i="2"/>
  <c r="B379" i="2"/>
  <c r="M378" i="2"/>
  <c r="L378" i="2"/>
  <c r="K378" i="2"/>
  <c r="B378" i="2"/>
  <c r="M377" i="2"/>
  <c r="L377" i="2"/>
  <c r="K377" i="2"/>
  <c r="B377" i="2"/>
  <c r="M376" i="2"/>
  <c r="L376" i="2"/>
  <c r="K376" i="2"/>
  <c r="B376" i="2"/>
  <c r="M375" i="2"/>
  <c r="L375" i="2"/>
  <c r="K375" i="2"/>
  <c r="B375" i="2"/>
  <c r="M374" i="2"/>
  <c r="L374" i="2"/>
  <c r="K374" i="2"/>
  <c r="B374" i="2"/>
  <c r="M373" i="2"/>
  <c r="L373" i="2"/>
  <c r="K373" i="2"/>
  <c r="B373" i="2"/>
  <c r="M372" i="2"/>
  <c r="L372" i="2"/>
  <c r="K372" i="2"/>
  <c r="B372" i="2"/>
  <c r="M371" i="2"/>
  <c r="L371" i="2"/>
  <c r="K371" i="2"/>
  <c r="B371" i="2"/>
  <c r="M370" i="2"/>
  <c r="L370" i="2"/>
  <c r="K370" i="2"/>
  <c r="B370" i="2"/>
  <c r="M369" i="2"/>
  <c r="L369" i="2"/>
  <c r="K369" i="2"/>
  <c r="B369" i="2"/>
  <c r="M368" i="2"/>
  <c r="L368" i="2"/>
  <c r="K368" i="2"/>
  <c r="B368" i="2"/>
  <c r="M367" i="2"/>
  <c r="L367" i="2"/>
  <c r="K367" i="2"/>
  <c r="B367" i="2"/>
  <c r="M366" i="2"/>
  <c r="L366" i="2"/>
  <c r="K366" i="2"/>
  <c r="B366" i="2"/>
  <c r="M365" i="2"/>
  <c r="L365" i="2"/>
  <c r="K365" i="2"/>
  <c r="B365" i="2"/>
  <c r="M364" i="2"/>
  <c r="L364" i="2"/>
  <c r="K364" i="2"/>
  <c r="B364" i="2"/>
  <c r="M363" i="2"/>
  <c r="L363" i="2"/>
  <c r="K363" i="2"/>
  <c r="B363" i="2"/>
  <c r="M362" i="2"/>
  <c r="L362" i="2"/>
  <c r="K362" i="2"/>
  <c r="B362" i="2"/>
  <c r="M361" i="2"/>
  <c r="L361" i="2"/>
  <c r="K361" i="2"/>
  <c r="B361" i="2"/>
  <c r="M360" i="2"/>
  <c r="L360" i="2"/>
  <c r="K360" i="2"/>
  <c r="B360" i="2"/>
  <c r="M359" i="2"/>
  <c r="L359" i="2"/>
  <c r="K359" i="2"/>
  <c r="B359" i="2"/>
  <c r="M358" i="2"/>
  <c r="L358" i="2"/>
  <c r="K358" i="2"/>
  <c r="B358" i="2"/>
  <c r="M357" i="2"/>
  <c r="L357" i="2"/>
  <c r="K357" i="2"/>
  <c r="B357" i="2"/>
  <c r="M356" i="2"/>
  <c r="L356" i="2"/>
  <c r="K356" i="2"/>
  <c r="B356" i="2"/>
  <c r="M355" i="2"/>
  <c r="L355" i="2"/>
  <c r="K355" i="2"/>
  <c r="B355" i="2"/>
  <c r="M354" i="2"/>
  <c r="L354" i="2"/>
  <c r="K354" i="2"/>
  <c r="B354" i="2"/>
  <c r="M353" i="2"/>
  <c r="L353" i="2"/>
  <c r="K353" i="2"/>
  <c r="B353" i="2"/>
  <c r="M352" i="2"/>
  <c r="L352" i="2"/>
  <c r="K352" i="2"/>
  <c r="B352" i="2"/>
  <c r="M351" i="2"/>
  <c r="L351" i="2"/>
  <c r="K351" i="2"/>
  <c r="B351" i="2"/>
  <c r="M350" i="2"/>
  <c r="L350" i="2"/>
  <c r="K350" i="2"/>
  <c r="B350" i="2"/>
  <c r="M349" i="2"/>
  <c r="L349" i="2"/>
  <c r="K349" i="2"/>
  <c r="B349" i="2"/>
  <c r="M348" i="2"/>
  <c r="L348" i="2"/>
  <c r="K348" i="2"/>
  <c r="B348" i="2"/>
  <c r="M347" i="2"/>
  <c r="L347" i="2"/>
  <c r="K347" i="2"/>
  <c r="B347" i="2"/>
  <c r="M346" i="2"/>
  <c r="L346" i="2"/>
  <c r="K346" i="2"/>
  <c r="B346" i="2"/>
  <c r="M345" i="2"/>
  <c r="L345" i="2"/>
  <c r="K345" i="2"/>
  <c r="B345" i="2"/>
  <c r="M344" i="2"/>
  <c r="L344" i="2"/>
  <c r="K344" i="2"/>
  <c r="B344" i="2"/>
  <c r="M343" i="2"/>
  <c r="L343" i="2"/>
  <c r="K343" i="2"/>
  <c r="B343" i="2"/>
  <c r="M342" i="2"/>
  <c r="L342" i="2"/>
  <c r="K342" i="2"/>
  <c r="B342" i="2"/>
  <c r="M341" i="2"/>
  <c r="L341" i="2"/>
  <c r="K341" i="2"/>
  <c r="B341" i="2"/>
  <c r="M340" i="2"/>
  <c r="L340" i="2"/>
  <c r="K340" i="2"/>
  <c r="B340" i="2"/>
  <c r="M339" i="2"/>
  <c r="L339" i="2"/>
  <c r="K339" i="2"/>
  <c r="B339" i="2"/>
  <c r="M338" i="2"/>
  <c r="L338" i="2"/>
  <c r="K338" i="2"/>
  <c r="B338" i="2"/>
  <c r="M337" i="2"/>
  <c r="L337" i="2"/>
  <c r="K337" i="2"/>
  <c r="B337" i="2"/>
  <c r="M336" i="2"/>
  <c r="L336" i="2"/>
  <c r="K336" i="2"/>
  <c r="B336" i="2"/>
  <c r="M335" i="2"/>
  <c r="L335" i="2"/>
  <c r="K335" i="2"/>
  <c r="B335" i="2"/>
  <c r="M334" i="2"/>
  <c r="L334" i="2"/>
  <c r="K334" i="2"/>
  <c r="B334" i="2"/>
  <c r="M333" i="2"/>
  <c r="L333" i="2"/>
  <c r="K333" i="2"/>
  <c r="B333" i="2"/>
  <c r="M332" i="2"/>
  <c r="L332" i="2"/>
  <c r="K332" i="2"/>
  <c r="B332" i="2"/>
  <c r="M331" i="2"/>
  <c r="L331" i="2"/>
  <c r="K331" i="2"/>
  <c r="B331" i="2"/>
  <c r="M330" i="2"/>
  <c r="L330" i="2"/>
  <c r="K330" i="2"/>
  <c r="B330" i="2"/>
  <c r="M329" i="2"/>
  <c r="L329" i="2"/>
  <c r="K329" i="2"/>
  <c r="B329" i="2"/>
  <c r="M328" i="2"/>
  <c r="L328" i="2"/>
  <c r="K328" i="2"/>
  <c r="B328" i="2"/>
  <c r="M327" i="2"/>
  <c r="L327" i="2"/>
  <c r="K327" i="2"/>
  <c r="B327" i="2"/>
  <c r="M326" i="2"/>
  <c r="L326" i="2"/>
  <c r="K326" i="2"/>
  <c r="B326" i="2"/>
  <c r="M325" i="2"/>
  <c r="L325" i="2"/>
  <c r="K325" i="2"/>
  <c r="B325" i="2"/>
  <c r="M324" i="2"/>
  <c r="L324" i="2"/>
  <c r="K324" i="2"/>
  <c r="B324" i="2"/>
  <c r="M323" i="2"/>
  <c r="L323" i="2"/>
  <c r="K323" i="2"/>
  <c r="B323" i="2"/>
  <c r="M322" i="2"/>
  <c r="L322" i="2"/>
  <c r="K322" i="2"/>
  <c r="B322" i="2"/>
  <c r="M321" i="2"/>
  <c r="L321" i="2"/>
  <c r="K321" i="2"/>
  <c r="B321" i="2"/>
  <c r="M320" i="2"/>
  <c r="L320" i="2"/>
  <c r="K320" i="2"/>
  <c r="B320" i="2"/>
  <c r="M319" i="2"/>
  <c r="L319" i="2"/>
  <c r="K319" i="2"/>
  <c r="B319" i="2"/>
  <c r="M318" i="2"/>
  <c r="L318" i="2"/>
  <c r="K318" i="2"/>
  <c r="B318" i="2"/>
  <c r="M317" i="2"/>
  <c r="L317" i="2"/>
  <c r="K317" i="2"/>
  <c r="B317" i="2"/>
  <c r="M316" i="2"/>
  <c r="L316" i="2"/>
  <c r="K316" i="2"/>
  <c r="B316" i="2"/>
  <c r="M315" i="2"/>
  <c r="L315" i="2"/>
  <c r="K315" i="2"/>
  <c r="B315" i="2"/>
  <c r="M314" i="2"/>
  <c r="L314" i="2"/>
  <c r="K314" i="2"/>
  <c r="B314" i="2"/>
  <c r="M313" i="2"/>
  <c r="L313" i="2"/>
  <c r="K313" i="2"/>
  <c r="B313" i="2"/>
  <c r="M312" i="2"/>
  <c r="L312" i="2"/>
  <c r="K312" i="2"/>
  <c r="B312" i="2"/>
  <c r="M311" i="2"/>
  <c r="L311" i="2"/>
  <c r="K311" i="2"/>
  <c r="B311" i="2"/>
  <c r="M310" i="2"/>
  <c r="L310" i="2"/>
  <c r="K310" i="2"/>
  <c r="B310" i="2"/>
  <c r="M309" i="2"/>
  <c r="L309" i="2"/>
  <c r="K309" i="2"/>
  <c r="B309" i="2"/>
  <c r="M308" i="2"/>
  <c r="L308" i="2"/>
  <c r="K308" i="2"/>
  <c r="B308" i="2"/>
  <c r="M307" i="2"/>
  <c r="L307" i="2"/>
  <c r="K307" i="2"/>
  <c r="B307" i="2"/>
  <c r="M306" i="2"/>
  <c r="L306" i="2"/>
  <c r="K306" i="2"/>
  <c r="B306" i="2"/>
  <c r="M305" i="2"/>
  <c r="L305" i="2"/>
  <c r="K305" i="2"/>
  <c r="B305" i="2"/>
  <c r="M304" i="2"/>
  <c r="L304" i="2"/>
  <c r="K304" i="2"/>
  <c r="B304" i="2"/>
  <c r="M303" i="2"/>
  <c r="L303" i="2"/>
  <c r="K303" i="2"/>
  <c r="B303" i="2"/>
  <c r="M302" i="2"/>
  <c r="L302" i="2"/>
  <c r="K302" i="2"/>
  <c r="B302" i="2"/>
  <c r="M301" i="2"/>
  <c r="L301" i="2"/>
  <c r="K301" i="2"/>
  <c r="B301" i="2"/>
  <c r="M300" i="2"/>
  <c r="L300" i="2"/>
  <c r="K300" i="2"/>
  <c r="B300" i="2"/>
  <c r="M299" i="2"/>
  <c r="L299" i="2"/>
  <c r="K299" i="2"/>
  <c r="B299" i="2"/>
  <c r="M298" i="2"/>
  <c r="L298" i="2"/>
  <c r="K298" i="2"/>
  <c r="B298" i="2"/>
  <c r="M297" i="2"/>
  <c r="L297" i="2"/>
  <c r="K297" i="2"/>
  <c r="B297" i="2"/>
  <c r="M296" i="2"/>
  <c r="L296" i="2"/>
  <c r="K296" i="2"/>
  <c r="B296" i="2"/>
  <c r="M295" i="2"/>
  <c r="L295" i="2"/>
  <c r="K295" i="2"/>
  <c r="B295" i="2"/>
  <c r="M294" i="2"/>
  <c r="L294" i="2"/>
  <c r="K294" i="2"/>
  <c r="B294" i="2"/>
  <c r="M293" i="2"/>
  <c r="L293" i="2"/>
  <c r="K293" i="2"/>
  <c r="B293" i="2"/>
  <c r="M292" i="2"/>
  <c r="L292" i="2"/>
  <c r="K292" i="2"/>
  <c r="B292" i="2"/>
  <c r="M291" i="2"/>
  <c r="L291" i="2"/>
  <c r="K291" i="2"/>
  <c r="B291" i="2"/>
  <c r="M290" i="2"/>
  <c r="L290" i="2"/>
  <c r="K290" i="2"/>
  <c r="B290" i="2"/>
  <c r="M289" i="2"/>
  <c r="L289" i="2"/>
  <c r="K289" i="2"/>
  <c r="B289" i="2"/>
  <c r="M288" i="2"/>
  <c r="L288" i="2"/>
  <c r="K288" i="2"/>
  <c r="B288" i="2"/>
  <c r="M287" i="2"/>
  <c r="L287" i="2"/>
  <c r="K287" i="2"/>
  <c r="B287" i="2"/>
  <c r="M286" i="2"/>
  <c r="L286" i="2"/>
  <c r="K286" i="2"/>
  <c r="B286" i="2"/>
  <c r="M285" i="2"/>
  <c r="L285" i="2"/>
  <c r="K285" i="2"/>
  <c r="B285" i="2"/>
  <c r="M284" i="2"/>
  <c r="L284" i="2"/>
  <c r="K284" i="2"/>
  <c r="B284" i="2"/>
  <c r="M283" i="2"/>
  <c r="L283" i="2"/>
  <c r="K283" i="2"/>
  <c r="B283" i="2"/>
  <c r="M282" i="2"/>
  <c r="L282" i="2"/>
  <c r="K282" i="2"/>
  <c r="B282" i="2"/>
  <c r="M281" i="2"/>
  <c r="L281" i="2"/>
  <c r="K281" i="2"/>
  <c r="B281" i="2"/>
  <c r="M280" i="2"/>
  <c r="L280" i="2"/>
  <c r="K280" i="2"/>
  <c r="B280" i="2"/>
  <c r="M279" i="2"/>
  <c r="L279" i="2"/>
  <c r="K279" i="2"/>
  <c r="B279" i="2"/>
  <c r="M278" i="2"/>
  <c r="L278" i="2"/>
  <c r="K278" i="2"/>
  <c r="B278" i="2"/>
  <c r="M277" i="2"/>
  <c r="L277" i="2"/>
  <c r="K277" i="2"/>
  <c r="B277" i="2"/>
  <c r="M276" i="2"/>
  <c r="L276" i="2"/>
  <c r="K276" i="2"/>
  <c r="B276" i="2"/>
  <c r="M275" i="2"/>
  <c r="L275" i="2"/>
  <c r="K275" i="2"/>
  <c r="B275" i="2"/>
  <c r="M274" i="2"/>
  <c r="L274" i="2"/>
  <c r="K274" i="2"/>
  <c r="B274" i="2"/>
  <c r="M273" i="2"/>
  <c r="L273" i="2"/>
  <c r="K273" i="2"/>
  <c r="B273" i="2"/>
  <c r="M272" i="2"/>
  <c r="L272" i="2"/>
  <c r="K272" i="2"/>
  <c r="B272" i="2"/>
  <c r="M271" i="2"/>
  <c r="L271" i="2"/>
  <c r="K271" i="2"/>
  <c r="B271" i="2"/>
  <c r="M270" i="2"/>
  <c r="L270" i="2"/>
  <c r="K270" i="2"/>
  <c r="B270" i="2"/>
  <c r="M269" i="2"/>
  <c r="L269" i="2"/>
  <c r="K269" i="2"/>
  <c r="B269" i="2"/>
  <c r="M268" i="2"/>
  <c r="L268" i="2"/>
  <c r="K268" i="2"/>
  <c r="B268" i="2"/>
  <c r="M267" i="2"/>
  <c r="L267" i="2"/>
  <c r="K267" i="2"/>
  <c r="B267" i="2"/>
  <c r="M266" i="2"/>
  <c r="L266" i="2"/>
  <c r="K266" i="2"/>
  <c r="B266" i="2"/>
  <c r="M265" i="2"/>
  <c r="L265" i="2"/>
  <c r="K265" i="2"/>
  <c r="B265" i="2"/>
  <c r="M264" i="2"/>
  <c r="L264" i="2"/>
  <c r="K264" i="2"/>
  <c r="B264" i="2"/>
  <c r="M263" i="2"/>
  <c r="L263" i="2"/>
  <c r="K263" i="2"/>
  <c r="B263" i="2"/>
  <c r="M262" i="2"/>
  <c r="L262" i="2"/>
  <c r="K262" i="2"/>
  <c r="B262" i="2"/>
  <c r="M261" i="2"/>
  <c r="L261" i="2"/>
  <c r="K261" i="2"/>
  <c r="B261" i="2"/>
  <c r="M260" i="2"/>
  <c r="L260" i="2"/>
  <c r="K260" i="2"/>
  <c r="B260" i="2"/>
  <c r="M259" i="2"/>
  <c r="L259" i="2"/>
  <c r="K259" i="2"/>
  <c r="B259" i="2"/>
  <c r="M258" i="2"/>
  <c r="L258" i="2"/>
  <c r="K258" i="2"/>
  <c r="B258" i="2"/>
  <c r="M257" i="2"/>
  <c r="L257" i="2"/>
  <c r="K257" i="2"/>
  <c r="B257" i="2"/>
  <c r="M256" i="2"/>
  <c r="L256" i="2"/>
  <c r="K256" i="2"/>
  <c r="B256" i="2"/>
  <c r="M255" i="2"/>
  <c r="L255" i="2"/>
  <c r="K255" i="2"/>
  <c r="B255" i="2"/>
  <c r="M254" i="2"/>
  <c r="L254" i="2"/>
  <c r="K254" i="2"/>
  <c r="B254" i="2"/>
  <c r="M253" i="2"/>
  <c r="L253" i="2"/>
  <c r="K253" i="2"/>
  <c r="B253" i="2"/>
  <c r="M252" i="2"/>
  <c r="L252" i="2"/>
  <c r="K252" i="2"/>
  <c r="B252" i="2"/>
  <c r="M251" i="2"/>
  <c r="L251" i="2"/>
  <c r="K251" i="2"/>
  <c r="B251" i="2"/>
  <c r="M250" i="2"/>
  <c r="L250" i="2"/>
  <c r="K250" i="2"/>
  <c r="B250" i="2"/>
  <c r="M249" i="2"/>
  <c r="L249" i="2"/>
  <c r="K249" i="2"/>
  <c r="B249" i="2"/>
  <c r="M248" i="2"/>
  <c r="L248" i="2"/>
  <c r="K248" i="2"/>
  <c r="B248" i="2"/>
  <c r="M247" i="2"/>
  <c r="L247" i="2"/>
  <c r="K247" i="2"/>
  <c r="B247" i="2"/>
  <c r="M246" i="2"/>
  <c r="L246" i="2"/>
  <c r="K246" i="2"/>
  <c r="B246" i="2"/>
  <c r="M245" i="2"/>
  <c r="L245" i="2"/>
  <c r="K245" i="2"/>
  <c r="B245" i="2"/>
  <c r="M244" i="2"/>
  <c r="L244" i="2"/>
  <c r="K244" i="2"/>
  <c r="B244" i="2"/>
  <c r="M243" i="2"/>
  <c r="L243" i="2"/>
  <c r="K243" i="2"/>
  <c r="B243" i="2"/>
  <c r="M242" i="2"/>
  <c r="L242" i="2"/>
  <c r="K242" i="2"/>
  <c r="B242" i="2"/>
  <c r="M241" i="2"/>
  <c r="L241" i="2"/>
  <c r="K241" i="2"/>
  <c r="B241" i="2"/>
  <c r="M240" i="2"/>
  <c r="L240" i="2"/>
  <c r="K240" i="2"/>
  <c r="B240" i="2"/>
  <c r="M239" i="2"/>
  <c r="L239" i="2"/>
  <c r="K239" i="2"/>
  <c r="B239" i="2"/>
  <c r="M238" i="2"/>
  <c r="L238" i="2"/>
  <c r="K238" i="2"/>
  <c r="B238" i="2"/>
  <c r="M237" i="2"/>
  <c r="L237" i="2"/>
  <c r="K237" i="2"/>
  <c r="B237" i="2"/>
  <c r="M236" i="2"/>
  <c r="L236" i="2"/>
  <c r="K236" i="2"/>
  <c r="B236" i="2"/>
  <c r="M235" i="2"/>
  <c r="L235" i="2"/>
  <c r="K235" i="2"/>
  <c r="B235" i="2"/>
  <c r="M234" i="2"/>
  <c r="L234" i="2"/>
  <c r="K234" i="2"/>
  <c r="B234" i="2"/>
  <c r="M233" i="2"/>
  <c r="L233" i="2"/>
  <c r="K233" i="2"/>
  <c r="B233" i="2"/>
  <c r="M232" i="2"/>
  <c r="L232" i="2"/>
  <c r="K232" i="2"/>
  <c r="B232" i="2"/>
  <c r="M231" i="2"/>
  <c r="L231" i="2"/>
  <c r="K231" i="2"/>
  <c r="B231" i="2"/>
  <c r="M230" i="2"/>
  <c r="L230" i="2"/>
  <c r="K230" i="2"/>
  <c r="B230" i="2"/>
  <c r="M229" i="2"/>
  <c r="L229" i="2"/>
  <c r="K229" i="2"/>
  <c r="B229" i="2"/>
  <c r="M228" i="2"/>
  <c r="L228" i="2"/>
  <c r="K228" i="2"/>
  <c r="B228" i="2"/>
  <c r="M227" i="2"/>
  <c r="L227" i="2"/>
  <c r="K227" i="2"/>
  <c r="B227" i="2"/>
  <c r="M226" i="2"/>
  <c r="L226" i="2"/>
  <c r="K226" i="2"/>
  <c r="B226" i="2"/>
  <c r="M225" i="2"/>
  <c r="L225" i="2"/>
  <c r="K225" i="2"/>
  <c r="B225" i="2"/>
  <c r="M224" i="2"/>
  <c r="L224" i="2"/>
  <c r="K224" i="2"/>
  <c r="B224" i="2"/>
  <c r="M223" i="2"/>
  <c r="L223" i="2"/>
  <c r="K223" i="2"/>
  <c r="B223" i="2"/>
  <c r="M222" i="2"/>
  <c r="L222" i="2"/>
  <c r="K222" i="2"/>
  <c r="B222" i="2"/>
  <c r="M221" i="2"/>
  <c r="L221" i="2"/>
  <c r="K221" i="2"/>
  <c r="B221" i="2"/>
  <c r="M220" i="2"/>
  <c r="L220" i="2"/>
  <c r="K220" i="2"/>
  <c r="B220" i="2"/>
  <c r="M219" i="2"/>
  <c r="L219" i="2"/>
  <c r="K219" i="2"/>
  <c r="B219" i="2"/>
  <c r="M218" i="2"/>
  <c r="L218" i="2"/>
  <c r="K218" i="2"/>
  <c r="B218" i="2"/>
  <c r="M217" i="2"/>
  <c r="L217" i="2"/>
  <c r="K217" i="2"/>
  <c r="B217" i="2"/>
  <c r="M216" i="2"/>
  <c r="L216" i="2"/>
  <c r="K216" i="2"/>
  <c r="B216" i="2"/>
  <c r="M215" i="2"/>
  <c r="L215" i="2"/>
  <c r="K215" i="2"/>
  <c r="B215" i="2"/>
  <c r="M214" i="2"/>
  <c r="L214" i="2"/>
  <c r="K214" i="2"/>
  <c r="B214" i="2"/>
  <c r="M213" i="2"/>
  <c r="L213" i="2"/>
  <c r="K213" i="2"/>
  <c r="B213" i="2"/>
  <c r="M212" i="2"/>
  <c r="L212" i="2"/>
  <c r="K212" i="2"/>
  <c r="B212" i="2"/>
  <c r="M211" i="2"/>
  <c r="L211" i="2"/>
  <c r="K211" i="2"/>
  <c r="B211" i="2"/>
  <c r="M210" i="2"/>
  <c r="L210" i="2"/>
  <c r="K210" i="2"/>
  <c r="B210" i="2"/>
  <c r="M209" i="2"/>
  <c r="L209" i="2"/>
  <c r="K209" i="2"/>
  <c r="B209" i="2"/>
  <c r="M208" i="2"/>
  <c r="L208" i="2"/>
  <c r="K208" i="2"/>
  <c r="B208" i="2"/>
  <c r="M207" i="2"/>
  <c r="L207" i="2"/>
  <c r="K207" i="2"/>
  <c r="B207" i="2"/>
  <c r="L206" i="2"/>
  <c r="M206" i="2" s="1"/>
  <c r="K206" i="2"/>
  <c r="B206" i="2"/>
  <c r="M205" i="2"/>
  <c r="L205" i="2"/>
  <c r="K205" i="2"/>
  <c r="B205" i="2"/>
  <c r="L204" i="2"/>
  <c r="M204" i="2" s="1"/>
  <c r="K204" i="2"/>
  <c r="B204" i="2"/>
  <c r="L203" i="2"/>
  <c r="M203" i="2" s="1"/>
  <c r="K203" i="2"/>
  <c r="B203" i="2"/>
  <c r="M202" i="2"/>
  <c r="L202" i="2"/>
  <c r="K202" i="2"/>
  <c r="C43" i="1" s="1"/>
  <c r="B202" i="2"/>
  <c r="L201" i="2"/>
  <c r="M201" i="2" s="1"/>
  <c r="K201" i="2"/>
  <c r="G43" i="1" s="1"/>
  <c r="P43" i="1" s="1"/>
  <c r="B201" i="2"/>
  <c r="M200" i="2"/>
  <c r="L200" i="2"/>
  <c r="K200" i="2"/>
  <c r="B200" i="2"/>
  <c r="L199" i="2"/>
  <c r="M199" i="2" s="1"/>
  <c r="K199" i="2"/>
  <c r="B199" i="2"/>
  <c r="L198" i="2"/>
  <c r="M198" i="2" s="1"/>
  <c r="K198" i="2"/>
  <c r="B198" i="2"/>
  <c r="M197" i="2"/>
  <c r="L197" i="2"/>
  <c r="K197" i="2"/>
  <c r="B197" i="2"/>
  <c r="L196" i="2"/>
  <c r="M196" i="2" s="1"/>
  <c r="K196" i="2"/>
  <c r="B196" i="2"/>
  <c r="M195" i="2"/>
  <c r="L195" i="2"/>
  <c r="K195" i="2"/>
  <c r="B195" i="2"/>
  <c r="L194" i="2"/>
  <c r="M194" i="2" s="1"/>
  <c r="K194" i="2"/>
  <c r="B194" i="2"/>
  <c r="L193" i="2"/>
  <c r="M193" i="2" s="1"/>
  <c r="K193" i="2"/>
  <c r="D42" i="1" s="1"/>
  <c r="B193" i="2"/>
  <c r="M192" i="2"/>
  <c r="L192" i="2"/>
  <c r="K192" i="2"/>
  <c r="B192" i="2"/>
  <c r="L191" i="2"/>
  <c r="M191" i="2" s="1"/>
  <c r="K191" i="2"/>
  <c r="B191" i="2"/>
  <c r="M190" i="2"/>
  <c r="L190" i="2"/>
  <c r="K190" i="2"/>
  <c r="B190" i="2"/>
  <c r="L189" i="2"/>
  <c r="M189" i="2" s="1"/>
  <c r="K189" i="2"/>
  <c r="B189" i="2"/>
  <c r="L188" i="2"/>
  <c r="M188" i="2" s="1"/>
  <c r="K188" i="2"/>
  <c r="B188" i="2"/>
  <c r="M187" i="2"/>
  <c r="L187" i="2"/>
  <c r="K187" i="2"/>
  <c r="B187" i="2"/>
  <c r="L186" i="2"/>
  <c r="M186" i="2" s="1"/>
  <c r="K186" i="2"/>
  <c r="B186" i="2"/>
  <c r="M185" i="2"/>
  <c r="L185" i="2"/>
  <c r="K185" i="2"/>
  <c r="B185" i="2"/>
  <c r="L184" i="2"/>
  <c r="M184" i="2" s="1"/>
  <c r="K184" i="2"/>
  <c r="B184" i="2"/>
  <c r="L183" i="2"/>
  <c r="M183" i="2" s="1"/>
  <c r="K183" i="2"/>
  <c r="F42" i="1" s="1"/>
  <c r="B183" i="2"/>
  <c r="M182" i="2"/>
  <c r="L182" i="2"/>
  <c r="K182" i="2"/>
  <c r="B182" i="2"/>
  <c r="L181" i="2"/>
  <c r="M181" i="2" s="1"/>
  <c r="K181" i="2"/>
  <c r="G42" i="1" s="1"/>
  <c r="P42" i="1" s="1"/>
  <c r="B181" i="2"/>
  <c r="M180" i="2"/>
  <c r="L180" i="2"/>
  <c r="K180" i="2"/>
  <c r="B180" i="2"/>
  <c r="L179" i="2"/>
  <c r="M179" i="2" s="1"/>
  <c r="K179" i="2"/>
  <c r="B179" i="2"/>
  <c r="L178" i="2"/>
  <c r="M178" i="2" s="1"/>
  <c r="K178" i="2"/>
  <c r="B178" i="2"/>
  <c r="M177" i="2"/>
  <c r="L177" i="2"/>
  <c r="K177" i="2"/>
  <c r="B177" i="2"/>
  <c r="L176" i="2"/>
  <c r="M176" i="2" s="1"/>
  <c r="K176" i="2"/>
  <c r="B176" i="2"/>
  <c r="M175" i="2"/>
  <c r="L175" i="2"/>
  <c r="K175" i="2"/>
  <c r="B175" i="2"/>
  <c r="L174" i="2"/>
  <c r="M174" i="2" s="1"/>
  <c r="K174" i="2"/>
  <c r="B174" i="2"/>
  <c r="L173" i="2"/>
  <c r="M173" i="2" s="1"/>
  <c r="K173" i="2"/>
  <c r="B173" i="2"/>
  <c r="M172" i="2"/>
  <c r="L172" i="2"/>
  <c r="K172" i="2"/>
  <c r="B172" i="2"/>
  <c r="L171" i="2"/>
  <c r="M171" i="2" s="1"/>
  <c r="K171" i="2"/>
  <c r="B171" i="2"/>
  <c r="M170" i="2"/>
  <c r="L170" i="2"/>
  <c r="K170" i="2"/>
  <c r="B170" i="2"/>
  <c r="L169" i="2"/>
  <c r="M169" i="2" s="1"/>
  <c r="K169" i="2"/>
  <c r="B169" i="2"/>
  <c r="L168" i="2"/>
  <c r="M168" i="2" s="1"/>
  <c r="K168" i="2"/>
  <c r="B168" i="2"/>
  <c r="M167" i="2"/>
  <c r="L167" i="2"/>
  <c r="K167" i="2"/>
  <c r="B167" i="2"/>
  <c r="L166" i="2"/>
  <c r="M166" i="2" s="1"/>
  <c r="K166" i="2"/>
  <c r="B166" i="2"/>
  <c r="M165" i="2"/>
  <c r="L165" i="2"/>
  <c r="K165" i="2"/>
  <c r="B165" i="2"/>
  <c r="L164" i="2"/>
  <c r="M164" i="2" s="1"/>
  <c r="K164" i="2"/>
  <c r="B164" i="2"/>
  <c r="L163" i="2"/>
  <c r="M163" i="2" s="1"/>
  <c r="K163" i="2"/>
  <c r="G41" i="1" s="1"/>
  <c r="B163" i="2"/>
  <c r="M162" i="2"/>
  <c r="L162" i="2"/>
  <c r="K162" i="2"/>
  <c r="B162" i="2"/>
  <c r="L161" i="2"/>
  <c r="M161" i="2" s="1"/>
  <c r="K161" i="2"/>
  <c r="F41" i="1" s="1"/>
  <c r="B161" i="2"/>
  <c r="M160" i="2"/>
  <c r="L160" i="2"/>
  <c r="K160" i="2"/>
  <c r="B160" i="2"/>
  <c r="L159" i="2"/>
  <c r="M159" i="2" s="1"/>
  <c r="K159" i="2"/>
  <c r="B159" i="2"/>
  <c r="L158" i="2"/>
  <c r="M158" i="2" s="1"/>
  <c r="K158" i="2"/>
  <c r="D40" i="1" s="1"/>
  <c r="B158" i="2"/>
  <c r="M157" i="2"/>
  <c r="L157" i="2"/>
  <c r="K157" i="2"/>
  <c r="B157" i="2"/>
  <c r="L156" i="2"/>
  <c r="M156" i="2" s="1"/>
  <c r="K156" i="2"/>
  <c r="B156" i="2"/>
  <c r="M155" i="2"/>
  <c r="L155" i="2"/>
  <c r="K155" i="2"/>
  <c r="B155" i="2"/>
  <c r="L154" i="2"/>
  <c r="M154" i="2" s="1"/>
  <c r="K154" i="2"/>
  <c r="B154" i="2"/>
  <c r="L153" i="2"/>
  <c r="M153" i="2" s="1"/>
  <c r="K153" i="2"/>
  <c r="B153" i="2"/>
  <c r="M152" i="2"/>
  <c r="L152" i="2"/>
  <c r="K152" i="2"/>
  <c r="B152" i="2"/>
  <c r="L151" i="2"/>
  <c r="M151" i="2" s="1"/>
  <c r="K151" i="2"/>
  <c r="B151" i="2"/>
  <c r="M150" i="2"/>
  <c r="L150" i="2"/>
  <c r="K150" i="2"/>
  <c r="B150" i="2"/>
  <c r="L149" i="2"/>
  <c r="M149" i="2" s="1"/>
  <c r="K149" i="2"/>
  <c r="B149" i="2"/>
  <c r="L148" i="2"/>
  <c r="M148" i="2" s="1"/>
  <c r="K148" i="2"/>
  <c r="G40" i="1" s="1"/>
  <c r="B148" i="2"/>
  <c r="M147" i="2"/>
  <c r="L147" i="2"/>
  <c r="K147" i="2"/>
  <c r="B147" i="2"/>
  <c r="L146" i="2"/>
  <c r="M146" i="2" s="1"/>
  <c r="K146" i="2"/>
  <c r="B146" i="2"/>
  <c r="M145" i="2"/>
  <c r="L145" i="2"/>
  <c r="K145" i="2"/>
  <c r="B145" i="2"/>
  <c r="L144" i="2"/>
  <c r="M144" i="2" s="1"/>
  <c r="K144" i="2"/>
  <c r="B144" i="2"/>
  <c r="L143" i="2"/>
  <c r="M143" i="2" s="1"/>
  <c r="K143" i="2"/>
  <c r="B143" i="2"/>
  <c r="M142" i="2"/>
  <c r="L142" i="2"/>
  <c r="K142" i="2"/>
  <c r="B142" i="2"/>
  <c r="L141" i="2"/>
  <c r="M141" i="2" s="1"/>
  <c r="K141" i="2"/>
  <c r="B141" i="2"/>
  <c r="M140" i="2"/>
  <c r="L140" i="2"/>
  <c r="K140" i="2"/>
  <c r="B140" i="2"/>
  <c r="L139" i="2"/>
  <c r="M139" i="2" s="1"/>
  <c r="K139" i="2"/>
  <c r="B139" i="2"/>
  <c r="L138" i="2"/>
  <c r="M138" i="2" s="1"/>
  <c r="K138" i="2"/>
  <c r="G39" i="1" s="1"/>
  <c r="B138" i="2"/>
  <c r="M137" i="2"/>
  <c r="L137" i="2"/>
  <c r="K137" i="2"/>
  <c r="D39" i="1" s="1"/>
  <c r="B137" i="2"/>
  <c r="L136" i="2"/>
  <c r="M136" i="2" s="1"/>
  <c r="K136" i="2"/>
  <c r="F39" i="1" s="1"/>
  <c r="B136" i="2"/>
  <c r="M135" i="2"/>
  <c r="L135" i="2"/>
  <c r="K135" i="2"/>
  <c r="B135" i="2"/>
  <c r="L134" i="2"/>
  <c r="M134" i="2" s="1"/>
  <c r="K134" i="2"/>
  <c r="B134" i="2"/>
  <c r="L133" i="2"/>
  <c r="M133" i="2" s="1"/>
  <c r="K133" i="2"/>
  <c r="F38" i="1" s="1"/>
  <c r="B133" i="2"/>
  <c r="M132" i="2"/>
  <c r="L132" i="2"/>
  <c r="K132" i="2"/>
  <c r="B132" i="2"/>
  <c r="L131" i="2"/>
  <c r="M131" i="2" s="1"/>
  <c r="K131" i="2"/>
  <c r="B131" i="2"/>
  <c r="M130" i="2"/>
  <c r="L130" i="2"/>
  <c r="K130" i="2"/>
  <c r="B130" i="2"/>
  <c r="L129" i="2"/>
  <c r="M129" i="2" s="1"/>
  <c r="K129" i="2"/>
  <c r="B129" i="2"/>
  <c r="L128" i="2"/>
  <c r="M128" i="2" s="1"/>
  <c r="K128" i="2"/>
  <c r="B128" i="2"/>
  <c r="M127" i="2"/>
  <c r="L127" i="2"/>
  <c r="K127" i="2"/>
  <c r="B127" i="2"/>
  <c r="L126" i="2"/>
  <c r="M126" i="2" s="1"/>
  <c r="K126" i="2"/>
  <c r="B126" i="2"/>
  <c r="M125" i="2"/>
  <c r="L125" i="2"/>
  <c r="K125" i="2"/>
  <c r="B125" i="2"/>
  <c r="L124" i="2"/>
  <c r="M124" i="2" s="1"/>
  <c r="K124" i="2"/>
  <c r="B124" i="2"/>
  <c r="L123" i="2"/>
  <c r="M123" i="2" s="1"/>
  <c r="K123" i="2"/>
  <c r="C38" i="1" s="1"/>
  <c r="B123" i="2"/>
  <c r="M122" i="2"/>
  <c r="L122" i="2"/>
  <c r="K122" i="2"/>
  <c r="B122" i="2"/>
  <c r="L121" i="2"/>
  <c r="M121" i="2" s="1"/>
  <c r="K121" i="2"/>
  <c r="B121" i="2"/>
  <c r="M120" i="2"/>
  <c r="L120" i="2"/>
  <c r="K120" i="2"/>
  <c r="B120" i="2"/>
  <c r="L119" i="2"/>
  <c r="M119" i="2" s="1"/>
  <c r="K119" i="2"/>
  <c r="B119" i="2"/>
  <c r="L118" i="2"/>
  <c r="M118" i="2" s="1"/>
  <c r="K118" i="2"/>
  <c r="D38" i="1" s="1"/>
  <c r="B118" i="2"/>
  <c r="M117" i="2"/>
  <c r="L117" i="2"/>
  <c r="K117" i="2"/>
  <c r="B117" i="2"/>
  <c r="L116" i="2"/>
  <c r="M116" i="2" s="1"/>
  <c r="K116" i="2"/>
  <c r="B116" i="2"/>
  <c r="M115" i="2"/>
  <c r="L115" i="2"/>
  <c r="K115" i="2"/>
  <c r="B115" i="2"/>
  <c r="L114" i="2"/>
  <c r="M114" i="2" s="1"/>
  <c r="K114" i="2"/>
  <c r="B114" i="2"/>
  <c r="L113" i="2"/>
  <c r="M113" i="2" s="1"/>
  <c r="K113" i="2"/>
  <c r="B113" i="2"/>
  <c r="M112" i="2"/>
  <c r="L112" i="2"/>
  <c r="K112" i="2"/>
  <c r="B112" i="2"/>
  <c r="L111" i="2"/>
  <c r="M111" i="2" s="1"/>
  <c r="K111" i="2"/>
  <c r="B111" i="2"/>
  <c r="M110" i="2"/>
  <c r="L110" i="2"/>
  <c r="K110" i="2"/>
  <c r="B110" i="2"/>
  <c r="L109" i="2"/>
  <c r="M109" i="2" s="1"/>
  <c r="K109" i="2"/>
  <c r="B109" i="2"/>
  <c r="L108" i="2"/>
  <c r="M108" i="2" s="1"/>
  <c r="K108" i="2"/>
  <c r="B108" i="2"/>
  <c r="M107" i="2"/>
  <c r="L107" i="2"/>
  <c r="K107" i="2"/>
  <c r="B107" i="2"/>
  <c r="L106" i="2"/>
  <c r="M106" i="2" s="1"/>
  <c r="K106" i="2"/>
  <c r="B106" i="2"/>
  <c r="M105" i="2"/>
  <c r="L105" i="2"/>
  <c r="K105" i="2"/>
  <c r="B105" i="2"/>
  <c r="L104" i="2"/>
  <c r="M104" i="2" s="1"/>
  <c r="K104" i="2"/>
  <c r="B104" i="2"/>
  <c r="L103" i="2"/>
  <c r="M103" i="2" s="1"/>
  <c r="K103" i="2"/>
  <c r="C37" i="1" s="1"/>
  <c r="B103" i="2"/>
  <c r="M102" i="2"/>
  <c r="L102" i="2"/>
  <c r="K102" i="2"/>
  <c r="B102" i="2"/>
  <c r="L101" i="2"/>
  <c r="M101" i="2" s="1"/>
  <c r="K101" i="2"/>
  <c r="G37" i="1" s="1"/>
  <c r="P37" i="1" s="1"/>
  <c r="B101" i="2"/>
  <c r="M100" i="2"/>
  <c r="L100" i="2"/>
  <c r="K100" i="2"/>
  <c r="B100" i="2"/>
  <c r="L99" i="2"/>
  <c r="M99" i="2" s="1"/>
  <c r="K99" i="2"/>
  <c r="B99" i="2"/>
  <c r="L98" i="2"/>
  <c r="M98" i="2" s="1"/>
  <c r="K98" i="2"/>
  <c r="B98" i="2"/>
  <c r="M97" i="2"/>
  <c r="L97" i="2"/>
  <c r="K97" i="2"/>
  <c r="B97" i="2"/>
  <c r="L96" i="2"/>
  <c r="M96" i="2" s="1"/>
  <c r="K96" i="2"/>
  <c r="B96" i="2"/>
  <c r="M95" i="2"/>
  <c r="L95" i="2"/>
  <c r="K95" i="2"/>
  <c r="B95" i="2"/>
  <c r="L94" i="2"/>
  <c r="M94" i="2" s="1"/>
  <c r="K94" i="2"/>
  <c r="B94" i="2"/>
  <c r="L93" i="2"/>
  <c r="M93" i="2" s="1"/>
  <c r="K93" i="2"/>
  <c r="B93" i="2"/>
  <c r="M92" i="2"/>
  <c r="L92" i="2"/>
  <c r="K92" i="2"/>
  <c r="B92" i="2"/>
  <c r="L91" i="2"/>
  <c r="M91" i="2" s="1"/>
  <c r="K91" i="2"/>
  <c r="B91" i="2"/>
  <c r="M90" i="2"/>
  <c r="L90" i="2"/>
  <c r="K90" i="2"/>
  <c r="B90" i="2"/>
  <c r="L89" i="2"/>
  <c r="M89" i="2" s="1"/>
  <c r="K89" i="2"/>
  <c r="B89" i="2"/>
  <c r="L88" i="2"/>
  <c r="M88" i="2" s="1"/>
  <c r="K88" i="2"/>
  <c r="D36" i="1" s="1"/>
  <c r="B88" i="2"/>
  <c r="M87" i="2"/>
  <c r="L87" i="2"/>
  <c r="K87" i="2"/>
  <c r="B87" i="2"/>
  <c r="L86" i="2"/>
  <c r="M86" i="2" s="1"/>
  <c r="K86" i="2"/>
  <c r="B86" i="2"/>
  <c r="M85" i="2"/>
  <c r="L85" i="2"/>
  <c r="K85" i="2"/>
  <c r="B85" i="2"/>
  <c r="L84" i="2"/>
  <c r="M84" i="2" s="1"/>
  <c r="K84" i="2"/>
  <c r="B84" i="2"/>
  <c r="L83" i="2"/>
  <c r="M83" i="2" s="1"/>
  <c r="K83" i="2"/>
  <c r="F36" i="1" s="1"/>
  <c r="B83" i="2"/>
  <c r="M82" i="2"/>
  <c r="L82" i="2"/>
  <c r="K82" i="2"/>
  <c r="B82" i="2"/>
  <c r="L81" i="2"/>
  <c r="M81" i="2" s="1"/>
  <c r="K81" i="2"/>
  <c r="G36" i="1" s="1"/>
  <c r="P36" i="1" s="1"/>
  <c r="B81" i="2"/>
  <c r="M80" i="2"/>
  <c r="L80" i="2"/>
  <c r="K80" i="2"/>
  <c r="B80" i="2"/>
  <c r="L79" i="2"/>
  <c r="M79" i="2" s="1"/>
  <c r="K79" i="2"/>
  <c r="B79" i="2"/>
  <c r="L78" i="2"/>
  <c r="M78" i="2" s="1"/>
  <c r="K78" i="2"/>
  <c r="B78" i="2"/>
  <c r="M77" i="2"/>
  <c r="L77" i="2"/>
  <c r="K77" i="2"/>
  <c r="B77" i="2"/>
  <c r="L76" i="2"/>
  <c r="M76" i="2" s="1"/>
  <c r="K76" i="2"/>
  <c r="B76" i="2"/>
  <c r="M75" i="2"/>
  <c r="L75" i="2"/>
  <c r="K75" i="2"/>
  <c r="B75" i="2"/>
  <c r="L74" i="2"/>
  <c r="M74" i="2" s="1"/>
  <c r="K74" i="2"/>
  <c r="B74" i="2"/>
  <c r="L73" i="2"/>
  <c r="M73" i="2" s="1"/>
  <c r="K73" i="2"/>
  <c r="B73" i="2"/>
  <c r="M72" i="2"/>
  <c r="L72" i="2"/>
  <c r="K72" i="2"/>
  <c r="B72" i="2"/>
  <c r="L71" i="2"/>
  <c r="M71" i="2" s="1"/>
  <c r="K71" i="2"/>
  <c r="B71" i="2"/>
  <c r="M70" i="2"/>
  <c r="L70" i="2"/>
  <c r="K70" i="2"/>
  <c r="B70" i="2"/>
  <c r="L69" i="2"/>
  <c r="M69" i="2" s="1"/>
  <c r="K69" i="2"/>
  <c r="B69" i="2"/>
  <c r="L68" i="2"/>
  <c r="M68" i="2" s="1"/>
  <c r="K68" i="2"/>
  <c r="B68" i="2"/>
  <c r="M67" i="2"/>
  <c r="L67" i="2"/>
  <c r="K67" i="2"/>
  <c r="B67" i="2"/>
  <c r="L66" i="2"/>
  <c r="M66" i="2" s="1"/>
  <c r="K66" i="2"/>
  <c r="B66" i="2"/>
  <c r="M65" i="2"/>
  <c r="L65" i="2"/>
  <c r="K65" i="2"/>
  <c r="B65" i="2"/>
  <c r="L64" i="2"/>
  <c r="M64" i="2" s="1"/>
  <c r="K64" i="2"/>
  <c r="B64" i="2"/>
  <c r="L63" i="2"/>
  <c r="M63" i="2" s="1"/>
  <c r="K63" i="2"/>
  <c r="C35" i="1" s="1"/>
  <c r="B63" i="2"/>
  <c r="M62" i="2"/>
  <c r="L62" i="2"/>
  <c r="K62" i="2"/>
  <c r="G35" i="1" s="1"/>
  <c r="P35" i="1" s="1"/>
  <c r="B62" i="2"/>
  <c r="L61" i="2"/>
  <c r="M61" i="2" s="1"/>
  <c r="K61" i="2"/>
  <c r="B61" i="2"/>
  <c r="M60" i="2"/>
  <c r="L60" i="2"/>
  <c r="K60" i="2"/>
  <c r="B60" i="2"/>
  <c r="L59" i="2"/>
  <c r="M59" i="2" s="1"/>
  <c r="K59" i="2"/>
  <c r="B59" i="2"/>
  <c r="L58" i="2"/>
  <c r="M58" i="2" s="1"/>
  <c r="K58" i="2"/>
  <c r="B58" i="2"/>
  <c r="M57" i="2"/>
  <c r="L57" i="2"/>
  <c r="K57" i="2"/>
  <c r="B57" i="2"/>
  <c r="L56" i="2"/>
  <c r="M56" i="2" s="1"/>
  <c r="K56" i="2"/>
  <c r="B56" i="2"/>
  <c r="M55" i="2"/>
  <c r="L55" i="2"/>
  <c r="K55" i="2"/>
  <c r="B55" i="2"/>
  <c r="L54" i="2"/>
  <c r="M54" i="2" s="1"/>
  <c r="K54" i="2"/>
  <c r="B54" i="2"/>
  <c r="L53" i="2"/>
  <c r="M53" i="2" s="1"/>
  <c r="K53" i="2"/>
  <c r="D34" i="1" s="1"/>
  <c r="B53" i="2"/>
  <c r="M52" i="2"/>
  <c r="L52" i="2"/>
  <c r="K52" i="2"/>
  <c r="B52" i="2"/>
  <c r="L51" i="2"/>
  <c r="M51" i="2" s="1"/>
  <c r="K51" i="2"/>
  <c r="B51" i="2"/>
  <c r="M50" i="2"/>
  <c r="L50" i="2"/>
  <c r="K50" i="2"/>
  <c r="B50" i="2"/>
  <c r="L49" i="2"/>
  <c r="M49" i="2" s="1"/>
  <c r="K49" i="2"/>
  <c r="B49" i="2"/>
  <c r="L48" i="2"/>
  <c r="M48" i="2" s="1"/>
  <c r="K48" i="2"/>
  <c r="F34" i="1" s="1"/>
  <c r="B48" i="2"/>
  <c r="M47" i="2"/>
  <c r="L47" i="2"/>
  <c r="K47" i="2"/>
  <c r="B47" i="2"/>
  <c r="L46" i="2"/>
  <c r="M46" i="2" s="1"/>
  <c r="K46" i="2"/>
  <c r="B46" i="2"/>
  <c r="M45" i="2"/>
  <c r="L45" i="2"/>
  <c r="K45" i="2"/>
  <c r="B45" i="2"/>
  <c r="L44" i="2"/>
  <c r="M44" i="2" s="1"/>
  <c r="K44" i="2"/>
  <c r="B44" i="2"/>
  <c r="L43" i="2"/>
  <c r="M43" i="2" s="1"/>
  <c r="K43" i="2"/>
  <c r="G34" i="1" s="1"/>
  <c r="B43" i="2"/>
  <c r="M42" i="2"/>
  <c r="L42" i="2"/>
  <c r="K42" i="2"/>
  <c r="B42" i="2"/>
  <c r="L41" i="2"/>
  <c r="M41" i="2" s="1"/>
  <c r="K41" i="2"/>
  <c r="B41" i="2"/>
  <c r="M40" i="2"/>
  <c r="L40" i="2"/>
  <c r="K40" i="2"/>
  <c r="B40" i="2"/>
  <c r="L39" i="2"/>
  <c r="M39" i="2" s="1"/>
  <c r="K39" i="2"/>
  <c r="B39" i="2"/>
  <c r="L38" i="2"/>
  <c r="M38" i="2" s="1"/>
  <c r="K38" i="2"/>
  <c r="B38" i="2"/>
  <c r="M37" i="2"/>
  <c r="L37" i="2"/>
  <c r="K37" i="2"/>
  <c r="B37" i="2"/>
  <c r="L36" i="2"/>
  <c r="M36" i="2" s="1"/>
  <c r="K36" i="2"/>
  <c r="B36" i="2"/>
  <c r="M35" i="2"/>
  <c r="L35" i="2"/>
  <c r="K35" i="2"/>
  <c r="B35" i="2"/>
  <c r="L34" i="2"/>
  <c r="M34" i="2" s="1"/>
  <c r="K34" i="2"/>
  <c r="B34" i="2"/>
  <c r="L33" i="2"/>
  <c r="M33" i="2" s="1"/>
  <c r="K33" i="2"/>
  <c r="C33" i="1" s="1"/>
  <c r="B33" i="2"/>
  <c r="M32" i="2"/>
  <c r="L32" i="2"/>
  <c r="K32" i="2"/>
  <c r="B32" i="2"/>
  <c r="L31" i="2"/>
  <c r="M31" i="2" s="1"/>
  <c r="K31" i="2"/>
  <c r="B31" i="2"/>
  <c r="M30" i="2"/>
  <c r="L30" i="2"/>
  <c r="K30" i="2"/>
  <c r="B30" i="2"/>
  <c r="L29" i="2"/>
  <c r="M29" i="2" s="1"/>
  <c r="K29" i="2"/>
  <c r="B29" i="2"/>
  <c r="L28" i="2"/>
  <c r="M28" i="2" s="1"/>
  <c r="K28" i="2"/>
  <c r="V10" i="1" s="1"/>
  <c r="B28" i="2"/>
  <c r="M27" i="2"/>
  <c r="L27" i="2"/>
  <c r="K27" i="2"/>
  <c r="O50" i="1" s="1"/>
  <c r="B27" i="2"/>
  <c r="L26" i="2"/>
  <c r="M26" i="2" s="1"/>
  <c r="K26" i="2"/>
  <c r="B26" i="2"/>
  <c r="M25" i="2"/>
  <c r="L25" i="2"/>
  <c r="K25" i="2"/>
  <c r="B25" i="2"/>
  <c r="L24" i="2"/>
  <c r="M24" i="2" s="1"/>
  <c r="K24" i="2"/>
  <c r="B24" i="2"/>
  <c r="L23" i="2"/>
  <c r="M23" i="2" s="1"/>
  <c r="K23" i="2"/>
  <c r="F32" i="1" s="1"/>
  <c r="B23" i="2"/>
  <c r="M22" i="2"/>
  <c r="L22" i="2"/>
  <c r="K22" i="2"/>
  <c r="B22" i="2"/>
  <c r="L21" i="2"/>
  <c r="M21" i="2" s="1"/>
  <c r="K21" i="2"/>
  <c r="B21" i="2"/>
  <c r="M20" i="2"/>
  <c r="L20" i="2"/>
  <c r="K20" i="2"/>
  <c r="B20" i="2"/>
  <c r="L19" i="2"/>
  <c r="M19" i="2" s="1"/>
  <c r="K19" i="2"/>
  <c r="B19" i="2"/>
  <c r="L18" i="2"/>
  <c r="M18" i="2" s="1"/>
  <c r="K18" i="2"/>
  <c r="B18" i="2"/>
  <c r="M17" i="2"/>
  <c r="L17" i="2"/>
  <c r="K17" i="2"/>
  <c r="B17" i="2"/>
  <c r="L16" i="2"/>
  <c r="M16" i="2" s="1"/>
  <c r="K16" i="2"/>
  <c r="B16" i="2"/>
  <c r="M15" i="2"/>
  <c r="L15" i="2"/>
  <c r="K15" i="2"/>
  <c r="B15" i="2"/>
  <c r="L14" i="2"/>
  <c r="M14" i="2" s="1"/>
  <c r="K14" i="2"/>
  <c r="B14" i="2"/>
  <c r="L13" i="2"/>
  <c r="M13" i="2" s="1"/>
  <c r="K13" i="2"/>
  <c r="B13" i="2"/>
  <c r="M12" i="2"/>
  <c r="L12" i="2"/>
  <c r="K12" i="2"/>
  <c r="B12" i="2"/>
  <c r="L11" i="2"/>
  <c r="M11" i="2" s="1"/>
  <c r="K11" i="2"/>
  <c r="B11" i="2"/>
  <c r="M10" i="2"/>
  <c r="L10" i="2"/>
  <c r="K10" i="2"/>
  <c r="B10" i="2"/>
  <c r="L9" i="2"/>
  <c r="M9" i="2" s="1"/>
  <c r="K9" i="2"/>
  <c r="B9" i="2"/>
  <c r="L8" i="2"/>
  <c r="M8" i="2" s="1"/>
  <c r="K8" i="2"/>
  <c r="C32" i="1" s="1"/>
  <c r="B8" i="2"/>
  <c r="M7" i="2"/>
  <c r="L7" i="2"/>
  <c r="K7" i="2"/>
  <c r="V8" i="1" s="1"/>
  <c r="B7" i="2"/>
  <c r="N2" i="2"/>
  <c r="N1" i="2"/>
  <c r="K56" i="1"/>
  <c r="B56" i="1"/>
  <c r="D56" i="1" s="1"/>
  <c r="P55" i="1"/>
  <c r="O55" i="1"/>
  <c r="M55" i="1"/>
  <c r="K55" i="1"/>
  <c r="R55" i="1" s="1"/>
  <c r="B55" i="1"/>
  <c r="D55" i="1" s="1"/>
  <c r="P54" i="1"/>
  <c r="M54" i="1"/>
  <c r="K54" i="1"/>
  <c r="O54" i="1" s="1"/>
  <c r="R54" i="1" s="1"/>
  <c r="B54" i="1"/>
  <c r="D54" i="1" s="1"/>
  <c r="P53" i="1"/>
  <c r="K53" i="1"/>
  <c r="B53" i="1"/>
  <c r="R52" i="1"/>
  <c r="P52" i="1"/>
  <c r="O52" i="1"/>
  <c r="M52" i="1"/>
  <c r="K52" i="1"/>
  <c r="B52" i="1"/>
  <c r="D52" i="1" s="1"/>
  <c r="P51" i="1"/>
  <c r="M51" i="1"/>
  <c r="K51" i="1"/>
  <c r="O51" i="1" s="1"/>
  <c r="R51" i="1" s="1"/>
  <c r="B51" i="1"/>
  <c r="M50" i="1"/>
  <c r="K50" i="1"/>
  <c r="P50" i="1" s="1"/>
  <c r="B50" i="1"/>
  <c r="P49" i="1"/>
  <c r="M49" i="1"/>
  <c r="K49" i="1"/>
  <c r="B49" i="1"/>
  <c r="R43" i="1"/>
  <c r="M43" i="1"/>
  <c r="L43" i="1"/>
  <c r="K43" i="1"/>
  <c r="I43" i="1"/>
  <c r="F43" i="1"/>
  <c r="D43" i="1"/>
  <c r="R42" i="1"/>
  <c r="L42" i="1"/>
  <c r="K42" i="1"/>
  <c r="M42" i="1" s="1"/>
  <c r="O42" i="1" s="1"/>
  <c r="I42" i="1"/>
  <c r="C42" i="1"/>
  <c r="R41" i="1"/>
  <c r="L41" i="1"/>
  <c r="K41" i="1"/>
  <c r="M41" i="1" s="1"/>
  <c r="O41" i="1" s="1"/>
  <c r="I41" i="1"/>
  <c r="D41" i="1"/>
  <c r="R40" i="1"/>
  <c r="L40" i="1"/>
  <c r="K40" i="1"/>
  <c r="M40" i="1" s="1"/>
  <c r="I40" i="1"/>
  <c r="F40" i="1"/>
  <c r="R39" i="1"/>
  <c r="L39" i="1"/>
  <c r="K39" i="1"/>
  <c r="M39" i="1" s="1"/>
  <c r="O39" i="1" s="1"/>
  <c r="I39" i="1"/>
  <c r="R38" i="1"/>
  <c r="L38" i="1"/>
  <c r="M38" i="1" s="1"/>
  <c r="K38" i="1"/>
  <c r="I38" i="1"/>
  <c r="R37" i="1"/>
  <c r="L37" i="1"/>
  <c r="K37" i="1"/>
  <c r="M37" i="1" s="1"/>
  <c r="I37" i="1"/>
  <c r="D37" i="1"/>
  <c r="R36" i="1"/>
  <c r="L36" i="1"/>
  <c r="M36" i="1" s="1"/>
  <c r="O36" i="1" s="1"/>
  <c r="K36" i="1"/>
  <c r="I36" i="1"/>
  <c r="C36" i="1"/>
  <c r="R35" i="1"/>
  <c r="M35" i="1"/>
  <c r="O35" i="1" s="1"/>
  <c r="L35" i="1"/>
  <c r="K35" i="1"/>
  <c r="I35" i="1"/>
  <c r="F35" i="1"/>
  <c r="D35" i="1"/>
  <c r="R34" i="1"/>
  <c r="L34" i="1"/>
  <c r="M34" i="1" s="1"/>
  <c r="K34" i="1"/>
  <c r="I34" i="1"/>
  <c r="R33" i="1"/>
  <c r="L33" i="1"/>
  <c r="K33" i="1"/>
  <c r="M33" i="1" s="1"/>
  <c r="I33" i="1"/>
  <c r="F33" i="1"/>
  <c r="R32" i="1"/>
  <c r="R44" i="1" s="1"/>
  <c r="L32" i="1"/>
  <c r="L44" i="1" s="1"/>
  <c r="K32" i="1"/>
  <c r="M32" i="1" s="1"/>
  <c r="I32" i="1"/>
  <c r="I44" i="1" s="1"/>
  <c r="D32" i="1"/>
  <c r="K26" i="1"/>
  <c r="K24" i="1"/>
  <c r="M24" i="1" s="1"/>
  <c r="K23" i="1"/>
  <c r="K22" i="1"/>
  <c r="K21" i="1"/>
  <c r="K20" i="1"/>
  <c r="K19" i="1"/>
  <c r="V18" i="1"/>
  <c r="B58" i="1" s="1"/>
  <c r="K18" i="1"/>
  <c r="K17" i="1"/>
  <c r="V16" i="1"/>
  <c r="K16" i="1"/>
  <c r="V13" i="1"/>
  <c r="V14" i="1" s="1"/>
  <c r="V12" i="1"/>
  <c r="D49" i="1" s="1"/>
  <c r="E11" i="1"/>
  <c r="E9" i="1"/>
  <c r="Q8" i="1"/>
  <c r="K3" i="1"/>
  <c r="B3" i="1"/>
  <c r="Q2" i="1"/>
  <c r="K2" i="1"/>
  <c r="O34" i="1" l="1"/>
  <c r="T12" i="3"/>
  <c r="N12" i="3"/>
  <c r="T27" i="3"/>
  <c r="N27" i="3"/>
  <c r="T93" i="3"/>
  <c r="N93" i="3"/>
  <c r="T172" i="3"/>
  <c r="N172" i="3"/>
  <c r="I8" i="5"/>
  <c r="K8" i="5" s="1"/>
  <c r="O17" i="1" s="1"/>
  <c r="H8" i="5"/>
  <c r="J8" i="5" s="1"/>
  <c r="L8" i="5" s="1"/>
  <c r="N35" i="3"/>
  <c r="T35" i="3"/>
  <c r="T179" i="3"/>
  <c r="N179" i="3"/>
  <c r="I9" i="5"/>
  <c r="H9" i="5"/>
  <c r="J9" i="5" s="1"/>
  <c r="L9" i="5" s="1"/>
  <c r="P18" i="1" s="1"/>
  <c r="T13" i="3"/>
  <c r="N13" i="3"/>
  <c r="T53" i="3"/>
  <c r="N53" i="3"/>
  <c r="T28" i="3"/>
  <c r="N28" i="3"/>
  <c r="N155" i="3"/>
  <c r="T155" i="3"/>
  <c r="T194" i="3"/>
  <c r="N194" i="3"/>
  <c r="C44" i="1"/>
  <c r="D44" i="1"/>
  <c r="T132" i="3"/>
  <c r="N132" i="3"/>
  <c r="T201" i="3"/>
  <c r="N201" i="3"/>
  <c r="N77" i="3"/>
  <c r="T77" i="3"/>
  <c r="N135" i="3"/>
  <c r="T135" i="3"/>
  <c r="T198" i="3"/>
  <c r="N198" i="3"/>
  <c r="R50" i="1"/>
  <c r="N57" i="3"/>
  <c r="T57" i="3"/>
  <c r="T112" i="3"/>
  <c r="N112" i="3"/>
  <c r="T156" i="3"/>
  <c r="N156" i="3"/>
  <c r="N195" i="3"/>
  <c r="T195" i="3"/>
  <c r="N137" i="3"/>
  <c r="T137" i="3"/>
  <c r="T158" i="3"/>
  <c r="N158" i="3"/>
  <c r="T21" i="3"/>
  <c r="N21" i="3"/>
  <c r="T39" i="3"/>
  <c r="N39" i="3"/>
  <c r="T56" i="3"/>
  <c r="N56" i="3"/>
  <c r="T173" i="3"/>
  <c r="N173" i="3"/>
  <c r="T138" i="3"/>
  <c r="N138" i="3"/>
  <c r="T32" i="3"/>
  <c r="N32" i="3"/>
  <c r="T162" i="3"/>
  <c r="N162" i="3"/>
  <c r="I12" i="5"/>
  <c r="K12" i="5" s="1"/>
  <c r="M12" i="5" s="1"/>
  <c r="R21" i="1" s="1"/>
  <c r="H12" i="5"/>
  <c r="J12" i="5" s="1"/>
  <c r="L12" i="5" s="1"/>
  <c r="P21" i="1" s="1"/>
  <c r="O40" i="1"/>
  <c r="T121" i="3"/>
  <c r="N121" i="3"/>
  <c r="T14" i="3"/>
  <c r="N14" i="3"/>
  <c r="N177" i="3"/>
  <c r="T177" i="3"/>
  <c r="M57" i="1"/>
  <c r="P57" i="1"/>
  <c r="T33" i="3"/>
  <c r="N33" i="3"/>
  <c r="T101" i="3"/>
  <c r="N101" i="3"/>
  <c r="N115" i="3"/>
  <c r="T115" i="3"/>
  <c r="T142" i="3"/>
  <c r="N142" i="3"/>
  <c r="T174" i="3"/>
  <c r="N174" i="3"/>
  <c r="I14" i="5"/>
  <c r="H14" i="5"/>
  <c r="J14" i="5" s="1"/>
  <c r="L14" i="5" s="1"/>
  <c r="P23" i="1" s="1"/>
  <c r="N24" i="3"/>
  <c r="T24" i="3"/>
  <c r="G55" i="1"/>
  <c r="N37" i="3"/>
  <c r="T37" i="3"/>
  <c r="T98" i="3"/>
  <c r="N98" i="3"/>
  <c r="T139" i="3"/>
  <c r="N139" i="3"/>
  <c r="T192" i="3"/>
  <c r="N192" i="3"/>
  <c r="T73" i="3"/>
  <c r="N73" i="3"/>
  <c r="T10" i="3"/>
  <c r="N10" i="3"/>
  <c r="P41" i="1"/>
  <c r="N15" i="3"/>
  <c r="T15" i="3"/>
  <c r="T19" i="3"/>
  <c r="N19" i="3"/>
  <c r="T81" i="3"/>
  <c r="N81" i="3"/>
  <c r="T133" i="3"/>
  <c r="N133" i="3"/>
  <c r="T202" i="3"/>
  <c r="N202" i="3"/>
  <c r="N26" i="3"/>
  <c r="T26" i="3"/>
  <c r="T78" i="3"/>
  <c r="N78" i="3"/>
  <c r="N95" i="3"/>
  <c r="T95" i="3"/>
  <c r="T136" i="3"/>
  <c r="N136" i="3"/>
  <c r="T181" i="3"/>
  <c r="N181" i="3"/>
  <c r="T199" i="3"/>
  <c r="N199" i="3"/>
  <c r="P39" i="1"/>
  <c r="I13" i="5"/>
  <c r="H13" i="5"/>
  <c r="J13" i="5" s="1"/>
  <c r="L13" i="5" s="1"/>
  <c r="P22" i="1" s="1"/>
  <c r="O37" i="1"/>
  <c r="T61" i="3"/>
  <c r="N61" i="3"/>
  <c r="T119" i="3"/>
  <c r="N119" i="3"/>
  <c r="T178" i="3"/>
  <c r="N178" i="3"/>
  <c r="T58" i="3"/>
  <c r="N58" i="3"/>
  <c r="N75" i="3"/>
  <c r="T75" i="3"/>
  <c r="T113" i="3"/>
  <c r="N113" i="3"/>
  <c r="N157" i="3"/>
  <c r="T157" i="3"/>
  <c r="T196" i="3"/>
  <c r="N196" i="3"/>
  <c r="G53" i="1"/>
  <c r="T9" i="3"/>
  <c r="V20" i="1" s="1"/>
  <c r="N9" i="3"/>
  <c r="T59" i="3"/>
  <c r="N59" i="3"/>
  <c r="T76" i="3"/>
  <c r="N76" i="3"/>
  <c r="N197" i="3"/>
  <c r="T197" i="3"/>
  <c r="K58" i="1"/>
  <c r="T141" i="3"/>
  <c r="N141" i="3"/>
  <c r="I11" i="5"/>
  <c r="H11" i="5"/>
  <c r="J11" i="5" s="1"/>
  <c r="L11" i="5" s="1"/>
  <c r="P20" i="1" s="1"/>
  <c r="R53" i="1"/>
  <c r="N97" i="3"/>
  <c r="T97" i="3"/>
  <c r="G54" i="1"/>
  <c r="T18" i="3"/>
  <c r="N18" i="3"/>
  <c r="T29" i="3"/>
  <c r="N29" i="3"/>
  <c r="T153" i="3"/>
  <c r="N153" i="3"/>
  <c r="K9" i="1"/>
  <c r="N9" i="1"/>
  <c r="T8" i="3"/>
  <c r="N8" i="3"/>
  <c r="V21" i="1"/>
  <c r="H11" i="1" s="1"/>
  <c r="V19" i="1"/>
  <c r="T34" i="3"/>
  <c r="N34" i="3"/>
  <c r="T41" i="3"/>
  <c r="N41" i="3"/>
  <c r="T116" i="3"/>
  <c r="N116" i="3"/>
  <c r="N175" i="3"/>
  <c r="T175" i="3"/>
  <c r="H7" i="5"/>
  <c r="J7" i="5" s="1"/>
  <c r="L7" i="5" s="1"/>
  <c r="P16" i="1" s="1"/>
  <c r="I7" i="5"/>
  <c r="O38" i="1"/>
  <c r="T79" i="3"/>
  <c r="N79" i="3"/>
  <c r="T96" i="3"/>
  <c r="N96" i="3"/>
  <c r="T182" i="3"/>
  <c r="N182" i="3"/>
  <c r="T161" i="3"/>
  <c r="N161" i="3"/>
  <c r="N11" i="1"/>
  <c r="B9" i="1"/>
  <c r="N17" i="3"/>
  <c r="T17" i="3"/>
  <c r="N117" i="3"/>
  <c r="T117" i="3"/>
  <c r="T152" i="3"/>
  <c r="N152" i="3"/>
  <c r="T176" i="3"/>
  <c r="N176" i="3"/>
  <c r="I10" i="5"/>
  <c r="H10" i="5"/>
  <c r="J10" i="5" s="1"/>
  <c r="L10" i="5" s="1"/>
  <c r="P19" i="1" s="1"/>
  <c r="O43" i="1"/>
  <c r="T36" i="3"/>
  <c r="N36" i="3"/>
  <c r="T159" i="3"/>
  <c r="N159" i="3"/>
  <c r="M44" i="1"/>
  <c r="T118" i="3"/>
  <c r="N118" i="3"/>
  <c r="G49" i="1"/>
  <c r="G56" i="1"/>
  <c r="R56" i="1"/>
  <c r="T16" i="3"/>
  <c r="N16" i="3"/>
  <c r="T38" i="3"/>
  <c r="N38" i="3"/>
  <c r="N55" i="3"/>
  <c r="T55" i="3"/>
  <c r="T99" i="3"/>
  <c r="N99" i="3"/>
  <c r="T193" i="3"/>
  <c r="N193" i="3"/>
  <c r="D33" i="1"/>
  <c r="C40" i="1"/>
  <c r="P40" i="1" s="1"/>
  <c r="V9" i="1"/>
  <c r="G38" i="1"/>
  <c r="P38" i="1" s="1"/>
  <c r="O49" i="1"/>
  <c r="N22" i="3"/>
  <c r="N42" i="3"/>
  <c r="N62" i="3"/>
  <c r="N82" i="3"/>
  <c r="N102" i="3"/>
  <c r="N122" i="3"/>
  <c r="M12" i="4"/>
  <c r="M56" i="1"/>
  <c r="N20" i="3"/>
  <c r="N40" i="3"/>
  <c r="T44" i="3"/>
  <c r="N60" i="3"/>
  <c r="T64" i="3"/>
  <c r="N80" i="3"/>
  <c r="T84" i="3"/>
  <c r="N100" i="3"/>
  <c r="T104" i="3"/>
  <c r="N120" i="3"/>
  <c r="T124" i="3"/>
  <c r="N140" i="3"/>
  <c r="T144" i="3"/>
  <c r="N160" i="3"/>
  <c r="T164" i="3"/>
  <c r="N180" i="3"/>
  <c r="T184" i="3"/>
  <c r="N200" i="3"/>
  <c r="T204" i="3"/>
  <c r="O56" i="1"/>
  <c r="O20" i="3"/>
  <c r="N49" i="3"/>
  <c r="N69" i="3"/>
  <c r="N89" i="3"/>
  <c r="N109" i="3"/>
  <c r="N129" i="3"/>
  <c r="N149" i="3"/>
  <c r="N169" i="3"/>
  <c r="N189" i="3"/>
  <c r="D50" i="1"/>
  <c r="P56" i="1"/>
  <c r="N7" i="3"/>
  <c r="N47" i="3"/>
  <c r="N67" i="3"/>
  <c r="N87" i="3"/>
  <c r="N107" i="3"/>
  <c r="N127" i="3"/>
  <c r="N147" i="3"/>
  <c r="N167" i="3"/>
  <c r="N187" i="3"/>
  <c r="H18" i="5"/>
  <c r="J18" i="5" s="1"/>
  <c r="L18" i="5" s="1"/>
  <c r="N25" i="3"/>
  <c r="N45" i="3"/>
  <c r="N65" i="3"/>
  <c r="N85" i="3"/>
  <c r="N105" i="3"/>
  <c r="N125" i="3"/>
  <c r="N145" i="3"/>
  <c r="N165" i="3"/>
  <c r="N185" i="3"/>
  <c r="N205" i="3"/>
  <c r="M21" i="4"/>
  <c r="P17" i="1"/>
  <c r="O24" i="1"/>
  <c r="C39" i="1"/>
  <c r="K44" i="1"/>
  <c r="T7" i="3"/>
  <c r="I16" i="6" s="1"/>
  <c r="N23" i="3"/>
  <c r="P24" i="1"/>
  <c r="F37" i="1"/>
  <c r="F44" i="1" s="1"/>
  <c r="R24" i="1"/>
  <c r="K11" i="1"/>
  <c r="C41" i="1"/>
  <c r="N52" i="3"/>
  <c r="N72" i="3"/>
  <c r="N92" i="3"/>
  <c r="N30" i="3"/>
  <c r="N50" i="3"/>
  <c r="N70" i="3"/>
  <c r="N90" i="3"/>
  <c r="N110" i="3"/>
  <c r="N130" i="3"/>
  <c r="N150" i="3"/>
  <c r="N170" i="3"/>
  <c r="N190" i="3"/>
  <c r="V11" i="1"/>
  <c r="V22" i="1" s="1"/>
  <c r="C34" i="1"/>
  <c r="P34" i="1" s="1"/>
  <c r="G32" i="1"/>
  <c r="N48" i="3"/>
  <c r="N68" i="3"/>
  <c r="N88" i="3"/>
  <c r="N108" i="3"/>
  <c r="N128" i="3"/>
  <c r="N148" i="3"/>
  <c r="N168" i="3"/>
  <c r="N188" i="3"/>
  <c r="M53" i="1"/>
  <c r="O53" i="1"/>
  <c r="G33" i="1"/>
  <c r="P33" i="1" s="1"/>
  <c r="O30" i="3" l="1"/>
  <c r="O31" i="3"/>
  <c r="O11" i="3"/>
  <c r="O22" i="3"/>
  <c r="O18" i="3"/>
  <c r="O10" i="3"/>
  <c r="O28" i="3"/>
  <c r="O16" i="3"/>
  <c r="O12" i="3"/>
  <c r="O29" i="3"/>
  <c r="O19" i="3"/>
  <c r="O21" i="3"/>
  <c r="O27" i="3"/>
  <c r="O13" i="3"/>
  <c r="O15" i="3"/>
  <c r="O14" i="3"/>
  <c r="O24" i="3"/>
  <c r="O36" i="3"/>
  <c r="O33" i="3"/>
  <c r="O35" i="3"/>
  <c r="O32" i="3"/>
  <c r="O23" i="3"/>
  <c r="O26" i="3"/>
  <c r="O34" i="3"/>
  <c r="O17" i="3"/>
  <c r="O25" i="3"/>
  <c r="O8" i="3"/>
  <c r="O9" i="3"/>
  <c r="M19" i="1"/>
  <c r="K10" i="5"/>
  <c r="M8" i="5"/>
  <c r="R17" i="1" s="1"/>
  <c r="M21" i="1"/>
  <c r="G44" i="1"/>
  <c r="P44" i="1" s="1"/>
  <c r="P32" i="1"/>
  <c r="H9" i="1"/>
  <c r="K7" i="5"/>
  <c r="M16" i="1"/>
  <c r="O57" i="1"/>
  <c r="R57" i="1" s="1"/>
  <c r="R49" i="1"/>
  <c r="M23" i="1"/>
  <c r="K14" i="5"/>
  <c r="G50" i="1"/>
  <c r="M17" i="1"/>
  <c r="D57" i="1"/>
  <c r="F50" i="1" s="1"/>
  <c r="O21" i="1"/>
  <c r="M22" i="1"/>
  <c r="K13" i="5"/>
  <c r="V15" i="1"/>
  <c r="B11" i="1"/>
  <c r="O33" i="1"/>
  <c r="M18" i="1"/>
  <c r="K9" i="5"/>
  <c r="G52" i="1"/>
  <c r="M20" i="1"/>
  <c r="K11" i="5"/>
  <c r="G51" i="1"/>
  <c r="O32" i="1"/>
  <c r="O44" i="1"/>
  <c r="M10" i="5" l="1"/>
  <c r="R19" i="1" s="1"/>
  <c r="O19" i="1"/>
  <c r="O20" i="1"/>
  <c r="M11" i="5"/>
  <c r="R20" i="1" s="1"/>
  <c r="F57" i="1"/>
  <c r="F55" i="1"/>
  <c r="F52" i="1"/>
  <c r="F51" i="1"/>
  <c r="F49" i="1"/>
  <c r="F56" i="1"/>
  <c r="F53" i="1"/>
  <c r="F54" i="1"/>
  <c r="O16" i="1"/>
  <c r="M7" i="5"/>
  <c r="R16" i="1" s="1"/>
  <c r="O18" i="1"/>
  <c r="M9" i="5"/>
  <c r="R18" i="1" s="1"/>
  <c r="Q11" i="1"/>
  <c r="V17" i="1"/>
  <c r="Q9" i="1" s="1"/>
  <c r="O22" i="1"/>
  <c r="M13" i="5"/>
  <c r="R22" i="1" s="1"/>
  <c r="O23" i="1"/>
  <c r="M14" i="5"/>
  <c r="R23" i="1" s="1"/>
</calcChain>
</file>

<file path=xl/sharedStrings.xml><?xml version="1.0" encoding="utf-8"?>
<sst xmlns="http://schemas.openxmlformats.org/spreadsheetml/2006/main" count="1915" uniqueCount="470">
  <si>
    <t>CARNET DE BORD DU VÉHICULE</t>
  </si>
  <si>
    <t>F</t>
  </si>
  <si>
    <t>ANNÉE DE SUIVI</t>
  </si>
  <si>
    <t>SITUATION AU</t>
  </si>
  <si>
    <t>Indicateurs calculés sur l'année choisie ; compteur et échéances à la date de situation.</t>
  </si>
  <si>
    <t>Trajets  ›</t>
  </si>
  <si>
    <t>Carburant  ›</t>
  </si>
  <si>
    <t>Frais &amp; entretien  ›</t>
  </si>
  <si>
    <t>Échéances  ›</t>
  </si>
  <si>
    <t>Véhicule  ›</t>
  </si>
  <si>
    <t>Mode d'emploi  ›</t>
  </si>
  <si>
    <t>Calculs intermédiaires</t>
  </si>
  <si>
    <t>KILOMÈTRES PARCOURUS</t>
  </si>
  <si>
    <t>COMPTEUR ACTUEL</t>
  </si>
  <si>
    <t>CONSOMMATION MOYENNE</t>
  </si>
  <si>
    <t>DÉPENSES DE L'ANNÉE</t>
  </si>
  <si>
    <t>COÛT AU KILOMÈTRE</t>
  </si>
  <si>
    <t>Km de l'année</t>
  </si>
  <si>
    <t>Km professionnels</t>
  </si>
  <si>
    <t>Km domicile – travail</t>
  </si>
  <si>
    <t>Km personnels</t>
  </si>
  <si>
    <t>Carburant (€)</t>
  </si>
  <si>
    <t>Frais et entretien (€)</t>
  </si>
  <si>
    <t>Kilomètres parcourus par mois</t>
  </si>
  <si>
    <t>Prochaines échéances</t>
  </si>
  <si>
    <t>Dépenses totales (€)</t>
  </si>
  <si>
    <t>OPÉRATION</t>
  </si>
  <si>
    <t>ÉCHÉANCE</t>
  </si>
  <si>
    <t>JOURS</t>
  </si>
  <si>
    <t>KM RESTANTS</t>
  </si>
  <si>
    <t>STATUT</t>
  </si>
  <si>
    <t>Base des IK (km)</t>
  </si>
  <si>
    <t>Ligne du barème</t>
  </si>
  <si>
    <t>Indemnités kilométriques (€)</t>
  </si>
  <si>
    <t>Frais pro à rembourser (€)</t>
  </si>
  <si>
    <t>Quantité conso. (L/kWh)</t>
  </si>
  <si>
    <t>Distance conso. (km)</t>
  </si>
  <si>
    <t>Pleins complets retenus</t>
  </si>
  <si>
    <t>Km privés</t>
  </si>
  <si>
    <t>Synthèse mensuelle</t>
  </si>
  <si>
    <t>MOIS</t>
  </si>
  <si>
    <t>PROFESSIONNEL
(km)</t>
  </si>
  <si>
    <t>DOMICILE –
TRAVAIL (km)</t>
  </si>
  <si>
    <t>PERSONNEL
(km)</t>
  </si>
  <si>
    <t>TOTAL
(km)</t>
  </si>
  <si>
    <t>TRAJETS</t>
  </si>
  <si>
    <t>CARBURANT</t>
  </si>
  <si>
    <t>FRAIS ET
ENTRETIEN</t>
  </si>
  <si>
    <t>TOTAL
DÉPENSES</t>
  </si>
  <si>
    <t>COÛT
AU KM</t>
  </si>
  <si>
    <t>PART
PROFESSIONNELLE</t>
  </si>
  <si>
    <t>PLEINS</t>
  </si>
  <si>
    <t>Janvier</t>
  </si>
  <si>
    <t>janv.</t>
  </si>
  <si>
    <t>Février</t>
  </si>
  <si>
    <t>févr.</t>
  </si>
  <si>
    <t>Mars</t>
  </si>
  <si>
    <t>mars</t>
  </si>
  <si>
    <t>Avril</t>
  </si>
  <si>
    <t>avr.</t>
  </si>
  <si>
    <t>Mai</t>
  </si>
  <si>
    <t>mai</t>
  </si>
  <si>
    <t>Juin</t>
  </si>
  <si>
    <t>juin</t>
  </si>
  <si>
    <t>Juillet</t>
  </si>
  <si>
    <t>juil.</t>
  </si>
  <si>
    <t>Août</t>
  </si>
  <si>
    <t>août</t>
  </si>
  <si>
    <t>Septembre</t>
  </si>
  <si>
    <t>sept.</t>
  </si>
  <si>
    <t>Octobre</t>
  </si>
  <si>
    <t>oct.</t>
  </si>
  <si>
    <t>Novembre</t>
  </si>
  <si>
    <t>nov.</t>
  </si>
  <si>
    <t>Décembre</t>
  </si>
  <si>
    <t>déc.</t>
  </si>
  <si>
    <t>Total</t>
  </si>
  <si>
    <t>Dépenses de l'année par poste</t>
  </si>
  <si>
    <t>Utilisation par conducteur</t>
  </si>
  <si>
    <t>POSTE</t>
  </si>
  <si>
    <t>MONTANT</t>
  </si>
  <si>
    <t>PART</t>
  </si>
  <si>
    <t>RÉPARTITION</t>
  </si>
  <si>
    <t>CONDUCTEUR</t>
  </si>
  <si>
    <t>KM</t>
  </si>
  <si>
    <t>DONT PRO (KM)</t>
  </si>
  <si>
    <t>PART PRO</t>
  </si>
  <si>
    <t>JOURNAL DES TRAJETS</t>
  </si>
  <si>
    <t>Une ligne par déplacement : date, conducteur, itinéraire, motif et relevés du compteur</t>
  </si>
  <si>
    <t>Saisissez les trajets dans l'ordre chronologique : la distance et la continuité du compteur sont contrôlées.</t>
  </si>
  <si>
    <t>Saisie</t>
  </si>
  <si>
    <t>Calcul automatique</t>
  </si>
  <si>
    <t>N°</t>
  </si>
  <si>
    <t>Date</t>
  </si>
  <si>
    <t>Conducteur</t>
  </si>
  <si>
    <t>Lieu de départ</t>
  </si>
  <si>
    <t>Lieu d'arrivée</t>
  </si>
  <si>
    <t>Motif du déplacement</t>
  </si>
  <si>
    <t>Nature du trajet</t>
  </si>
  <si>
    <t>Compteur
au départ</t>
  </si>
  <si>
    <t>Compteur
à l'arrivée</t>
  </si>
  <si>
    <t>Distance
(km)</t>
  </si>
  <si>
    <t>Écart de
compteur</t>
  </si>
  <si>
    <t>Contrôle</t>
  </si>
  <si>
    <t>Observations</t>
  </si>
  <si>
    <t>Camille Morel</t>
  </si>
  <si>
    <t>Domicile</t>
  </si>
  <si>
    <t>Agence</t>
  </si>
  <si>
    <t>Journée à l'agence (aller-retour)</t>
  </si>
  <si>
    <t>Domicile – travail</t>
  </si>
  <si>
    <t>Amboise</t>
  </si>
  <si>
    <t>Suivi de chantier – Résidence Les Ormes</t>
  </si>
  <si>
    <t>Professionnel</t>
  </si>
  <si>
    <t>Châteauroux</t>
  </si>
  <si>
    <t>Visite client – Sarl Pivert</t>
  </si>
  <si>
    <t>Salle de sport</t>
  </si>
  <si>
    <t>Sport</t>
  </si>
  <si>
    <t>Personnel</t>
  </si>
  <si>
    <t>Vierzon</t>
  </si>
  <si>
    <t>Livraison d'échantillons – Maison Clairet</t>
  </si>
  <si>
    <t>Orléans</t>
  </si>
  <si>
    <t>Présentation produits – Groupe Arvel</t>
  </si>
  <si>
    <t>Chenonceaux</t>
  </si>
  <si>
    <t>Sortie du week-end</t>
  </si>
  <si>
    <t>Romorantin</t>
  </si>
  <si>
    <t>Rendez-vous client – Garage Beaulieu</t>
  </si>
  <si>
    <t>Centre commercial</t>
  </si>
  <si>
    <t>Courses</t>
  </si>
  <si>
    <t>Blois</t>
  </si>
  <si>
    <t>Rendez-vous client – Atelier Marceau</t>
  </si>
  <si>
    <t>Centre-ville</t>
  </si>
  <si>
    <t>Loisirs</t>
  </si>
  <si>
    <t>Formation produits nouveaux</t>
  </si>
  <si>
    <t>Julien Morel</t>
  </si>
  <si>
    <t>Chartres</t>
  </si>
  <si>
    <t>Rendez-vous prospect – Cabinet Aubier</t>
  </si>
  <si>
    <t>Loches</t>
  </si>
  <si>
    <t>Visite familiale</t>
  </si>
  <si>
    <t>Le Mans</t>
  </si>
  <si>
    <t>Visite client – Transports Lebreton</t>
  </si>
  <si>
    <t>Tours</t>
  </si>
  <si>
    <t>Réunion commerciale régionale</t>
  </si>
  <si>
    <t>Visite client – Menuiserie Duval</t>
  </si>
  <si>
    <t>Gare</t>
  </si>
  <si>
    <t>Accompagnement à la gare</t>
  </si>
  <si>
    <t>Saumur</t>
  </si>
  <si>
    <t>Visite client – Domaine des Tertres</t>
  </si>
  <si>
    <t>La Rochelle</t>
  </si>
  <si>
    <t>Vacances d'été (aller)</t>
  </si>
  <si>
    <t>Île de Ré</t>
  </si>
  <si>
    <t>Excursion</t>
  </si>
  <si>
    <t>Vacances d'été (retour)</t>
  </si>
  <si>
    <t>PLEINS DE CARBURANT ET RECHARGES</t>
  </si>
  <si>
    <t>Suivi des pleins, du prix unitaire et de la consommation réelle</t>
  </si>
  <si>
    <t>Consommation calculée « de plein à plein » : indiquez si le réservoir a été rempli complètement.</t>
  </si>
  <si>
    <t>Compteur
(km)</t>
  </si>
  <si>
    <t>Station / lieu</t>
  </si>
  <si>
    <t>Montant
TTC</t>
  </si>
  <si>
    <t>Plein
complet</t>
  </si>
  <si>
    <t>Mode de règlement</t>
  </si>
  <si>
    <t>Km depuis le
plein précédent</t>
  </si>
  <si>
    <t>Coût aux
100 km</t>
  </si>
  <si>
    <t>N° de ticket / observations</t>
  </si>
  <si>
    <t>Km du plein
complet préc.</t>
  </si>
  <si>
    <t>Quantité
cumulée</t>
  </si>
  <si>
    <t>Distance
retenue</t>
  </si>
  <si>
    <t>Station – Avenue de la Gare</t>
  </si>
  <si>
    <t>Oui</t>
  </si>
  <si>
    <t>Carte bancaire</t>
  </si>
  <si>
    <t>Ticket n° C-001</t>
  </si>
  <si>
    <t>Station – Zone des Grands Champs</t>
  </si>
  <si>
    <t>Ticket n° C-002</t>
  </si>
  <si>
    <t>Ticket n° C-003</t>
  </si>
  <si>
    <t>Ticket n° C-004</t>
  </si>
  <si>
    <t>Station – Rocade Nord</t>
  </si>
  <si>
    <t>Carte carburant</t>
  </si>
  <si>
    <t>Ticket n° C-005</t>
  </si>
  <si>
    <t>Hypermarché – Route de Paris</t>
  </si>
  <si>
    <t>Ticket n° C-006</t>
  </si>
  <si>
    <t>Ticket n° C-007</t>
  </si>
  <si>
    <t>Ticket n° C-008</t>
  </si>
  <si>
    <t>Ticket n° C-009</t>
  </si>
  <si>
    <t>Ticket n° C-010</t>
  </si>
  <si>
    <t>Ticket n° C-011</t>
  </si>
  <si>
    <t>Ticket n° C-012</t>
  </si>
  <si>
    <t>Ticket n° C-013</t>
  </si>
  <si>
    <t>Non</t>
  </si>
  <si>
    <t>Ticket n° C-014</t>
  </si>
  <si>
    <t>Ticket n° C-015</t>
  </si>
  <si>
    <t>Ticket n° C-016</t>
  </si>
  <si>
    <t>Ticket n° C-017</t>
  </si>
  <si>
    <t>Ticket n° C-018</t>
  </si>
  <si>
    <t>Ticket n° C-019</t>
  </si>
  <si>
    <t>Ticket n° C-020</t>
  </si>
  <si>
    <t>Ticket n° C-021</t>
  </si>
  <si>
    <t>Ticket n° C-022</t>
  </si>
  <si>
    <t>Ticket n° C-023</t>
  </si>
  <si>
    <t>Ticket n° C-024</t>
  </si>
  <si>
    <t>Ticket n° C-025</t>
  </si>
  <si>
    <t>Ticket n° C-026</t>
  </si>
  <si>
    <t>Ticket n° C-027</t>
  </si>
  <si>
    <t>Ticket n° C-028</t>
  </si>
  <si>
    <t>Ticket n° C-029</t>
  </si>
  <si>
    <t>Ticket n° C-030</t>
  </si>
  <si>
    <t>FRAIS ET ENTRETIEN</t>
  </si>
  <si>
    <t>Entretien, réparations, pneumatiques, assurance, péages, stationnement et autres dépenses</t>
  </si>
  <si>
    <t>Choisissez la nature de la dépense : le poste se complète seul et les échéances d'entretien se mettent à jour.</t>
  </si>
  <si>
    <t>Nature de la dépense</t>
  </si>
  <si>
    <t>Poste</t>
  </si>
  <si>
    <t>Prestataire / lieu</t>
  </si>
  <si>
    <t>Détail de l'intervention ou de la dépense</t>
  </si>
  <si>
    <t>Frais pro à
rembourser</t>
  </si>
  <si>
    <t>N° de facture
/ ticket</t>
  </si>
  <si>
    <t>Péage</t>
  </si>
  <si>
    <t>Autoroute</t>
  </si>
  <si>
    <t>Aller-retour Orléans</t>
  </si>
  <si>
    <t>T-001</t>
  </si>
  <si>
    <t>Stationnement</t>
  </si>
  <si>
    <t>Parking centre – Orléans</t>
  </si>
  <si>
    <t>Stationnement rendez-vous</t>
  </si>
  <si>
    <t>T-002</t>
  </si>
  <si>
    <t>Lavage</t>
  </si>
  <si>
    <t>Station de lavage</t>
  </si>
  <si>
    <t>Lavage haute pression</t>
  </si>
  <si>
    <t>Espèces</t>
  </si>
  <si>
    <t>Contrôle technique</t>
  </si>
  <si>
    <t>Centre de contrôle des Érables</t>
  </si>
  <si>
    <t>Contrôle périodique – favorable</t>
  </si>
  <si>
    <t>F-2027-014</t>
  </si>
  <si>
    <t>T-003</t>
  </si>
  <si>
    <t>Aller-retour Chartres</t>
  </si>
  <si>
    <t>T-004</t>
  </si>
  <si>
    <t>T-005</t>
  </si>
  <si>
    <t>T-006</t>
  </si>
  <si>
    <t>T-007</t>
  </si>
  <si>
    <t>Aller-retour Le Mans</t>
  </si>
  <si>
    <t>T-008</t>
  </si>
  <si>
    <t>T-009</t>
  </si>
  <si>
    <t>T-010</t>
  </si>
  <si>
    <t>Assurance</t>
  </si>
  <si>
    <t>Mutuelle Horizon Assurances</t>
  </si>
  <si>
    <t>Prime annuelle tous risques</t>
  </si>
  <si>
    <t>Prélèvement</t>
  </si>
  <si>
    <t>AV-2027</t>
  </si>
  <si>
    <t>T-011</t>
  </si>
  <si>
    <t>T-012</t>
  </si>
  <si>
    <t>T-013</t>
  </si>
  <si>
    <t>T-014</t>
  </si>
  <si>
    <t>T-015</t>
  </si>
  <si>
    <t>T-016</t>
  </si>
  <si>
    <t>Aller-retour Saumur</t>
  </si>
  <si>
    <t>T-017</t>
  </si>
  <si>
    <t>Parking centre – Tours</t>
  </si>
  <si>
    <t>T-018</t>
  </si>
  <si>
    <t>Parking centre – Blois</t>
  </si>
  <si>
    <t>T-019</t>
  </si>
  <si>
    <t>Vidange et filtres</t>
  </si>
  <si>
    <t>Garage du Moulin</t>
  </si>
  <si>
    <t>Vidange, filtres à huile, à air et d'habitacle</t>
  </si>
  <si>
    <t>F-2027-218</t>
  </si>
  <si>
    <t>Autre réparation</t>
  </si>
  <si>
    <t>Balais d'essuie-glace avant</t>
  </si>
  <si>
    <t>T-020</t>
  </si>
  <si>
    <t>T-021</t>
  </si>
  <si>
    <t>T-022</t>
  </si>
  <si>
    <t>Parking centre – Chartres</t>
  </si>
  <si>
    <t>T-023</t>
  </si>
  <si>
    <t>T-024</t>
  </si>
  <si>
    <t>T-025</t>
  </si>
  <si>
    <t>T-026</t>
  </si>
  <si>
    <t>T-027</t>
  </si>
  <si>
    <t>T-028</t>
  </si>
  <si>
    <t>T-029</t>
  </si>
  <si>
    <t>T-030</t>
  </si>
  <si>
    <t>T-031</t>
  </si>
  <si>
    <t>T-032</t>
  </si>
  <si>
    <t>T-033</t>
  </si>
  <si>
    <t>T-034</t>
  </si>
  <si>
    <t>T-035</t>
  </si>
  <si>
    <t>T-036</t>
  </si>
  <si>
    <t>T-037</t>
  </si>
  <si>
    <t>T-038</t>
  </si>
  <si>
    <t>T-039</t>
  </si>
  <si>
    <t>T-040</t>
  </si>
  <si>
    <t>Pneumatiques (achat, montage)</t>
  </si>
  <si>
    <t>Centre pneus Val de Loire</t>
  </si>
  <si>
    <t>4 pneus toutes saisons, montage et équilibrage</t>
  </si>
  <si>
    <t>F-2027-507</t>
  </si>
  <si>
    <t>T-041</t>
  </si>
  <si>
    <t>T-042</t>
  </si>
  <si>
    <t>T-043</t>
  </si>
  <si>
    <t>T-044</t>
  </si>
  <si>
    <t>Accessoires et équipements</t>
  </si>
  <si>
    <t>Magasin auto</t>
  </si>
  <si>
    <t>Grattoir et liquide lave-glace hiver</t>
  </si>
  <si>
    <t>T-045</t>
  </si>
  <si>
    <t>T-046</t>
  </si>
  <si>
    <t>T-047</t>
  </si>
  <si>
    <t>T-048</t>
  </si>
  <si>
    <t>ÉCHÉANCES D'ENTRETIEN ET ADMINISTRATIVES</t>
  </si>
  <si>
    <t>Vidange, révision, pneumatiques, contrôle technique, assurance : prochaines dates et kilométrages</t>
  </si>
  <si>
    <t>La dernière réalisation est reprise automatiquement de l'onglet Frais &amp; entretien ; la saisie initiale sert tant qu'aucune dépense n'est enregistrée.</t>
  </si>
  <si>
    <t>DERNIÈRE RÉALISATION CONNUE</t>
  </si>
  <si>
    <t>RÉFÉRENCE RETENUE</t>
  </si>
  <si>
    <t>PROCHAINE ÉCHÉANCE</t>
  </si>
  <si>
    <t>RESTE À COURIR</t>
  </si>
  <si>
    <t>Opération suivie</t>
  </si>
  <si>
    <t>Tous les
(km)</t>
  </si>
  <si>
    <t>Tous les
(mois)</t>
  </si>
  <si>
    <t>Date
(saisie initiale)</t>
  </si>
  <si>
    <t>Compteur
(saisie initiale)</t>
  </si>
  <si>
    <t>Compteur</t>
  </si>
  <si>
    <t>Jours</t>
  </si>
  <si>
    <t>Kilomètres</t>
  </si>
  <si>
    <t>Statut</t>
  </si>
  <si>
    <t>Dernière date
(historique)</t>
  </si>
  <si>
    <t>Dernier km
(historique)</t>
  </si>
  <si>
    <t>Selon le carnet d'entretien du constructeur</t>
  </si>
  <si>
    <t>Révision constructeur</t>
  </si>
  <si>
    <t>Kit de distribution</t>
  </si>
  <si>
    <t>Compté depuis la 1re mise en circulation</t>
  </si>
  <si>
    <t>Plaquettes et disques de frein</t>
  </si>
  <si>
    <t>Contrôle de l'usure à chaque révision</t>
  </si>
  <si>
    <t>Recharge de climatisation</t>
  </si>
  <si>
    <t>Contrôle périodique tous les 2 ans</t>
  </si>
  <si>
    <t>Échéance annuelle du contrat</t>
  </si>
  <si>
    <t>FICHE VÉHICULE ET PARAMÈTRES</t>
  </si>
  <si>
    <t>Identification, conducteurs, réglages des alertes et barème kilométrique</t>
  </si>
  <si>
    <t>À compléter en premier : ces informations alimentent les calculs, les contrôles et les listes du classeur.</t>
  </si>
  <si>
    <t>IDENTIFICATION DU VÉHICULE</t>
  </si>
  <si>
    <t>UTILISATION ET ASSURANCE</t>
  </si>
  <si>
    <t>LISTES DÉROULANTES</t>
  </si>
  <si>
    <t>Immatriculation</t>
  </si>
  <si>
    <t>GH-482-TK</t>
  </si>
  <si>
    <t>Statut du véhicule</t>
  </si>
  <si>
    <t>Véhicule personnel</t>
  </si>
  <si>
    <t>Nature du trajet *</t>
  </si>
  <si>
    <t>Énergie *</t>
  </si>
  <si>
    <t>Statut du véhicule *</t>
  </si>
  <si>
    <t>Rôle du conducteur</t>
  </si>
  <si>
    <t>Poste de coût *</t>
  </si>
  <si>
    <t>Marque</t>
  </si>
  <si>
    <t>Voltéra</t>
  </si>
  <si>
    <t>Titulaire / structure</t>
  </si>
  <si>
    <t>Essence</t>
  </si>
  <si>
    <t>Conducteur principal</t>
  </si>
  <si>
    <t>Entretien</t>
  </si>
  <si>
    <t>Modèle / version</t>
  </si>
  <si>
    <t>Compacte 1.6 hybride</t>
  </si>
  <si>
    <t>Date d'ouverture du carnet</t>
  </si>
  <si>
    <t>Gazole</t>
  </si>
  <si>
    <t>Véhicule de fonction</t>
  </si>
  <si>
    <t>Conducteur occasionnel</t>
  </si>
  <si>
    <t>Réparations</t>
  </si>
  <si>
    <t>Énergie</t>
  </si>
  <si>
    <t>Hybride essence</t>
  </si>
  <si>
    <t>Kilométrage à l'ouverture du carnet</t>
  </si>
  <si>
    <t>Véhicule de service</t>
  </si>
  <si>
    <t>Conducteur autorisé</t>
  </si>
  <si>
    <t>Pneumatiques</t>
  </si>
  <si>
    <t>Puissance fiscale (CV)</t>
  </si>
  <si>
    <t>Assureur</t>
  </si>
  <si>
    <t>Hybride rechargeable</t>
  </si>
  <si>
    <t>Location longue durée</t>
  </si>
  <si>
    <t>Virement</t>
  </si>
  <si>
    <t>Date de 1re mise en circulation</t>
  </si>
  <si>
    <t>N° de contrat</t>
  </si>
  <si>
    <t>HZ-2027-048213</t>
  </si>
  <si>
    <t>Électrique</t>
  </si>
  <si>
    <t>N° d'identification (VIN)</t>
  </si>
  <si>
    <t>VXF0EXEMPLE000217</t>
  </si>
  <si>
    <t>Kilométrage actuel</t>
  </si>
  <si>
    <t>GPL</t>
  </si>
  <si>
    <t>Avance du conducteur</t>
  </si>
  <si>
    <t>Péages et stationnement</t>
  </si>
  <si>
    <t>Capacité du réservoir (L) ou de la batterie (kWh)</t>
  </si>
  <si>
    <t>Date de situation</t>
  </si>
  <si>
    <t>Superéthanol E85</t>
  </si>
  <si>
    <t>Lavage et divers</t>
  </si>
  <si>
    <t>Unité de carburant / d'énergie</t>
  </si>
  <si>
    <t>La date de situation est la date du jour, ou la dernière saisie si elle est postérieure.</t>
  </si>
  <si>
    <t>CONDUCTEURS AUTORISÉS</t>
  </si>
  <si>
    <t>PARAMÈTRES DE SUIVI</t>
  </si>
  <si>
    <t>Nom et prénom</t>
  </si>
  <si>
    <t>Rôle</t>
  </si>
  <si>
    <t>Déplacements professionnels</t>
  </si>
  <si>
    <t>Alerte avant échéance (jours)</t>
  </si>
  <si>
    <t>Usage familial</t>
  </si>
  <si>
    <t>Alerte avant échéance (km)</t>
  </si>
  <si>
    <t>* Valeurs utilisées par les calculs : complétez les listes en bas, sans renommer les valeurs existantes.</t>
  </si>
  <si>
    <t>Tolérance d'écart de compteur (km)</t>
  </si>
  <si>
    <t>Trajets domicile – travail inclus dans les IK</t>
  </si>
  <si>
    <t>Majoration IK des véhicules 100 % électriques</t>
  </si>
  <si>
    <t>Écart de consommation signalé (au-delà de)</t>
  </si>
  <si>
    <t>BARÈME KILOMÉTRIQUE DES VOITURES</t>
  </si>
  <si>
    <t>NATURES DE DÉPENSE ET POSTES</t>
  </si>
  <si>
    <t>d = distance professionnelle de l'année. Barème fiscal à vérifier et à actualiser à chaque nouvelle publication annuelle.</t>
  </si>
  <si>
    <t>Le poste regroupe les dépenses dans le tableau de bord. Ajoutez vos natures en bas de liste.</t>
  </si>
  <si>
    <t>Puissance fiscale</t>
  </si>
  <si>
    <t>d ≤ 5 000 km
(€ par km)</t>
  </si>
  <si>
    <t>5 001 à 20 000 km
(€ par km)</t>
  </si>
  <si>
    <t>5 001 à 20 000 km
(+ forfait €)</t>
  </si>
  <si>
    <t>d &gt; 20 000 km
(€ par km)</t>
  </si>
  <si>
    <t>Nature de dépense</t>
  </si>
  <si>
    <t>Poste de coût</t>
  </si>
  <si>
    <t>Batterie</t>
  </si>
  <si>
    <t>Géométrie, permutation</t>
  </si>
  <si>
    <t>Autre dépense</t>
  </si>
  <si>
    <t>MODE D'EMPLOI</t>
  </si>
  <si>
    <t>Prise en main du carnet de bord, contrôles automatiques et repères utiles</t>
  </si>
  <si>
    <t>Première utilisation : suivez les étapes dans l'ordre, puis saisissez au fil de l'eau.</t>
  </si>
  <si>
    <t>À QUOI SERT CE CARNET DE BORD</t>
  </si>
  <si>
    <t>Ce classeur réunit tout le suivi d'un véhicule : trajets avec leurs relevés de compteur, pleins de carburant ou recharges, frais d'entretien et d'utilisation, échéances à surveiller. Les distances, la consommation, le coût au kilomètre, la répartition professionnelle / privée et les indemnités kilométriques se calculent automatiquement.</t>
  </si>
  <si>
    <t>MISE EN ROUTE EN 6 ÉTAPES</t>
  </si>
  <si>
    <t>Véhicule</t>
  </si>
  <si>
    <t>Renseignez l'immatriculation, l'énergie, la puissance fiscale, le statut du véhicule, la date d'ouverture et le kilométrage de départ. Ajoutez les conducteurs autorisés.</t>
  </si>
  <si>
    <t>Échéances</t>
  </si>
  <si>
    <t>Indiquez la périodicité de chaque opération (en km et/ou en mois) et sa dernière réalisation connue.</t>
  </si>
  <si>
    <t>Trajets</t>
  </si>
  <si>
    <t>Après chaque déplacement : date, conducteur, départ, arrivée, motif, nature et relevés du compteur. La distance et les contrôles se calculent seuls.</t>
  </si>
  <si>
    <t>Carburant</t>
  </si>
  <si>
    <t>À chaque plein ou recharge : compteur, quantité, montant TTC et « Plein complet » (Oui / Non).</t>
  </si>
  <si>
    <t>Frais &amp; entretien</t>
  </si>
  <si>
    <t>Chaque dépense avec sa nature : entretien, pneus, contrôle technique, assurance, péage, stationnement… Indiquez les frais professionnels à vous faire rembourser.</t>
  </si>
  <si>
    <t>Tableau de bord</t>
  </si>
  <si>
    <t>Choisissez l'année de suivi : indicateurs, synthèse mensuelle, échéances et graphique se mettent à jour.</t>
  </si>
  <si>
    <t>CODES COULEUR</t>
  </si>
  <si>
    <t>Cellule à renseigner : valeur libre ou liste déroulante.</t>
  </si>
  <si>
    <t>Calcul</t>
  </si>
  <si>
    <t>Calcul automatique : ne pas modifier ni effacer.</t>
  </si>
  <si>
    <t>En-tête graphite</t>
  </si>
  <si>
    <t>Colonne à saisir (souligné orange).</t>
  </si>
  <si>
    <t>En-tête gris</t>
  </si>
  <si>
    <t>Colonne calculée.</t>
  </si>
  <si>
    <t>Conforme / À jour</t>
  </si>
  <si>
    <t>Aucun point relevé.</t>
  </si>
  <si>
    <t>À vérifier / À prévoir</t>
  </si>
  <si>
    <t>Information manquante, écart à justifier ou échéance proche.</t>
  </si>
  <si>
    <t>Incohérent / En retard</t>
  </si>
  <si>
    <t>Erreur de saisie probable ou échéance dépassée.</t>
  </si>
  <si>
    <t>CONTRÔLES AUTOMATIQUES</t>
  </si>
  <si>
    <t>Incomplet</t>
  </si>
  <si>
    <t>Une information indispensable manque (le motif est obligatoire pour un trajet professionnel).</t>
  </si>
  <si>
    <t>Km non enregistrés</t>
  </si>
  <si>
    <t>Le compteur de départ dépasse l'arrivée du trajet précédent : un déplacement n'a pas été noté.</t>
  </si>
  <si>
    <t>Chevauchement</t>
  </si>
  <si>
    <t>Le compteur de départ est inférieur à l'arrivée précédente : vérifiez l'ordre ou les relevés.</t>
  </si>
  <si>
    <t>Compteur incohérent</t>
  </si>
  <si>
    <t>Le compteur d'arrivée est inférieur au compteur de départ.</t>
  </si>
  <si>
    <t>Ordre des dates</t>
  </si>
  <si>
    <t>La date est antérieure à celle de la ligne précédente : triez par date.</t>
  </si>
  <si>
    <t>Conso. atypique</t>
  </si>
  <si>
    <t>Consommation très éloignée de la moyenne constatée (plein partiel oublié, erreur de compteur ou de quantité).</t>
  </si>
  <si>
    <t>Quantité &gt; réservoir</t>
  </si>
  <si>
    <t>Quantité supérieure à la capacité déclarée du réservoir ou de la batterie.</t>
  </si>
  <si>
    <t>Km manquant</t>
  </si>
  <si>
    <t>Entretien, réparation ou pneus sans relevé du compteur : l'échéance en km ne peut pas être recalculée.</t>
  </si>
  <si>
    <t>BON À SAVOIR</t>
  </si>
  <si>
    <t>›</t>
  </si>
  <si>
    <t>Tenez un carnet par véhicule. Pour chaque trajet, notez la date, le conducteur, les lieux de départ et d'arrivée, le motif et les kilomètres : ce sont les éléments attendus pour justifier un usage professionnel.</t>
  </si>
  <si>
    <t>Véhicule de fonction : les trajets domicile – travail sont comptés comme des kilomètres privés dans l'indicateur « Kilomètres privés ».</t>
  </si>
  <si>
    <t>Véhicule personnel : les indemnités kilométriques sont estimées avec le barème de l'onglet Véhicule, selon la puissance fiscale et les kilomètres professionnels de l'année (majoration pour les véhicules 100 % électriques).</t>
  </si>
  <si>
    <t>Le barème couvre carburant, entretien, pneus, assurance et dépréciation ; les péages et le stationnement professionnels se remboursent en plus.</t>
  </si>
  <si>
    <t>Actualisez le barème à chaque publication annuelle et conservez tickets et factures : le carnet ne remplace pas les justificatifs.</t>
  </si>
  <si>
    <t>Consommation « de plein à plein » : elle est calculée à chaque plein complet, en cumulant les pleins partiels intermédiaires.</t>
  </si>
  <si>
    <t>BONNES PRATIQUES</t>
  </si>
  <si>
    <t>Relevez le compteur exact au départ et à l'arrivée, et saisissez les lignes dans l'ordre chronologique.</t>
  </si>
  <si>
    <t>Nouvelle année : poursuivez la saisie dans les mêmes onglets et changez simplement l'année de suivi dans le tableau de bord.</t>
  </si>
  <si>
    <t>Capacité : 600 trajets, 200 pleins, 300 dépenses et 12 échéances. Les listes (conducteurs, natures de dépense, modes de règlement…) se complètent dans l'onglet Véhicule.</t>
  </si>
  <si>
    <t>Les exemples fournis sont fictifs : effacez les cellules blanches des onglets de saisie avant d'utiliser le carnet pour votre véhicule.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</si>
</sst>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#,##0&quot; km&quot;"/>
    <numFmt numFmtId="165" formatCode="0&quot; j&quot;"/>
    <numFmt numFmtId="166" formatCode="0&quot; CV&quot;"/>
    <numFmt numFmtId="167" formatCode="0.000"/>
    <numFmt numFmtId="168" formatCode="#,##0&quot; €&quot;"/>
    <numFmt numFmtId="169" formatCode="0&quot; CV et moins&quot;"/>
    <numFmt numFmtId="170" formatCode="0&quot; CV et plus&quot;"/>
    <numFmt numFmtId="171" formatCode="#,##0;\-#,##0;&quot;–&quot;"/>
    <numFmt numFmtId="172" formatCode="\+#,##0;\-#,##0;&quot;&quot;"/>
    <numFmt numFmtId="173" formatCode="#,##0.00&quot; €&quot;"/>
    <numFmt numFmtId="174" formatCode="0.000&quot; €&quot;"/>
    <numFmt numFmtId="175" formatCode="#,##0;\-#,##0;0"/>
    <numFmt numFmtId="176" formatCode="dd/mm/yyyy;;"/>
    <numFmt numFmtId="177" formatCode="0.0"/>
    <numFmt numFmtId="178" formatCode="0.00&quot; €/km&quot;"/>
    <numFmt numFmtId="179" formatCode="#,##0.00&quot; €&quot;;\-#,##0.00&quot; €&quot;;&quot;–&quot;"/>
    <numFmt numFmtId="180" formatCode="0.00&quot; €&quot;;\-0.00&quot; €&quot;;&quot;–&quot;"/>
    <numFmt numFmtId="181" formatCode=";;;"/>
  </numFmts>
  <fonts count="39" x14ac:knownFonts="1">
    <font>
      <sz val="11"/>
      <color theme="1"/>
      <name val="Calibri"/>
      <family val="2"/>
      <scheme val="minor"/>
    </font>
    <font>
      <b/>
      <sz val="18"/>
      <color rgb="FF1D232B"/>
      <name val="Calibri"/>
    </font>
    <font>
      <sz val="10"/>
      <color rgb="FF7A828C"/>
      <name val="Calibri"/>
    </font>
    <font>
      <i/>
      <sz val="9"/>
      <color rgb="FF7A828C"/>
      <name val="Calibri"/>
    </font>
    <font>
      <sz val="8"/>
      <color rgb="FF22272E"/>
      <name val="Calibri"/>
    </font>
    <font>
      <sz val="8"/>
      <color rgb="FF3F4854"/>
      <name val="Calibri"/>
    </font>
    <font>
      <b/>
      <sz val="11"/>
      <color rgb="FF1D232B"/>
      <name val="Calibri"/>
    </font>
    <font>
      <sz val="10"/>
      <color rgb="FF3F4854"/>
      <name val="Calibri"/>
    </font>
    <font>
      <sz val="10"/>
      <color rgb="FF22272E"/>
      <name val="Calibri"/>
    </font>
    <font>
      <b/>
      <sz val="12"/>
      <color rgb="FF1D232B"/>
      <name val="Calibri"/>
    </font>
    <font>
      <b/>
      <sz val="10"/>
      <color rgb="FF3F4854"/>
      <name val="Calibri"/>
    </font>
    <font>
      <i/>
      <sz val="8.5"/>
      <color rgb="FF7A828C"/>
      <name val="Calibri"/>
    </font>
    <font>
      <b/>
      <sz val="9"/>
      <color rgb="FFFFFFFF"/>
      <name val="Calibri"/>
    </font>
    <font>
      <i/>
      <sz val="9"/>
      <color rgb="FF8A5A00"/>
      <name val="Calibri"/>
    </font>
    <font>
      <sz val="9"/>
      <color rgb="FF7A828C"/>
      <name val="Calibri"/>
    </font>
    <font>
      <b/>
      <sz val="9"/>
      <color rgb="FF3F4854"/>
      <name val="Calibri"/>
    </font>
    <font>
      <b/>
      <sz val="8"/>
      <color rgb="FFFFFFFF"/>
      <name val="Calibri"/>
    </font>
    <font>
      <sz val="8.5"/>
      <color rgb="FF7A828C"/>
      <name val="Calibri"/>
    </font>
    <font>
      <b/>
      <sz val="8"/>
      <color rgb="FF39424E"/>
      <name val="Calibri"/>
    </font>
    <font>
      <b/>
      <sz val="10"/>
      <color rgb="FF1D232B"/>
      <name val="Calibri"/>
    </font>
    <font>
      <b/>
      <sz val="20"/>
      <color rgb="FF1D232B"/>
      <name val="Calibri"/>
    </font>
    <font>
      <b/>
      <sz val="10"/>
      <color rgb="FFFFFFFF"/>
      <name val="Calibri"/>
    </font>
    <font>
      <b/>
      <sz val="9"/>
      <color rgb="FF6B7683"/>
      <name val="Calibri"/>
    </font>
    <font>
      <b/>
      <sz val="13"/>
      <color rgb="FF1D232B"/>
      <name val="Calibri"/>
    </font>
    <font>
      <b/>
      <sz val="9"/>
      <color rgb="FF39424E"/>
      <name val="Calibri"/>
    </font>
    <font>
      <b/>
      <sz val="8.5"/>
      <color rgb="FF7A828C"/>
      <name val="Calibri"/>
    </font>
    <font>
      <b/>
      <sz val="8.5"/>
      <color rgb="FF6B7683"/>
      <name val="Calibri"/>
    </font>
    <font>
      <b/>
      <sz val="8"/>
      <color rgb="FF7A828C"/>
      <name val="Calibri"/>
    </font>
    <font>
      <b/>
      <sz val="9.5"/>
      <color rgb="FF22272E"/>
      <name val="Calibri"/>
    </font>
    <font>
      <b/>
      <sz val="9"/>
      <color rgb="FF596270"/>
      <name val="Calibri"/>
    </font>
    <font>
      <b/>
      <sz val="10"/>
      <color rgb="FF22272E"/>
      <name val="Calibri"/>
    </font>
    <font>
      <b/>
      <sz val="9"/>
      <color rgb="FF2E6DB4"/>
      <name val="Calibri"/>
    </font>
    <font>
      <b/>
      <sz val="9"/>
      <color rgb="FF8A5A00"/>
      <name val="Calibri"/>
    </font>
    <font>
      <b/>
      <sz val="14"/>
      <color rgb="FFFFFFFF"/>
      <name val="Calibri"/>
    </font>
    <font>
      <b/>
      <u/>
      <sz val="11"/>
      <color rgb="FFE5661A"/>
      <name val="Calibri"/>
    </font>
    <font>
      <b/>
      <sz val="10"/>
      <color rgb="FF1E7B45"/>
      <name val="Calibri"/>
    </font>
    <font>
      <b/>
      <sz val="10"/>
      <color rgb="FF8A5A00"/>
      <name val="Calibri"/>
    </font>
    <font>
      <b/>
      <sz val="10"/>
      <color rgb="FFB3261E"/>
      <name val="Calibri"/>
    </font>
    <font>
      <b/>
      <sz val="12"/>
      <color rgb="FFE5661A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E5661A"/>
        <bgColor rgb="FFE5661A"/>
      </patternFill>
    </fill>
    <fill>
      <patternFill patternType="solid">
        <fgColor rgb="FF1D232B"/>
        <bgColor rgb="FF1D232B"/>
      </patternFill>
    </fill>
    <fill>
      <patternFill patternType="solid">
        <fgColor rgb="FFFFFFFF"/>
        <bgColor rgb="FFFFFFFF"/>
      </patternFill>
    </fill>
    <fill>
      <patternFill patternType="solid">
        <fgColor rgb="FFF0F1F3"/>
        <bgColor rgb="FFF0F1F3"/>
      </patternFill>
    </fill>
    <fill>
      <patternFill patternType="solid">
        <fgColor rgb="FFFFF7E6"/>
        <bgColor rgb="FFFFF7E6"/>
      </patternFill>
    </fill>
    <fill>
      <patternFill patternType="solid">
        <fgColor rgb="FF6B7683"/>
        <bgColor rgb="FF6B7683"/>
      </patternFill>
    </fill>
    <fill>
      <patternFill patternType="solid">
        <fgColor rgb="FFB8BDC4"/>
        <bgColor rgb="FFB8BDC4"/>
      </patternFill>
    </fill>
    <fill>
      <patternFill patternType="solid">
        <fgColor rgb="FFE9EAEC"/>
        <bgColor rgb="FFE9EAEC"/>
      </patternFill>
    </fill>
    <fill>
      <patternFill patternType="solid">
        <fgColor rgb="FFF3F3F1"/>
        <bgColor rgb="FFF3F3F1"/>
      </patternFill>
    </fill>
    <fill>
      <patternFill patternType="solid">
        <fgColor rgb="FF1F3F99"/>
        <bgColor rgb="FF1F3F99"/>
      </patternFill>
    </fill>
    <fill>
      <patternFill patternType="solid">
        <fgColor rgb="FFDDF1E4"/>
        <bgColor rgb="FFDDF1E4"/>
      </patternFill>
    </fill>
    <fill>
      <patternFill patternType="solid">
        <fgColor rgb="FFFFF0CC"/>
        <bgColor rgb="FFFFF0CC"/>
      </patternFill>
    </fill>
    <fill>
      <patternFill patternType="solid">
        <fgColor rgb="FFF9D9D9"/>
        <bgColor rgb="FFF9D9D9"/>
      </patternFill>
    </fill>
  </fills>
  <borders count="32">
    <border>
      <left/>
      <right/>
      <top/>
      <bottom/>
      <diagonal/>
    </border>
    <border>
      <left style="thin">
        <color rgb="FFDADBD8"/>
      </left>
      <right style="thin">
        <color rgb="FFDADBD8"/>
      </right>
      <top style="thin">
        <color rgb="FFDADBD8"/>
      </top>
      <bottom style="thin">
        <color rgb="FFDADBD8"/>
      </bottom>
      <diagonal/>
    </border>
    <border>
      <left/>
      <right/>
      <top/>
      <bottom style="medium">
        <color rgb="FFE5661A"/>
      </bottom>
      <diagonal/>
    </border>
    <border>
      <left/>
      <right/>
      <top/>
      <bottom style="thin">
        <color rgb="FFDADBD8"/>
      </bottom>
      <diagonal/>
    </border>
    <border>
      <left style="thin">
        <color rgb="FFFFFFFF"/>
      </left>
      <right style="thin">
        <color rgb="FFFFFFFF"/>
      </right>
      <top/>
      <bottom style="medium">
        <color rgb="FFE5661A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medium">
        <color rgb="FF1D232B"/>
      </left>
      <right/>
      <top style="medium">
        <color rgb="FF1D232B"/>
      </top>
      <bottom/>
      <diagonal/>
    </border>
    <border>
      <left/>
      <right/>
      <top style="medium">
        <color rgb="FF1D232B"/>
      </top>
      <bottom/>
      <diagonal/>
    </border>
    <border>
      <left/>
      <right style="medium">
        <color rgb="FF1D232B"/>
      </right>
      <top style="medium">
        <color rgb="FF1D232B"/>
      </top>
      <bottom/>
      <diagonal/>
    </border>
    <border>
      <left style="medium">
        <color rgb="FF1D232B"/>
      </left>
      <right/>
      <top/>
      <bottom style="medium">
        <color rgb="FF1D232B"/>
      </bottom>
      <diagonal/>
    </border>
    <border>
      <left/>
      <right/>
      <top/>
      <bottom style="medium">
        <color rgb="FF1D232B"/>
      </bottom>
      <diagonal/>
    </border>
    <border>
      <left/>
      <right style="medium">
        <color rgb="FF1D232B"/>
      </right>
      <top/>
      <bottom style="medium">
        <color rgb="FF1D232B"/>
      </bottom>
      <diagonal/>
    </border>
    <border>
      <left/>
      <right/>
      <top/>
      <bottom style="thin">
        <color rgb="FFDADBD8"/>
      </bottom>
      <diagonal/>
    </border>
    <border>
      <left style="medium">
        <color rgb="FFE5661A"/>
      </left>
      <right style="medium">
        <color rgb="FFE5661A"/>
      </right>
      <top style="medium">
        <color rgb="FFE5661A"/>
      </top>
      <bottom style="thin">
        <color rgb="FFDADBD8"/>
      </bottom>
      <diagonal/>
    </border>
    <border>
      <left style="thin">
        <color rgb="FFDADBD8"/>
      </left>
      <right/>
      <top/>
      <bottom/>
      <diagonal/>
    </border>
    <border>
      <left/>
      <right style="thin">
        <color rgb="FFDADBD8"/>
      </right>
      <top/>
      <bottom/>
      <diagonal/>
    </border>
    <border>
      <left style="thin">
        <color rgb="FFDADBD8"/>
      </left>
      <right/>
      <top/>
      <bottom style="thin">
        <color rgb="FFDADBD8"/>
      </bottom>
      <diagonal/>
    </border>
    <border>
      <left/>
      <right style="thin">
        <color rgb="FFDADBD8"/>
      </right>
      <top/>
      <bottom style="thin">
        <color rgb="FFDADBD8"/>
      </bottom>
      <diagonal/>
    </border>
    <border>
      <left style="thin">
        <color rgb="FFDADBD8"/>
      </left>
      <right style="thin">
        <color rgb="FFDADBD8"/>
      </right>
      <top style="thick">
        <color rgb="FFE5661A"/>
      </top>
      <bottom/>
      <diagonal/>
    </border>
    <border>
      <left/>
      <right style="thin">
        <color rgb="FFDADBD8"/>
      </right>
      <top style="thick">
        <color rgb="FFE5661A"/>
      </top>
      <bottom/>
      <diagonal/>
    </border>
    <border>
      <left style="thin">
        <color rgb="FFDADBD8"/>
      </left>
      <right style="thin">
        <color rgb="FFDADBD8"/>
      </right>
      <top/>
      <bottom/>
      <diagonal/>
    </border>
    <border>
      <left style="thin">
        <color rgb="FFDADBD8"/>
      </left>
      <right/>
      <top/>
      <bottom/>
      <diagonal/>
    </border>
    <border>
      <left/>
      <right style="thin">
        <color rgb="FFDADBD8"/>
      </right>
      <top/>
      <bottom/>
      <diagonal/>
    </border>
    <border>
      <left style="thin">
        <color rgb="FFDADBD8"/>
      </left>
      <right style="thin">
        <color rgb="FFDADBD8"/>
      </right>
      <top/>
      <bottom style="thin">
        <color rgb="FFDADBD8"/>
      </bottom>
      <diagonal/>
    </border>
    <border>
      <left/>
      <right style="thin">
        <color rgb="FFDADBD8"/>
      </right>
      <top/>
      <bottom style="thin">
        <color rgb="FFDADBD8"/>
      </bottom>
      <diagonal/>
    </border>
    <border>
      <left/>
      <right/>
      <top/>
      <bottom/>
      <diagonal/>
    </border>
    <border>
      <left/>
      <right/>
      <top style="thin">
        <color rgb="FFDADBD8"/>
      </top>
      <bottom style="thin">
        <color rgb="FFDADBD8"/>
      </bottom>
      <diagonal/>
    </border>
    <border>
      <left/>
      <right style="thin">
        <color rgb="FFDADBD8"/>
      </right>
      <top style="thin">
        <color rgb="FFDADBD8"/>
      </top>
      <bottom style="thin">
        <color rgb="FFDADBD8"/>
      </bottom>
      <diagonal/>
    </border>
    <border>
      <left style="thin">
        <color rgb="FFDADBD8"/>
      </left>
      <right/>
      <top/>
      <bottom style="thin">
        <color rgb="FFECECEA"/>
      </bottom>
      <diagonal/>
    </border>
    <border>
      <left/>
      <right/>
      <top/>
      <bottom style="thin">
        <color rgb="FFECECEA"/>
      </bottom>
      <diagonal/>
    </border>
    <border>
      <left/>
      <right style="thin">
        <color rgb="FFDADBD8"/>
      </right>
      <top/>
      <bottom style="thin">
        <color rgb="FFECECEA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2" borderId="0" xfId="0" applyFill="1"/>
    <xf numFmtId="0" fontId="2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3" borderId="0" xfId="0" applyFill="1"/>
    <xf numFmtId="0" fontId="0" fillId="0" borderId="12" xfId="0" applyBorder="1"/>
    <xf numFmtId="0" fontId="22" fillId="0" borderId="12" xfId="0" applyFont="1" applyBorder="1" applyAlignment="1">
      <alignment horizontal="left" vertical="center" indent="1"/>
    </xf>
    <xf numFmtId="0" fontId="23" fillId="4" borderId="13" xfId="0" applyFont="1" applyFill="1" applyBorder="1" applyAlignment="1">
      <alignment horizontal="center" vertical="center"/>
    </xf>
    <xf numFmtId="0" fontId="0" fillId="10" borderId="0" xfId="0" applyFill="1"/>
    <xf numFmtId="0" fontId="24" fillId="10" borderId="0" xfId="0" applyFont="1" applyFill="1" applyAlignment="1">
      <alignment horizontal="left" vertical="center"/>
    </xf>
    <xf numFmtId="0" fontId="25" fillId="0" borderId="0" xfId="0" applyFont="1"/>
    <xf numFmtId="0" fontId="17" fillId="0" borderId="0" xfId="0" applyFont="1"/>
    <xf numFmtId="4" fontId="17" fillId="0" borderId="0" xfId="0" applyNumberFormat="1" applyFont="1"/>
    <xf numFmtId="0" fontId="0" fillId="4" borderId="14" xfId="0" applyFill="1" applyBorder="1"/>
    <xf numFmtId="0" fontId="0" fillId="4" borderId="25" xfId="0" applyFill="1" applyBorder="1"/>
    <xf numFmtId="0" fontId="0" fillId="4" borderId="15" xfId="0" applyFill="1" applyBorder="1"/>
    <xf numFmtId="0" fontId="27" fillId="4" borderId="16" xfId="0" applyFont="1" applyFill="1" applyBorder="1" applyAlignment="1">
      <alignment horizontal="left" vertical="center" wrapText="1" indent="1"/>
    </xf>
    <xf numFmtId="0" fontId="27" fillId="4" borderId="12" xfId="0" applyFont="1" applyFill="1" applyBorder="1" applyAlignment="1">
      <alignment horizontal="right" vertical="center" wrapText="1" indent="1"/>
    </xf>
    <xf numFmtId="0" fontId="27" fillId="4" borderId="17" xfId="0" applyFont="1" applyFill="1" applyBorder="1" applyAlignment="1">
      <alignment horizontal="center" vertical="center" wrapText="1"/>
    </xf>
    <xf numFmtId="175" fontId="7" fillId="4" borderId="25" xfId="0" applyNumberFormat="1" applyFont="1" applyFill="1" applyBorder="1" applyAlignment="1">
      <alignment horizontal="right" vertical="center" indent="1"/>
    </xf>
    <xf numFmtId="0" fontId="29" fillId="4" borderId="15" xfId="0" applyFont="1" applyFill="1" applyBorder="1" applyAlignment="1">
      <alignment horizontal="center" vertical="center"/>
    </xf>
    <xf numFmtId="0" fontId="0" fillId="4" borderId="16" xfId="0" applyFill="1" applyBorder="1"/>
    <xf numFmtId="0" fontId="0" fillId="4" borderId="12" xfId="0" applyFill="1" applyBorder="1"/>
    <xf numFmtId="0" fontId="0" fillId="4" borderId="17" xfId="0" applyFill="1" applyBorder="1"/>
    <xf numFmtId="0" fontId="30" fillId="4" borderId="14" xfId="0" applyFont="1" applyFill="1" applyBorder="1" applyAlignment="1">
      <alignment horizontal="left" vertical="center" indent="1"/>
    </xf>
    <xf numFmtId="171" fontId="7" fillId="4" borderId="25" xfId="0" applyNumberFormat="1" applyFont="1" applyFill="1" applyBorder="1" applyAlignment="1">
      <alignment horizontal="right" vertical="center" indent="1"/>
    </xf>
    <xf numFmtId="171" fontId="19" fillId="4" borderId="25" xfId="0" applyNumberFormat="1" applyFont="1" applyFill="1" applyBorder="1" applyAlignment="1">
      <alignment horizontal="right" vertical="center" indent="1"/>
    </xf>
    <xf numFmtId="179" fontId="7" fillId="4" borderId="25" xfId="0" applyNumberFormat="1" applyFont="1" applyFill="1" applyBorder="1" applyAlignment="1">
      <alignment horizontal="right" vertical="center" indent="1"/>
    </xf>
    <xf numFmtId="180" fontId="7" fillId="4" borderId="25" xfId="0" applyNumberFormat="1" applyFont="1" applyFill="1" applyBorder="1" applyAlignment="1">
      <alignment horizontal="right" vertical="center" indent="1"/>
    </xf>
    <xf numFmtId="171" fontId="7" fillId="4" borderId="15" xfId="0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left" vertical="center" indent="1"/>
    </xf>
    <xf numFmtId="171" fontId="21" fillId="3" borderId="25" xfId="0" applyNumberFormat="1" applyFont="1" applyFill="1" applyBorder="1" applyAlignment="1">
      <alignment horizontal="right" vertical="center" indent="1"/>
    </xf>
    <xf numFmtId="179" fontId="21" fillId="3" borderId="25" xfId="0" applyNumberFormat="1" applyFont="1" applyFill="1" applyBorder="1" applyAlignment="1">
      <alignment horizontal="right" vertical="center" indent="1"/>
    </xf>
    <xf numFmtId="180" fontId="21" fillId="3" borderId="25" xfId="0" applyNumberFormat="1" applyFont="1" applyFill="1" applyBorder="1" applyAlignment="1">
      <alignment horizontal="right" vertical="center" indent="1"/>
    </xf>
    <xf numFmtId="171" fontId="21" fillId="3" borderId="15" xfId="0" applyNumberFormat="1" applyFont="1" applyFill="1" applyBorder="1" applyAlignment="1">
      <alignment horizontal="center" vertical="center"/>
    </xf>
    <xf numFmtId="9" fontId="7" fillId="4" borderId="29" xfId="0" applyNumberFormat="1" applyFont="1" applyFill="1" applyBorder="1" applyAlignment="1">
      <alignment horizontal="right" vertical="center" indent="1"/>
    </xf>
    <xf numFmtId="9" fontId="7" fillId="4" borderId="15" xfId="0" applyNumberFormat="1" applyFont="1" applyFill="1" applyBorder="1" applyAlignment="1">
      <alignment horizontal="center" vertical="center"/>
    </xf>
    <xf numFmtId="9" fontId="19" fillId="4" borderId="25" xfId="0" applyNumberFormat="1" applyFont="1" applyFill="1" applyBorder="1" applyAlignment="1">
      <alignment horizontal="right" vertical="center" indent="1"/>
    </xf>
    <xf numFmtId="9" fontId="19" fillId="4" borderId="15" xfId="0" applyNumberFormat="1" applyFont="1" applyFill="1" applyBorder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14" fillId="0" borderId="0" xfId="0" applyFont="1" applyAlignment="1">
      <alignment horizontal="right" vertical="top"/>
    </xf>
    <xf numFmtId="0" fontId="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indent="1"/>
    </xf>
    <xf numFmtId="3" fontId="8" fillId="4" borderId="1" xfId="0" applyNumberFormat="1" applyFont="1" applyFill="1" applyBorder="1" applyAlignment="1">
      <alignment horizontal="right" vertical="center" indent="1"/>
    </xf>
    <xf numFmtId="171" fontId="10" fillId="5" borderId="1" xfId="0" applyNumberFormat="1" applyFont="1" applyFill="1" applyBorder="1" applyAlignment="1">
      <alignment horizontal="right" vertical="center" indent="1"/>
    </xf>
    <xf numFmtId="172" fontId="7" fillId="5" borderId="1" xfId="0" applyNumberFormat="1" applyFont="1" applyFill="1" applyBorder="1" applyAlignment="1">
      <alignment horizontal="right" vertical="center" indent="1"/>
    </xf>
    <xf numFmtId="0" fontId="15" fillId="5" borderId="1" xfId="0" applyFont="1" applyFill="1" applyBorder="1" applyAlignment="1">
      <alignment horizontal="center" vertical="center"/>
    </xf>
    <xf numFmtId="0" fontId="16" fillId="8" borderId="5" xfId="0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right" vertical="center" indent="1"/>
    </xf>
    <xf numFmtId="173" fontId="8" fillId="4" borderId="1" xfId="0" applyNumberFormat="1" applyFont="1" applyFill="1" applyBorder="1" applyAlignment="1">
      <alignment horizontal="right" vertical="center" indent="1"/>
    </xf>
    <xf numFmtId="174" fontId="7" fillId="5" borderId="1" xfId="0" applyNumberFormat="1" applyFont="1" applyFill="1" applyBorder="1" applyAlignment="1">
      <alignment horizontal="right" vertical="center" indent="1"/>
    </xf>
    <xf numFmtId="0" fontId="8" fillId="4" borderId="1" xfId="0" applyFont="1" applyFill="1" applyBorder="1" applyAlignment="1">
      <alignment horizontal="center" vertical="center"/>
    </xf>
    <xf numFmtId="171" fontId="7" fillId="5" borderId="1" xfId="0" applyNumberFormat="1" applyFont="1" applyFill="1" applyBorder="1" applyAlignment="1">
      <alignment horizontal="right" vertical="center" indent="1"/>
    </xf>
    <xf numFmtId="2" fontId="10" fillId="5" borderId="1" xfId="0" applyNumberFormat="1" applyFont="1" applyFill="1" applyBorder="1" applyAlignment="1">
      <alignment horizontal="right" vertical="center" indent="1"/>
    </xf>
    <xf numFmtId="173" fontId="7" fillId="5" borderId="1" xfId="0" applyNumberFormat="1" applyFont="1" applyFill="1" applyBorder="1" applyAlignment="1">
      <alignment horizontal="right" vertical="center" indent="1"/>
    </xf>
    <xf numFmtId="0" fontId="17" fillId="0" borderId="0" xfId="0" applyFont="1" applyAlignment="1">
      <alignment horizontal="center" vertical="center"/>
    </xf>
    <xf numFmtId="0" fontId="7" fillId="5" borderId="1" xfId="0" applyFont="1" applyFill="1" applyBorder="1" applyAlignment="1">
      <alignment horizontal="left" vertical="center" indent="1"/>
    </xf>
    <xf numFmtId="0" fontId="19" fillId="4" borderId="1" xfId="0" applyFont="1" applyFill="1" applyBorder="1" applyAlignment="1">
      <alignment horizontal="left" vertical="center" indent="1"/>
    </xf>
    <xf numFmtId="1" fontId="8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right" vertical="center" indent="1"/>
    </xf>
    <xf numFmtId="14" fontId="10" fillId="5" borderId="1" xfId="0" applyNumberFormat="1" applyFont="1" applyFill="1" applyBorder="1" applyAlignment="1">
      <alignment horizontal="center" vertical="center"/>
    </xf>
    <xf numFmtId="3" fontId="10" fillId="5" borderId="1" xfId="0" applyNumberFormat="1" applyFont="1" applyFill="1" applyBorder="1" applyAlignment="1">
      <alignment horizontal="right" vertical="center" indent="1"/>
    </xf>
    <xf numFmtId="175" fontId="7" fillId="5" borderId="1" xfId="0" applyNumberFormat="1" applyFont="1" applyFill="1" applyBorder="1" applyAlignment="1">
      <alignment horizontal="right" vertical="center" indent="1"/>
    </xf>
    <xf numFmtId="0" fontId="7" fillId="5" borderId="1" xfId="0" applyFont="1" applyFill="1" applyBorder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0" fontId="3" fillId="0" borderId="0" xfId="0" applyFont="1"/>
    <xf numFmtId="0" fontId="6" fillId="0" borderId="2" xfId="0" applyFont="1" applyBorder="1"/>
    <xf numFmtId="0" fontId="0" fillId="0" borderId="2" xfId="0" applyBorder="1"/>
    <xf numFmtId="0" fontId="7" fillId="0" borderId="3" xfId="0" applyFont="1" applyBorder="1" applyAlignment="1">
      <alignment horizontal="left" vertical="center" wrapText="1" indent="1"/>
    </xf>
    <xf numFmtId="0" fontId="11" fillId="0" borderId="0" xfId="0" applyFont="1"/>
    <xf numFmtId="0" fontId="12" fillId="3" borderId="4" xfId="0" applyFont="1" applyFill="1" applyBorder="1" applyAlignment="1">
      <alignment horizontal="center" vertical="center"/>
    </xf>
    <xf numFmtId="0" fontId="0" fillId="0" borderId="3" xfId="0" applyBorder="1"/>
    <xf numFmtId="169" fontId="8" fillId="4" borderId="1" xfId="0" applyNumberFormat="1" applyFont="1" applyFill="1" applyBorder="1" applyAlignment="1">
      <alignment horizontal="center" vertical="center"/>
    </xf>
    <xf numFmtId="167" fontId="8" fillId="4" borderId="1" xfId="0" applyNumberFormat="1" applyFont="1" applyFill="1" applyBorder="1" applyAlignment="1">
      <alignment horizontal="center" vertical="center"/>
    </xf>
    <xf numFmtId="168" fontId="8" fillId="4" borderId="1" xfId="0" applyNumberFormat="1" applyFont="1" applyFill="1" applyBorder="1" applyAlignment="1">
      <alignment horizontal="center" vertical="center"/>
    </xf>
    <xf numFmtId="166" fontId="8" fillId="4" borderId="1" xfId="0" applyNumberFormat="1" applyFont="1" applyFill="1" applyBorder="1" applyAlignment="1">
      <alignment horizontal="center" vertical="center"/>
    </xf>
    <xf numFmtId="170" fontId="8" fillId="4" borderId="1" xfId="0" applyNumberFormat="1" applyFont="1" applyFill="1" applyBorder="1" applyAlignment="1">
      <alignment horizontal="center" vertical="center"/>
    </xf>
    <xf numFmtId="0" fontId="33" fillId="3" borderId="31" xfId="0" applyFont="1" applyFill="1" applyBorder="1" applyAlignment="1">
      <alignment horizontal="center" vertical="center"/>
    </xf>
    <xf numFmtId="0" fontId="34" fillId="0" borderId="3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wrapText="1" indent="1"/>
    </xf>
    <xf numFmtId="0" fontId="38" fillId="0" borderId="0" xfId="0" applyFont="1" applyAlignment="1">
      <alignment horizontal="center" vertical="center"/>
    </xf>
    <xf numFmtId="0" fontId="30" fillId="4" borderId="14" xfId="0" applyFont="1" applyFill="1" applyBorder="1" applyAlignment="1">
      <alignment horizontal="left" vertical="center" indent="1"/>
    </xf>
    <xf numFmtId="0" fontId="0" fillId="0" borderId="25" xfId="0" applyBorder="1"/>
    <xf numFmtId="179" fontId="19" fillId="4" borderId="25" xfId="0" applyNumberFormat="1" applyFont="1" applyFill="1" applyBorder="1" applyAlignment="1">
      <alignment horizontal="right" vertical="center" indent="1"/>
    </xf>
    <xf numFmtId="0" fontId="17" fillId="4" borderId="20" xfId="0" applyFont="1" applyFill="1" applyBorder="1" applyAlignment="1">
      <alignment horizontal="left" vertical="top" indent="1"/>
    </xf>
    <xf numFmtId="0" fontId="0" fillId="0" borderId="22" xfId="0" applyBorder="1"/>
    <xf numFmtId="175" fontId="7" fillId="4" borderId="25" xfId="0" applyNumberFormat="1" applyFont="1" applyFill="1" applyBorder="1" applyAlignment="1">
      <alignment horizontal="right" vertical="center" indent="1"/>
    </xf>
    <xf numFmtId="0" fontId="28" fillId="4" borderId="14" xfId="0" applyFont="1" applyFill="1" applyBorder="1" applyAlignment="1">
      <alignment horizontal="left" vertical="center" indent="1" shrinkToFit="1"/>
    </xf>
    <xf numFmtId="171" fontId="7" fillId="4" borderId="25" xfId="0" applyNumberFormat="1" applyFont="1" applyFill="1" applyBorder="1" applyAlignment="1">
      <alignment horizontal="right" vertical="center" indent="1"/>
    </xf>
    <xf numFmtId="0" fontId="27" fillId="4" borderId="12" xfId="0" applyFont="1" applyFill="1" applyBorder="1" applyAlignment="1">
      <alignment horizontal="right" vertical="center" wrapText="1" indent="1"/>
    </xf>
    <xf numFmtId="0" fontId="0" fillId="0" borderId="12" xfId="0" applyBorder="1"/>
    <xf numFmtId="179" fontId="7" fillId="4" borderId="29" xfId="0" applyNumberFormat="1" applyFont="1" applyFill="1" applyBorder="1" applyAlignment="1">
      <alignment horizontal="right" vertical="center" indent="1"/>
    </xf>
    <xf numFmtId="0" fontId="0" fillId="0" borderId="29" xfId="0" applyBorder="1"/>
    <xf numFmtId="0" fontId="26" fillId="4" borderId="18" xfId="0" applyFont="1" applyFill="1" applyBorder="1" applyAlignment="1">
      <alignment horizontal="left" indent="1"/>
    </xf>
    <xf numFmtId="0" fontId="0" fillId="0" borderId="19" xfId="0" applyBorder="1"/>
    <xf numFmtId="0" fontId="0" fillId="4" borderId="23" xfId="0" applyFill="1" applyBorder="1"/>
    <xf numFmtId="0" fontId="0" fillId="0" borderId="24" xfId="0" applyBorder="1"/>
    <xf numFmtId="171" fontId="21" fillId="3" borderId="25" xfId="0" applyNumberFormat="1" applyFont="1" applyFill="1" applyBorder="1" applyAlignment="1">
      <alignment horizontal="right" vertical="center" indent="1"/>
    </xf>
    <xf numFmtId="0" fontId="0" fillId="3" borderId="25" xfId="0" applyFill="1" applyBorder="1"/>
    <xf numFmtId="171" fontId="7" fillId="4" borderId="25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indent="1"/>
    </xf>
    <xf numFmtId="0" fontId="0" fillId="0" borderId="26" xfId="0" applyBorder="1"/>
    <xf numFmtId="0" fontId="0" fillId="0" borderId="27" xfId="0" applyBorder="1"/>
    <xf numFmtId="9" fontId="7" fillId="4" borderId="25" xfId="0" applyNumberFormat="1" applyFont="1" applyFill="1" applyBorder="1" applyAlignment="1">
      <alignment horizontal="center" vertical="center"/>
    </xf>
    <xf numFmtId="14" fontId="7" fillId="4" borderId="25" xfId="0" applyNumberFormat="1" applyFont="1" applyFill="1" applyBorder="1" applyAlignment="1">
      <alignment horizontal="center" vertical="center"/>
    </xf>
    <xf numFmtId="171" fontId="19" fillId="4" borderId="25" xfId="0" applyNumberFormat="1" applyFont="1" applyFill="1" applyBorder="1" applyAlignment="1">
      <alignment horizontal="right" vertical="center" indent="1"/>
    </xf>
    <xf numFmtId="181" fontId="8" fillId="4" borderId="30" xfId="0" applyNumberFormat="1" applyFont="1" applyFill="1" applyBorder="1" applyAlignment="1">
      <alignment horizontal="left" vertical="center" indent="1"/>
    </xf>
    <xf numFmtId="0" fontId="0" fillId="0" borderId="30" xfId="0" applyBorder="1"/>
    <xf numFmtId="0" fontId="30" fillId="4" borderId="28" xfId="0" applyFont="1" applyFill="1" applyBorder="1" applyAlignment="1">
      <alignment horizontal="left" vertical="center" indent="1"/>
    </xf>
    <xf numFmtId="171" fontId="21" fillId="3" borderId="2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top" indent="1"/>
    </xf>
    <xf numFmtId="0" fontId="0" fillId="0" borderId="0" xfId="0"/>
    <xf numFmtId="0" fontId="27" fillId="4" borderId="16" xfId="0" applyFont="1" applyFill="1" applyBorder="1" applyAlignment="1">
      <alignment horizontal="left" vertical="center" wrapText="1" indent="1"/>
    </xf>
    <xf numFmtId="179" fontId="21" fillId="3" borderId="25" xfId="0" applyNumberFormat="1" applyFont="1" applyFill="1" applyBorder="1" applyAlignment="1">
      <alignment horizontal="right" vertical="center" indent="1"/>
    </xf>
    <xf numFmtId="0" fontId="22" fillId="0" borderId="12" xfId="0" applyFont="1" applyBorder="1" applyAlignment="1">
      <alignment horizontal="right" vertical="center" indent="1"/>
    </xf>
    <xf numFmtId="0" fontId="21" fillId="11" borderId="6" xfId="0" applyFont="1" applyFill="1" applyBorder="1" applyAlignment="1">
      <alignment horizontal="center" vertical="center"/>
    </xf>
    <xf numFmtId="0" fontId="0" fillId="0" borderId="9" xfId="0" applyBorder="1"/>
    <xf numFmtId="164" fontId="20" fillId="4" borderId="20" xfId="0" applyNumberFormat="1" applyFont="1" applyFill="1" applyBorder="1" applyAlignment="1">
      <alignment horizontal="left" vertical="center" indent="1"/>
    </xf>
    <xf numFmtId="0" fontId="0" fillId="0" borderId="21" xfId="0" applyBorder="1"/>
    <xf numFmtId="178" fontId="20" fillId="4" borderId="20" xfId="0" applyNumberFormat="1" applyFont="1" applyFill="1" applyBorder="1" applyAlignment="1">
      <alignment horizontal="left" vertical="center" indent="1"/>
    </xf>
    <xf numFmtId="0" fontId="24" fillId="10" borderId="0" xfId="0" applyFont="1" applyFill="1" applyAlignment="1">
      <alignment horizontal="left" vertical="center"/>
    </xf>
    <xf numFmtId="14" fontId="9" fillId="0" borderId="12" xfId="0" applyNumberFormat="1" applyFont="1" applyBorder="1" applyAlignment="1">
      <alignment horizontal="left" vertical="center" indent="1"/>
    </xf>
    <xf numFmtId="0" fontId="0" fillId="11" borderId="8" xfId="0" applyFill="1" applyBorder="1"/>
    <xf numFmtId="0" fontId="0" fillId="0" borderId="11" xfId="0" applyBorder="1"/>
    <xf numFmtId="0" fontId="20" fillId="4" borderId="20" xfId="0" applyFont="1" applyFill="1" applyBorder="1" applyAlignment="1">
      <alignment horizontal="left" vertical="center" indent="1"/>
    </xf>
    <xf numFmtId="0" fontId="27" fillId="4" borderId="12" xfId="0" applyFont="1" applyFill="1" applyBorder="1" applyAlignment="1">
      <alignment horizontal="center" vertical="center" wrapText="1"/>
    </xf>
    <xf numFmtId="0" fontId="19" fillId="4" borderId="14" xfId="0" applyFont="1" applyFill="1" applyBorder="1" applyAlignment="1">
      <alignment horizontal="left" vertical="center" indent="1"/>
    </xf>
    <xf numFmtId="0" fontId="32" fillId="4" borderId="20" xfId="0" applyFont="1" applyFill="1" applyBorder="1" applyAlignment="1">
      <alignment horizontal="left" vertical="center" indent="1"/>
    </xf>
    <xf numFmtId="0" fontId="0" fillId="0" borderId="15" xfId="0" applyBorder="1"/>
    <xf numFmtId="177" fontId="20" fillId="4" borderId="20" xfId="0" applyNumberFormat="1" applyFont="1" applyFill="1" applyBorder="1" applyAlignment="1">
      <alignment horizontal="left" vertical="center" indent="1"/>
    </xf>
    <xf numFmtId="0" fontId="19" fillId="4" borderId="15" xfId="0" applyFont="1" applyFill="1" applyBorder="1" applyAlignment="1">
      <alignment horizontal="left" vertical="center" indent="1"/>
    </xf>
    <xf numFmtId="0" fontId="3" fillId="0" borderId="12" xfId="0" applyFont="1" applyBorder="1" applyAlignment="1">
      <alignment horizontal="right" vertical="center"/>
    </xf>
    <xf numFmtId="9" fontId="21" fillId="3" borderId="25" xfId="0" applyNumberFormat="1" applyFont="1" applyFill="1" applyBorder="1" applyAlignment="1">
      <alignment horizontal="center" vertical="center"/>
    </xf>
    <xf numFmtId="0" fontId="31" fillId="4" borderId="20" xfId="0" applyFont="1" applyFill="1" applyBorder="1" applyAlignment="1">
      <alignment horizontal="left" vertical="center" indent="1"/>
    </xf>
    <xf numFmtId="0" fontId="1" fillId="0" borderId="7" xfId="0" applyFont="1" applyBorder="1" applyAlignment="1">
      <alignment horizontal="center" vertical="center"/>
    </xf>
    <xf numFmtId="0" fontId="0" fillId="0" borderId="7" xfId="0" applyBorder="1"/>
    <xf numFmtId="0" fontId="0" fillId="0" borderId="10" xfId="0" applyBorder="1"/>
    <xf numFmtId="173" fontId="19" fillId="4" borderId="25" xfId="0" applyNumberFormat="1" applyFont="1" applyFill="1" applyBorder="1" applyAlignment="1">
      <alignment horizontal="right" vertical="center" indent="1"/>
    </xf>
    <xf numFmtId="168" fontId="20" fillId="4" borderId="20" xfId="0" applyNumberFormat="1" applyFont="1" applyFill="1" applyBorder="1" applyAlignment="1">
      <alignment horizontal="left" vertical="center" indent="1"/>
    </xf>
    <xf numFmtId="0" fontId="9" fillId="0" borderId="0" xfId="0" applyFont="1" applyAlignment="1">
      <alignment horizontal="right" indent="1"/>
    </xf>
    <xf numFmtId="0" fontId="11" fillId="4" borderId="20" xfId="0" applyFont="1" applyFill="1" applyBorder="1" applyAlignment="1">
      <alignment horizontal="left" vertical="top" wrapText="1" indent="1"/>
    </xf>
    <xf numFmtId="0" fontId="0" fillId="0" borderId="14" xfId="0" applyBorder="1"/>
    <xf numFmtId="171" fontId="19" fillId="4" borderId="25" xfId="0" applyNumberFormat="1" applyFont="1" applyFill="1" applyBorder="1" applyAlignment="1">
      <alignment horizontal="center" vertical="center"/>
    </xf>
    <xf numFmtId="0" fontId="27" fillId="4" borderId="17" xfId="0" applyFont="1" applyFill="1" applyBorder="1" applyAlignment="1">
      <alignment horizontal="center" vertical="center" wrapText="1"/>
    </xf>
    <xf numFmtId="0" fontId="0" fillId="0" borderId="17" xfId="0" applyBorder="1"/>
    <xf numFmtId="0" fontId="5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18" fillId="9" borderId="5" xfId="0" applyFont="1" applyFill="1" applyBorder="1" applyAlignment="1">
      <alignment horizontal="center" vertical="center"/>
    </xf>
    <xf numFmtId="0" fontId="0" fillId="9" borderId="5" xfId="0" applyFill="1" applyBorder="1"/>
    <xf numFmtId="0" fontId="8" fillId="4" borderId="1" xfId="0" applyFont="1" applyFill="1" applyBorder="1" applyAlignment="1">
      <alignment horizontal="left" vertical="center" indent="1"/>
    </xf>
    <xf numFmtId="2" fontId="10" fillId="5" borderId="1" xfId="0" applyNumberFormat="1" applyFont="1" applyFill="1" applyBorder="1" applyAlignment="1">
      <alignment horizontal="left" vertical="center" indent="1"/>
    </xf>
    <xf numFmtId="2" fontId="7" fillId="5" borderId="1" xfId="0" applyNumberFormat="1" applyFont="1" applyFill="1" applyBorder="1" applyAlignment="1">
      <alignment horizontal="left" vertical="center" indent="1"/>
    </xf>
    <xf numFmtId="164" fontId="8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 indent="1"/>
    </xf>
    <xf numFmtId="9" fontId="8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 indent="1"/>
    </xf>
    <xf numFmtId="14" fontId="10" fillId="5" borderId="1" xfId="0" applyNumberFormat="1" applyFont="1" applyFill="1" applyBorder="1" applyAlignment="1">
      <alignment horizontal="left" vertical="center" indent="1"/>
    </xf>
    <xf numFmtId="14" fontId="7" fillId="5" borderId="1" xfId="0" applyNumberFormat="1" applyFont="1" applyFill="1" applyBorder="1" applyAlignment="1">
      <alignment horizontal="left" vertical="center" inden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/>
    <xf numFmtId="0" fontId="8" fillId="4" borderId="1" xfId="0" applyFont="1" applyFill="1" applyBorder="1" applyAlignment="1">
      <alignment horizontal="center" vertical="center"/>
    </xf>
    <xf numFmtId="165" fontId="8" fillId="4" borderId="1" xfId="0" applyNumberFormat="1" applyFont="1" applyFill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left" vertical="center" indent="1"/>
    </xf>
    <xf numFmtId="164" fontId="8" fillId="4" borderId="1" xfId="0" applyNumberFormat="1" applyFont="1" applyFill="1" applyBorder="1" applyAlignment="1">
      <alignment horizontal="left" vertical="center" indent="1"/>
    </xf>
    <xf numFmtId="164" fontId="10" fillId="5" borderId="1" xfId="0" applyNumberFormat="1" applyFont="1" applyFill="1" applyBorder="1" applyAlignment="1">
      <alignment horizontal="left" vertical="center" indent="1"/>
    </xf>
    <xf numFmtId="164" fontId="7" fillId="5" borderId="1" xfId="0" applyNumberFormat="1" applyFont="1" applyFill="1" applyBorder="1" applyAlignment="1">
      <alignment horizontal="left" vertical="center" indent="1"/>
    </xf>
    <xf numFmtId="14" fontId="8" fillId="4" borderId="1" xfId="0" applyNumberFormat="1" applyFont="1" applyFill="1" applyBorder="1" applyAlignment="1">
      <alignment horizontal="left" vertical="center" indent="1"/>
    </xf>
    <xf numFmtId="0" fontId="10" fillId="5" borderId="1" xfId="0" applyFont="1" applyFill="1" applyBorder="1" applyAlignment="1">
      <alignment horizontal="left" vertical="center" indent="1"/>
    </xf>
    <xf numFmtId="0" fontId="7" fillId="5" borderId="1" xfId="0" applyFont="1" applyFill="1" applyBorder="1" applyAlignment="1">
      <alignment horizontal="left" vertical="center" indent="1"/>
    </xf>
    <xf numFmtId="0" fontId="13" fillId="6" borderId="0" xfId="0" applyFont="1" applyFill="1" applyAlignment="1">
      <alignment horizontal="left" vertical="center" wrapText="1" indent="1"/>
    </xf>
    <xf numFmtId="0" fontId="0" fillId="6" borderId="0" xfId="0" applyFill="1"/>
    <xf numFmtId="0" fontId="8" fillId="0" borderId="0" xfId="0" applyFont="1" applyAlignment="1">
      <alignment horizontal="left" vertical="center" wrapText="1" indent="1"/>
    </xf>
    <xf numFmtId="0" fontId="35" fillId="12" borderId="31" xfId="0" applyFont="1" applyFill="1" applyBorder="1" applyAlignment="1">
      <alignment horizontal="center" vertical="center"/>
    </xf>
    <xf numFmtId="0" fontId="0" fillId="12" borderId="31" xfId="0" applyFill="1" applyBorder="1"/>
    <xf numFmtId="0" fontId="36" fillId="13" borderId="31" xfId="0" applyFont="1" applyFill="1" applyBorder="1" applyAlignment="1">
      <alignment horizontal="center" vertical="center"/>
    </xf>
    <xf numFmtId="0" fontId="0" fillId="13" borderId="31" xfId="0" applyFill="1" applyBorder="1"/>
    <xf numFmtId="0" fontId="30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21" fillId="7" borderId="31" xfId="0" applyFont="1" applyFill="1" applyBorder="1" applyAlignment="1">
      <alignment horizontal="center" vertical="center"/>
    </xf>
    <xf numFmtId="0" fontId="0" fillId="7" borderId="31" xfId="0" applyFill="1" applyBorder="1"/>
    <xf numFmtId="0" fontId="37" fillId="14" borderId="31" xfId="0" applyFont="1" applyFill="1" applyBorder="1" applyAlignment="1">
      <alignment horizontal="center" vertical="center"/>
    </xf>
    <xf numFmtId="0" fontId="0" fillId="14" borderId="31" xfId="0" applyFill="1" applyBorder="1"/>
    <xf numFmtId="0" fontId="10" fillId="5" borderId="31" xfId="0" applyFont="1" applyFill="1" applyBorder="1" applyAlignment="1">
      <alignment horizontal="center" vertical="center"/>
    </xf>
    <xf numFmtId="0" fontId="0" fillId="5" borderId="31" xfId="0" applyFill="1" applyBorder="1"/>
    <xf numFmtId="0" fontId="8" fillId="0" borderId="0" xfId="0" applyFont="1" applyAlignment="1">
      <alignment horizontal="left" vertical="top" wrapText="1" indent="1"/>
    </xf>
    <xf numFmtId="0" fontId="21" fillId="3" borderId="31" xfId="0" applyFont="1" applyFill="1" applyBorder="1" applyAlignment="1">
      <alignment horizontal="center" vertical="center"/>
    </xf>
    <xf numFmtId="0" fontId="0" fillId="3" borderId="31" xfId="0" applyFill="1" applyBorder="1"/>
  </cellXfs>
  <cellStyles count="1">
    <cellStyle name="Standard" xfId="0" builtinId="0"/>
  </cellStyles>
  <dxfs count="29">
    <dxf>
      <font>
        <b/>
        <color rgb="FF596270"/>
      </font>
      <fill>
        <patternFill patternType="solid">
          <fgColor rgb="FFE8E9EB"/>
          <bgColor rgb="FFE8E9EB"/>
        </patternFill>
      </fill>
    </dxf>
    <dxf>
      <font>
        <b/>
        <color rgb="FF1E7B45"/>
      </font>
      <fill>
        <patternFill patternType="solid">
          <fgColor rgb="FFDDF1E4"/>
          <bgColor rgb="FFDDF1E4"/>
        </patternFill>
      </fill>
    </dxf>
    <dxf>
      <font>
        <b/>
        <color rgb="FF8A5A00"/>
      </font>
      <fill>
        <patternFill patternType="solid">
          <fgColor rgb="FFFFF0CC"/>
          <bgColor rgb="FFFFF0CC"/>
        </patternFill>
      </fill>
    </dxf>
    <dxf>
      <font>
        <b/>
        <color rgb="FFB3261E"/>
      </font>
      <fill>
        <patternFill patternType="solid">
          <fgColor rgb="FFF9D9D9"/>
          <bgColor rgb="FFF9D9D9"/>
        </patternFill>
      </fill>
    </dxf>
    <dxf>
      <font>
        <b/>
        <color rgb="FFB3261E"/>
      </font>
    </dxf>
    <dxf>
      <font>
        <b/>
        <color rgb="FF1E7B45"/>
      </font>
      <fill>
        <patternFill patternType="solid">
          <fgColor rgb="FFDDF1E4"/>
          <bgColor rgb="FFDDF1E4"/>
        </patternFill>
      </fill>
    </dxf>
    <dxf>
      <font>
        <b/>
        <color rgb="FF8A5A00"/>
      </font>
      <fill>
        <patternFill patternType="solid">
          <fgColor rgb="FFFFF0CC"/>
          <bgColor rgb="FFFFF0CC"/>
        </patternFill>
      </fill>
    </dxf>
    <dxf>
      <font>
        <b/>
        <color rgb="FFB3261E"/>
      </font>
      <fill>
        <patternFill patternType="solid">
          <fgColor rgb="FFF9D9D9"/>
          <bgColor rgb="FFF9D9D9"/>
        </patternFill>
      </fill>
    </dxf>
    <dxf>
      <font>
        <b/>
        <color rgb="FF2E6DB4"/>
      </font>
    </dxf>
    <dxf>
      <font>
        <b/>
        <color rgb="FF1E7B45"/>
      </font>
      <fill>
        <patternFill patternType="solid">
          <fgColor rgb="FFDDF1E4"/>
          <bgColor rgb="FFDDF1E4"/>
        </patternFill>
      </fill>
    </dxf>
    <dxf>
      <font>
        <b/>
        <color rgb="FF8A5A00"/>
      </font>
      <fill>
        <patternFill patternType="solid">
          <fgColor rgb="FFFFF0CC"/>
          <bgColor rgb="FFFFF0CC"/>
        </patternFill>
      </fill>
    </dxf>
    <dxf>
      <font>
        <b/>
        <color rgb="FFB3261E"/>
      </font>
      <fill>
        <patternFill patternType="solid">
          <fgColor rgb="FFF9D9D9"/>
          <bgColor rgb="FFF9D9D9"/>
        </patternFill>
      </fill>
    </dxf>
    <dxf>
      <font>
        <i/>
        <color rgb="FF7A828C"/>
      </font>
    </dxf>
    <dxf>
      <font>
        <b/>
        <color rgb="FF1E7B45"/>
      </font>
      <fill>
        <patternFill patternType="solid">
          <fgColor rgb="FFDDF1E4"/>
          <bgColor rgb="FFDDF1E4"/>
        </patternFill>
      </fill>
    </dxf>
    <dxf>
      <font>
        <b/>
        <color rgb="FF8A5A00"/>
      </font>
      <fill>
        <patternFill patternType="solid">
          <fgColor rgb="FFFFF0CC"/>
          <bgColor rgb="FFFFF0CC"/>
        </patternFill>
      </fill>
    </dxf>
    <dxf>
      <font>
        <b/>
        <color rgb="FFB3261E"/>
      </font>
      <fill>
        <patternFill patternType="solid">
          <fgColor rgb="FFF9D9D9"/>
          <bgColor rgb="FFF9D9D9"/>
        </patternFill>
      </fill>
    </dxf>
    <dxf>
      <font>
        <b/>
        <color rgb="FF8A5A00"/>
      </font>
      <fill>
        <patternFill patternType="solid">
          <fgColor rgb="FFFFF0CC"/>
          <bgColor rgb="FFFFF0CC"/>
        </patternFill>
      </fill>
    </dxf>
    <dxf>
      <font>
        <b/>
        <color rgb="FFC4520F"/>
      </font>
    </dxf>
    <dxf>
      <font>
        <b/>
        <color rgb="FF5F7FA6"/>
      </font>
    </dxf>
    <dxf>
      <font>
        <b/>
        <color rgb="FF2E6DB4"/>
      </font>
    </dxf>
    <dxf>
      <font>
        <b/>
        <color rgb="FF596270"/>
      </font>
      <fill>
        <patternFill patternType="solid">
          <fgColor rgb="FFE8E9EB"/>
          <bgColor rgb="FFE8E9EB"/>
        </patternFill>
      </fill>
    </dxf>
    <dxf>
      <font>
        <b/>
        <color rgb="FF1E7B45"/>
      </font>
      <fill>
        <patternFill patternType="solid">
          <fgColor rgb="FFDDF1E4"/>
          <bgColor rgb="FFDDF1E4"/>
        </patternFill>
      </fill>
    </dxf>
    <dxf>
      <font>
        <b/>
        <color rgb="FF8A5A00"/>
      </font>
      <fill>
        <patternFill patternType="solid">
          <fgColor rgb="FFFFF0CC"/>
          <bgColor rgb="FFFFF0CC"/>
        </patternFill>
      </fill>
    </dxf>
    <dxf>
      <font>
        <b/>
        <color rgb="FFB3261E"/>
      </font>
      <fill>
        <patternFill patternType="solid">
          <fgColor rgb="FFF9D9D9"/>
          <bgColor rgb="FFF9D9D9"/>
        </patternFill>
      </fill>
    </dxf>
    <dxf>
      <font>
        <b/>
        <color rgb="FFB3261E"/>
      </font>
    </dxf>
    <dxf>
      <font>
        <b/>
        <color rgb="FF1E7B45"/>
      </font>
    </dxf>
    <dxf>
      <border>
        <bottom style="thin">
          <color rgb="FFECECEA"/>
        </bottom>
      </border>
    </dxf>
    <dxf>
      <border>
        <bottom style="thin">
          <color rgb="FFECECEA"/>
        </bottom>
      </border>
    </dxf>
    <dxf>
      <fill>
        <patternFill patternType="solid">
          <fgColor rgb="FFFAFAF8"/>
          <bgColor rgb="FFFAFAF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autoTitleDeleted val="1"/>
    <c:plotArea>
      <c:layout/>
      <c:barChart>
        <c:barDir val="col"/>
        <c:grouping val="stacked"/>
        <c:varyColors val="1"/>
        <c:ser>
          <c:idx val="0"/>
          <c:order val="0"/>
          <c:tx>
            <c:v>Professionnel</c:v>
          </c:tx>
          <c:spPr>
            <a:solidFill>
              <a:srgbClr val="2E6DB4"/>
            </a:solidFill>
            <a:ln>
              <a:solidFill>
                <a:srgbClr val="2E6DB4"/>
              </a:solidFill>
              <a:prstDash val="solid"/>
            </a:ln>
          </c:spPr>
          <c:invertIfNegative val="1"/>
          <c:cat>
            <c:strRef>
              <c:f>'Tableau de bord'!$U$32:$U$43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avr.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'Tableau de bord'!$C$32:$C$43</c:f>
              <c:numCache>
                <c:formatCode>#,##0;\-#,##0;"–"</c:formatCode>
                <c:ptCount val="12"/>
                <c:pt idx="0">
                  <c:v>1139</c:v>
                </c:pt>
                <c:pt idx="1">
                  <c:v>1339</c:v>
                </c:pt>
                <c:pt idx="2">
                  <c:v>1636</c:v>
                </c:pt>
                <c:pt idx="3">
                  <c:v>1400</c:v>
                </c:pt>
                <c:pt idx="4">
                  <c:v>1533</c:v>
                </c:pt>
                <c:pt idx="5">
                  <c:v>1377</c:v>
                </c:pt>
                <c:pt idx="6">
                  <c:v>1278</c:v>
                </c:pt>
                <c:pt idx="7">
                  <c:v>647</c:v>
                </c:pt>
                <c:pt idx="8">
                  <c:v>1386</c:v>
                </c:pt>
                <c:pt idx="9">
                  <c:v>1648</c:v>
                </c:pt>
                <c:pt idx="10">
                  <c:v>1580</c:v>
                </c:pt>
                <c:pt idx="11">
                  <c:v>778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2E6DB4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482-43C3-9617-065F75BDFDC0}"/>
            </c:ext>
          </c:extLst>
        </c:ser>
        <c:ser>
          <c:idx val="1"/>
          <c:order val="1"/>
          <c:tx>
            <c:v>Domicile – travail</c:v>
          </c:tx>
          <c:spPr>
            <a:solidFill>
              <a:srgbClr val="9DB3CF"/>
            </a:solidFill>
            <a:ln>
              <a:solidFill>
                <a:srgbClr val="9DB3CF"/>
              </a:solidFill>
              <a:prstDash val="solid"/>
            </a:ln>
          </c:spPr>
          <c:invertIfNegative val="1"/>
          <c:cat>
            <c:strRef>
              <c:f>'Tableau de bord'!$U$32:$U$43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avr.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'Tableau de bord'!$D$32:$D$43</c:f>
              <c:numCache>
                <c:formatCode>#,##0;\-#,##0;"–"</c:formatCode>
                <c:ptCount val="12"/>
                <c:pt idx="0">
                  <c:v>136</c:v>
                </c:pt>
                <c:pt idx="1">
                  <c:v>136</c:v>
                </c:pt>
                <c:pt idx="2">
                  <c:v>170</c:v>
                </c:pt>
                <c:pt idx="3">
                  <c:v>136</c:v>
                </c:pt>
                <c:pt idx="4">
                  <c:v>170</c:v>
                </c:pt>
                <c:pt idx="5">
                  <c:v>136</c:v>
                </c:pt>
                <c:pt idx="6">
                  <c:v>136</c:v>
                </c:pt>
                <c:pt idx="7">
                  <c:v>68</c:v>
                </c:pt>
                <c:pt idx="8">
                  <c:v>136</c:v>
                </c:pt>
                <c:pt idx="9">
                  <c:v>136</c:v>
                </c:pt>
                <c:pt idx="10">
                  <c:v>170</c:v>
                </c:pt>
                <c:pt idx="11">
                  <c:v>68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9DB3CF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6482-43C3-9617-065F75BDFDC0}"/>
            </c:ext>
          </c:extLst>
        </c:ser>
        <c:ser>
          <c:idx val="2"/>
          <c:order val="2"/>
          <c:tx>
            <c:v>Personnel</c:v>
          </c:tx>
          <c:spPr>
            <a:solidFill>
              <a:srgbClr val="E5661A"/>
            </a:solidFill>
            <a:ln>
              <a:solidFill>
                <a:srgbClr val="E5661A"/>
              </a:solidFill>
              <a:prstDash val="solid"/>
            </a:ln>
          </c:spPr>
          <c:invertIfNegative val="1"/>
          <c:cat>
            <c:strRef>
              <c:f>'Tableau de bord'!$U$32:$U$43</c:f>
              <c:strCache>
                <c:ptCount val="12"/>
                <c:pt idx="0">
                  <c:v>janv.</c:v>
                </c:pt>
                <c:pt idx="1">
                  <c:v>févr.</c:v>
                </c:pt>
                <c:pt idx="2">
                  <c:v>mars</c:v>
                </c:pt>
                <c:pt idx="3">
                  <c:v>avr.</c:v>
                </c:pt>
                <c:pt idx="4">
                  <c:v>mai</c:v>
                </c:pt>
                <c:pt idx="5">
                  <c:v>juin</c:v>
                </c:pt>
                <c:pt idx="6">
                  <c:v>juil.</c:v>
                </c:pt>
                <c:pt idx="7">
                  <c:v>août</c:v>
                </c:pt>
                <c:pt idx="8">
                  <c:v>sept.</c:v>
                </c:pt>
                <c:pt idx="9">
                  <c:v>oct.</c:v>
                </c:pt>
                <c:pt idx="10">
                  <c:v>nov.</c:v>
                </c:pt>
                <c:pt idx="11">
                  <c:v>déc.</c:v>
                </c:pt>
              </c:strCache>
            </c:strRef>
          </c:cat>
          <c:val>
            <c:numRef>
              <c:f>'Tableau de bord'!$F$32:$F$43</c:f>
              <c:numCache>
                <c:formatCode>#,##0;\-#,##0;"–"</c:formatCode>
                <c:ptCount val="12"/>
                <c:pt idx="0">
                  <c:v>126</c:v>
                </c:pt>
                <c:pt idx="1">
                  <c:v>245</c:v>
                </c:pt>
                <c:pt idx="2">
                  <c:v>77</c:v>
                </c:pt>
                <c:pt idx="3">
                  <c:v>269</c:v>
                </c:pt>
                <c:pt idx="4">
                  <c:v>135</c:v>
                </c:pt>
                <c:pt idx="5">
                  <c:v>224</c:v>
                </c:pt>
                <c:pt idx="6">
                  <c:v>88</c:v>
                </c:pt>
                <c:pt idx="7">
                  <c:v>787</c:v>
                </c:pt>
                <c:pt idx="8">
                  <c:v>226</c:v>
                </c:pt>
                <c:pt idx="9">
                  <c:v>147</c:v>
                </c:pt>
                <c:pt idx="10">
                  <c:v>287</c:v>
                </c:pt>
                <c:pt idx="11">
                  <c:v>45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E5661A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6482-43C3-9617-065F75BDF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rgbClr val="C9CBC6"/>
            </a:solidFill>
            <a:prstDash val="solid"/>
          </a:ln>
        </c:spPr>
        <c:txPr>
          <a:bodyPr/>
          <a:lstStyle/>
          <a:p>
            <a:pPr>
              <a:defRPr sz="900">
                <a:solidFill>
                  <a:srgbClr val="7A828C"/>
                </a:solidFill>
                <a:latin typeface="Calibri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4E5E2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  <a:prstDash val="solid"/>
          </a:ln>
        </c:spPr>
        <c:txPr>
          <a:bodyPr/>
          <a:lstStyle/>
          <a:p>
            <a:pPr>
              <a:defRPr sz="900">
                <a:solidFill>
                  <a:srgbClr val="7A828C"/>
                </a:solidFill>
                <a:latin typeface="Calibri"/>
              </a:defRPr>
            </a:pPr>
            <a:endParaRPr lang="de-DE"/>
          </a:p>
        </c:txPr>
        <c:crossAx val="10"/>
        <c:crosses val="autoZero"/>
        <c:crossBetween val="between"/>
      </c:valAx>
    </c:plotArea>
    <c:legend>
      <c:legendPos val="t"/>
      <c:overlay val="1"/>
      <c:txPr>
        <a:bodyPr/>
        <a:lstStyle/>
        <a:p>
          <a:pPr>
            <a:defRPr sz="900">
              <a:solidFill>
                <a:srgbClr val="3F4854"/>
              </a:solidFill>
              <a:latin typeface="Calibri"/>
            </a:defRPr>
          </a:pPr>
          <a:endParaRPr lang="de-DE"/>
        </a:p>
      </c:txPr>
    </c:legend>
    <c:plotVisOnly val="0"/>
    <c:dispBlanksAs val="gap"/>
    <c:showDLblsOverMax val="1"/>
  </c:chart>
  <c:spPr>
    <a:ln>
      <a:noFill/>
      <a:prstDash val="solid"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52915</xdr:colOff>
      <xdr:row>14</xdr:row>
      <xdr:rowOff>42332</xdr:rowOff>
    </xdr:from>
    <xdr:ext cx="5256000" cy="309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E5661A"/>
    <pageSetUpPr fitToPage="1"/>
  </sheetPr>
  <dimension ref="A1:W60"/>
  <sheetViews>
    <sheetView showGridLines="0" tabSelected="1" zoomScale="90" workbookViewId="0">
      <selection activeCell="O68" sqref="O68"/>
    </sheetView>
  </sheetViews>
  <sheetFormatPr baseColWidth="10" defaultColWidth="9.140625" defaultRowHeight="15" outlineLevelCol="1" x14ac:dyDescent="0.25"/>
  <cols>
    <col min="1" max="1" width="3" customWidth="1"/>
    <col min="2" max="2" width="14" customWidth="1"/>
    <col min="3" max="3" width="13" customWidth="1"/>
    <col min="4" max="4" width="2" customWidth="1"/>
    <col min="5" max="5" width="11" customWidth="1"/>
    <col min="6" max="6" width="13.42578125" customWidth="1"/>
    <col min="7" max="7" width="2" customWidth="1"/>
    <col min="8" max="8" width="11" customWidth="1"/>
    <col min="9" max="9" width="15.140625" customWidth="1"/>
    <col min="10" max="10" width="3" customWidth="1"/>
    <col min="11" max="12" width="11" customWidth="1"/>
    <col min="13" max="13" width="2" customWidth="1"/>
    <col min="14" max="15" width="11" customWidth="1"/>
    <col min="16" max="16" width="3" customWidth="1"/>
    <col min="17" max="18" width="11" customWidth="1"/>
    <col min="19" max="19" width="3" customWidth="1"/>
    <col min="20" max="22" width="3" hidden="1" customWidth="1" outlineLevel="1"/>
    <col min="23" max="23" width="9.140625" collapsed="1"/>
  </cols>
  <sheetData>
    <row r="1" spans="1:22" ht="9.9499999999999993" customHeight="1" x14ac:dyDescent="0.25">
      <c r="A1" s="1"/>
    </row>
    <row r="2" spans="1:22" ht="30" customHeight="1" x14ac:dyDescent="0.25">
      <c r="A2" s="1"/>
      <c r="B2" s="2" t="s">
        <v>0</v>
      </c>
      <c r="K2" s="147" t="str">
        <f>TRIM(Marque&amp;" "&amp;Modele)</f>
        <v>Voltéra Compacte 1.6 hybride</v>
      </c>
      <c r="L2" s="119"/>
      <c r="M2" s="119"/>
      <c r="N2" s="119"/>
      <c r="O2" s="119"/>
      <c r="P2" s="123" t="s">
        <v>1</v>
      </c>
      <c r="Q2" s="142" t="str">
        <f>Immatriculation</f>
        <v>GH-482-TK</v>
      </c>
      <c r="R2" s="143"/>
      <c r="S2" s="130"/>
    </row>
    <row r="3" spans="1:22" ht="21.95" customHeight="1" x14ac:dyDescent="0.25">
      <c r="A3" s="1"/>
      <c r="B3" s="3" t="str">
        <f>"Synthèse de l'année "&amp;AnneeSuivi&amp;"   ·   "&amp;Statut</f>
        <v>Synthèse de l'année 2027   ·   Véhicule personnel</v>
      </c>
      <c r="K3" s="118" t="str">
        <f>Energie&amp;"  ·  "&amp;PuissanceCV&amp;" CV fiscaux"</f>
        <v>Hybride essence  ·  5 CV fiscaux</v>
      </c>
      <c r="L3" s="119"/>
      <c r="M3" s="119"/>
      <c r="N3" s="119"/>
      <c r="O3" s="119"/>
      <c r="P3" s="124"/>
      <c r="Q3" s="144"/>
      <c r="R3" s="144"/>
      <c r="S3" s="131"/>
    </row>
    <row r="4" spans="1:22" ht="3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22" ht="30" customHeight="1" x14ac:dyDescent="0.25">
      <c r="A5" s="5"/>
      <c r="B5" s="6" t="s">
        <v>2</v>
      </c>
      <c r="C5" s="7">
        <v>2027</v>
      </c>
      <c r="D5" s="5"/>
      <c r="E5" s="122" t="s">
        <v>3</v>
      </c>
      <c r="F5" s="98"/>
      <c r="G5" s="5"/>
      <c r="H5" s="129">
        <f ca="1">DateSituation</f>
        <v>46737</v>
      </c>
      <c r="I5" s="98"/>
      <c r="J5" s="5"/>
      <c r="K5" s="139" t="s">
        <v>4</v>
      </c>
      <c r="L5" s="98"/>
      <c r="M5" s="98"/>
      <c r="N5" s="98"/>
      <c r="O5" s="98"/>
      <c r="P5" s="98"/>
      <c r="Q5" s="98"/>
      <c r="R5" s="98"/>
      <c r="S5" s="5"/>
    </row>
    <row r="6" spans="1:22" ht="21.95" customHeight="1" x14ac:dyDescent="0.25">
      <c r="A6" s="8"/>
      <c r="B6" s="9" t="s">
        <v>5</v>
      </c>
      <c r="C6" s="128" t="s">
        <v>6</v>
      </c>
      <c r="D6" s="119"/>
      <c r="E6" s="119"/>
      <c r="F6" s="128" t="s">
        <v>7</v>
      </c>
      <c r="G6" s="119"/>
      <c r="H6" s="119"/>
      <c r="I6" s="128" t="s">
        <v>8</v>
      </c>
      <c r="J6" s="119"/>
      <c r="K6" s="119"/>
      <c r="L6" s="119"/>
      <c r="M6" s="8"/>
      <c r="N6" s="128" t="s">
        <v>9</v>
      </c>
      <c r="O6" s="119"/>
      <c r="P6" s="8"/>
      <c r="Q6" s="128" t="s">
        <v>10</v>
      </c>
      <c r="R6" s="119"/>
      <c r="S6" s="8"/>
    </row>
    <row r="7" spans="1:22" ht="8.1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U7" s="10" t="s">
        <v>11</v>
      </c>
    </row>
    <row r="8" spans="1:22" ht="20.100000000000001" customHeight="1" x14ac:dyDescent="0.25">
      <c r="A8" s="8"/>
      <c r="B8" s="101" t="s">
        <v>12</v>
      </c>
      <c r="C8" s="102"/>
      <c r="D8" s="8"/>
      <c r="E8" s="101" t="s">
        <v>13</v>
      </c>
      <c r="F8" s="102"/>
      <c r="G8" s="8"/>
      <c r="H8" s="101" t="s">
        <v>14</v>
      </c>
      <c r="I8" s="102"/>
      <c r="J8" s="8"/>
      <c r="K8" s="101" t="s">
        <v>15</v>
      </c>
      <c r="L8" s="102"/>
      <c r="M8" s="8"/>
      <c r="N8" s="101" t="s">
        <v>16</v>
      </c>
      <c r="O8" s="102"/>
      <c r="P8" s="8"/>
      <c r="Q8" s="101" t="str">
        <f>IF(Statut="Véhicule personnel","INDEMNITÉS KILOMÉTRIQUES","KILOMÈTRES PRIVÉS")</f>
        <v>INDEMNITÉS KILOMÉTRIQUES</v>
      </c>
      <c r="R8" s="102"/>
      <c r="S8" s="8"/>
      <c r="U8" s="11" t="s">
        <v>17</v>
      </c>
      <c r="V8" s="12">
        <f>SUMIFS(Trajets!$K$7:$K$606,Trajets!$C$7:$C$606,"&gt;="&amp;DebutAnnee,Trajets!$C$7:$C$606,"&lt;="&amp;FinAnnee)</f>
        <v>19995</v>
      </c>
    </row>
    <row r="9" spans="1:22" ht="21.95" customHeight="1" x14ac:dyDescent="0.25">
      <c r="A9" s="8"/>
      <c r="B9" s="125">
        <f>$V$8</f>
        <v>19995</v>
      </c>
      <c r="C9" s="93"/>
      <c r="D9" s="8"/>
      <c r="E9" s="125">
        <f>KmActuel</f>
        <v>68387</v>
      </c>
      <c r="F9" s="93"/>
      <c r="G9" s="8"/>
      <c r="H9" s="137">
        <f>IFERROR($V$19/$V$20*100,0)</f>
        <v>5.7271782075275528</v>
      </c>
      <c r="I9" s="93"/>
      <c r="J9" s="8"/>
      <c r="K9" s="146">
        <f>$V$14</f>
        <v>4055.099999999999</v>
      </c>
      <c r="L9" s="93"/>
      <c r="M9" s="8"/>
      <c r="N9" s="127">
        <f>IFERROR($V$14/$V$8,0)</f>
        <v>0.20280570142535628</v>
      </c>
      <c r="O9" s="93"/>
      <c r="P9" s="8"/>
      <c r="Q9" s="132" t="str">
        <f>IF(Statut="Véhicule personnel",FIXED($V$17,0)&amp;" €",FIXED($V$22,0)&amp;" km")</f>
        <v>7.585 €</v>
      </c>
      <c r="R9" s="93"/>
      <c r="S9" s="8"/>
      <c r="U9" s="11" t="s">
        <v>18</v>
      </c>
      <c r="V9" s="12">
        <f>SUMIFS(Trajets!$K$7:$K$606,Trajets!$H$7:$H$606,"Professionnel",Trajets!$C$7:$C$606,"&gt;="&amp;DebutAnnee,Trajets!$C$7:$C$606,"&lt;="&amp;FinAnnee)</f>
        <v>15741</v>
      </c>
    </row>
    <row r="10" spans="1:22" ht="21.95" customHeight="1" x14ac:dyDescent="0.25">
      <c r="A10" s="8"/>
      <c r="B10" s="126"/>
      <c r="C10" s="93"/>
      <c r="D10" s="8"/>
      <c r="E10" s="126"/>
      <c r="F10" s="93"/>
      <c r="G10" s="8"/>
      <c r="H10" s="126"/>
      <c r="I10" s="93"/>
      <c r="J10" s="8"/>
      <c r="K10" s="126"/>
      <c r="L10" s="93"/>
      <c r="M10" s="8"/>
      <c r="N10" s="126"/>
      <c r="O10" s="93"/>
      <c r="P10" s="8"/>
      <c r="Q10" s="126"/>
      <c r="R10" s="93"/>
      <c r="S10" s="8"/>
      <c r="U10" s="11" t="s">
        <v>19</v>
      </c>
      <c r="V10" s="12">
        <f>SUMIFS(Trajets!$K$7:$K$606,Trajets!$H$7:$H$606,"Domicile – travail",Trajets!$C$7:$C$606,"&gt;="&amp;DebutAnnee,Trajets!$C$7:$C$606,"&lt;="&amp;FinAnnee)</f>
        <v>1598</v>
      </c>
    </row>
    <row r="11" spans="1:22" ht="18" customHeight="1" x14ac:dyDescent="0.25">
      <c r="A11" s="8"/>
      <c r="B11" s="92" t="str">
        <f>"dont "&amp;ROUND(IFERROR($V$9/$V$8,0)*100,0)&amp;" % professionnels"</f>
        <v>dont 79 % professionnels</v>
      </c>
      <c r="C11" s="93"/>
      <c r="D11" s="8"/>
      <c r="E11" s="92" t="str">
        <f>"+ "&amp;FIXED(KmActuel-N(KmOuverture),0)&amp;" km au carnet"</f>
        <v>+ 20.037 km au carnet</v>
      </c>
      <c r="F11" s="93"/>
      <c r="G11" s="8"/>
      <c r="H11" s="92" t="str">
        <f>UniteQte&amp;"/100 km · "&amp;$V$21&amp;" pleins"</f>
        <v>L/100 km · 28 pleins</v>
      </c>
      <c r="I11" s="93"/>
      <c r="J11" s="8"/>
      <c r="K11" s="92" t="str">
        <f>"dont carburant : "&amp;FIXED($V$12,0)&amp;" €"</f>
        <v>dont carburant : 2.085 €</v>
      </c>
      <c r="L11" s="93"/>
      <c r="M11" s="8"/>
      <c r="N11" s="92" t="str">
        <f>"carburant : "&amp;FIXED(IFERROR($V$12/$V$8,0),2)&amp;" €/km"</f>
        <v>carburant : 0,10 €/km</v>
      </c>
      <c r="O11" s="93"/>
      <c r="P11" s="8"/>
      <c r="Q11" s="92" t="str">
        <f>IF(Statut="Véhicule personnel","base "&amp;FIXED($V$15,0)&amp;" km · "&amp;PuissanceCV&amp;" CV","sur l'année de suivi")</f>
        <v>base 17.339 km · 5 CV</v>
      </c>
      <c r="R11" s="93"/>
      <c r="S11" s="8"/>
      <c r="U11" s="11" t="s">
        <v>20</v>
      </c>
      <c r="V11" s="12">
        <f>SUMIFS(Trajets!$K$7:$K$606,Trajets!$H$7:$H$606,"Personnel",Trajets!$C$7:$C$606,"&gt;="&amp;DebutAnnee,Trajets!$C$7:$C$606,"&lt;="&amp;FinAnnee)</f>
        <v>2656</v>
      </c>
    </row>
    <row r="12" spans="1:22" ht="8.1" customHeight="1" x14ac:dyDescent="0.25">
      <c r="A12" s="8"/>
      <c r="B12" s="103"/>
      <c r="C12" s="104"/>
      <c r="D12" s="8"/>
      <c r="E12" s="103"/>
      <c r="F12" s="104"/>
      <c r="G12" s="8"/>
      <c r="H12" s="103"/>
      <c r="I12" s="104"/>
      <c r="J12" s="8"/>
      <c r="K12" s="103"/>
      <c r="L12" s="104"/>
      <c r="M12" s="8"/>
      <c r="N12" s="103"/>
      <c r="O12" s="104"/>
      <c r="P12" s="8"/>
      <c r="Q12" s="103"/>
      <c r="R12" s="104"/>
      <c r="S12" s="8"/>
      <c r="U12" s="11" t="s">
        <v>21</v>
      </c>
      <c r="V12" s="12">
        <f>SUMIFS(Carburant!$H$7:$H$206,Carburant!$C$7:$C$206,"&gt;="&amp;DebutAnnee,Carburant!$C$7:$C$206,"&lt;="&amp;FinAnnee)</f>
        <v>2085.4</v>
      </c>
    </row>
    <row r="13" spans="1:22" ht="14.1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U13" s="11" t="s">
        <v>22</v>
      </c>
      <c r="V13" s="12">
        <f>SUMIFS('Frais &amp; entretien'!$I$7:$I$306,'Frais &amp; entretien'!$C$7:$C$306,"&gt;="&amp;DebutAnnee,'Frais &amp; entretien'!$C$7:$C$306,"&lt;="&amp;FinAnnee)</f>
        <v>1969.6999999999989</v>
      </c>
    </row>
    <row r="14" spans="1:22" ht="26.1" customHeight="1" x14ac:dyDescent="0.25">
      <c r="A14" s="8"/>
      <c r="B14" s="108" t="s">
        <v>23</v>
      </c>
      <c r="C14" s="109"/>
      <c r="D14" s="109"/>
      <c r="E14" s="109"/>
      <c r="F14" s="109"/>
      <c r="G14" s="109"/>
      <c r="H14" s="109"/>
      <c r="I14" s="110"/>
      <c r="J14" s="8"/>
      <c r="K14" s="108" t="s">
        <v>24</v>
      </c>
      <c r="L14" s="109"/>
      <c r="M14" s="109"/>
      <c r="N14" s="109"/>
      <c r="O14" s="109"/>
      <c r="P14" s="109"/>
      <c r="Q14" s="109"/>
      <c r="R14" s="110"/>
      <c r="S14" s="8"/>
      <c r="U14" s="11" t="s">
        <v>25</v>
      </c>
      <c r="V14" s="12">
        <f>V12+V13</f>
        <v>4055.099999999999</v>
      </c>
    </row>
    <row r="15" spans="1:22" ht="20.100000000000001" customHeight="1" x14ac:dyDescent="0.25">
      <c r="A15" s="8"/>
      <c r="B15" s="13"/>
      <c r="C15" s="14"/>
      <c r="D15" s="14"/>
      <c r="E15" s="14"/>
      <c r="F15" s="14"/>
      <c r="G15" s="14"/>
      <c r="H15" s="14"/>
      <c r="I15" s="15"/>
      <c r="J15" s="8"/>
      <c r="K15" s="120" t="s">
        <v>26</v>
      </c>
      <c r="L15" s="98"/>
      <c r="M15" s="133" t="s">
        <v>27</v>
      </c>
      <c r="N15" s="98"/>
      <c r="O15" s="17" t="s">
        <v>28</v>
      </c>
      <c r="P15" s="97" t="s">
        <v>29</v>
      </c>
      <c r="Q15" s="98"/>
      <c r="R15" s="18" t="s">
        <v>30</v>
      </c>
      <c r="S15" s="8"/>
      <c r="U15" s="11" t="s">
        <v>31</v>
      </c>
      <c r="V15" s="12">
        <f>V9+IF(InclureDT="Oui",V10,0)</f>
        <v>17339</v>
      </c>
    </row>
    <row r="16" spans="1:22" ht="21" customHeight="1" x14ac:dyDescent="0.25">
      <c r="A16" s="8"/>
      <c r="B16" s="13"/>
      <c r="C16" s="14"/>
      <c r="D16" s="14"/>
      <c r="E16" s="14"/>
      <c r="F16" s="14"/>
      <c r="G16" s="14"/>
      <c r="H16" s="14"/>
      <c r="I16" s="15"/>
      <c r="J16" s="8"/>
      <c r="K16" s="95" t="str">
        <f>IF(Échéances!$B$7="","",Échéances!$B$7)</f>
        <v>Vidange et filtres</v>
      </c>
      <c r="L16" s="90"/>
      <c r="M16" s="112">
        <f>IF($K16="","",IF(Échéances!$I$7="","",Échéances!$I$7))</f>
        <v>46913</v>
      </c>
      <c r="N16" s="90"/>
      <c r="O16" s="19">
        <f ca="1">IF($K16="","",Échéances!$K$7)</f>
        <v>176</v>
      </c>
      <c r="P16" s="94">
        <f>IF($K16="","",Échéances!$L$7)</f>
        <v>4109</v>
      </c>
      <c r="Q16" s="90"/>
      <c r="R16" s="20" t="str">
        <f ca="1">IF($K16="","",Échéances!$M$7)</f>
        <v>À jour</v>
      </c>
      <c r="S16" s="8"/>
      <c r="U16" s="11" t="s">
        <v>32</v>
      </c>
      <c r="V16" s="12">
        <f>MATCH(MIN(MAX(N(PuissanceCV),3),7),BaremeCV,0)</f>
        <v>3</v>
      </c>
    </row>
    <row r="17" spans="1:22" ht="21" customHeight="1" x14ac:dyDescent="0.25">
      <c r="A17" s="8"/>
      <c r="B17" s="13"/>
      <c r="C17" s="14"/>
      <c r="D17" s="14"/>
      <c r="E17" s="14"/>
      <c r="F17" s="14"/>
      <c r="G17" s="14"/>
      <c r="H17" s="14"/>
      <c r="I17" s="15"/>
      <c r="J17" s="8"/>
      <c r="K17" s="95" t="str">
        <f>IF(Échéances!$B$8="","",Échéances!$B$8)</f>
        <v>Révision constructeur</v>
      </c>
      <c r="L17" s="90"/>
      <c r="M17" s="112">
        <f>IF($K17="","",IF(Échéances!$I$8="","",Échéances!$I$8))</f>
        <v>46757</v>
      </c>
      <c r="N17" s="90"/>
      <c r="O17" s="19">
        <f ca="1">IF($K17="","",Échéances!$K$8)</f>
        <v>20</v>
      </c>
      <c r="P17" s="94">
        <f>IF($K17="","",Échéances!$L$8)</f>
        <v>2113</v>
      </c>
      <c r="Q17" s="90"/>
      <c r="R17" s="20" t="str">
        <f ca="1">IF($K17="","",Échéances!$M$8)</f>
        <v>À prévoir</v>
      </c>
      <c r="S17" s="8"/>
      <c r="U17" s="11" t="s">
        <v>33</v>
      </c>
      <c r="V17" s="12">
        <f>IF(V15&lt;=0,0,IF(V15&lt;=5000,V15*INDEX(BaremeT1,V16),IF(V15&lt;=20000,V15*INDEX(BaremeT2,V16)+INDEX(BaremeF2,V16),V15*INDEX(BaremeT3,V16)))*IF(Energie="Électrique",1+MajorationElec,1))</f>
        <v>7585.0230000000001</v>
      </c>
    </row>
    <row r="18" spans="1:22" ht="21" customHeight="1" x14ac:dyDescent="0.25">
      <c r="A18" s="8"/>
      <c r="B18" s="13"/>
      <c r="C18" s="14"/>
      <c r="D18" s="14"/>
      <c r="E18" s="14"/>
      <c r="F18" s="14"/>
      <c r="G18" s="14"/>
      <c r="H18" s="14"/>
      <c r="I18" s="15"/>
      <c r="J18" s="8"/>
      <c r="K18" s="95" t="str">
        <f>IF(Échéances!$B$9="","",Échéances!$B$9)</f>
        <v>Kit de distribution</v>
      </c>
      <c r="L18" s="90"/>
      <c r="M18" s="112">
        <f>IF($K18="","",IF(Échéances!$I$9="","",Échéances!$I$9))</f>
        <v>47528</v>
      </c>
      <c r="N18" s="90"/>
      <c r="O18" s="19">
        <f ca="1">IF($K18="","",Échéances!$K$9)</f>
        <v>791</v>
      </c>
      <c r="P18" s="94">
        <f>IF($K18="","",Échéances!$L$9)</f>
        <v>81613</v>
      </c>
      <c r="Q18" s="90"/>
      <c r="R18" s="20" t="str">
        <f ca="1">IF($K18="","",Échéances!$M$9)</f>
        <v>À jour</v>
      </c>
      <c r="S18" s="8"/>
      <c r="U18" s="11" t="s">
        <v>34</v>
      </c>
      <c r="V18" s="12">
        <f>SUMIFS('Frais &amp; entretien'!$I$7:$I$306,'Frais &amp; entretien'!$K$7:$K$306,"Oui",'Frais &amp; entretien'!$C$7:$C$306,"&gt;="&amp;DebutAnnee,'Frais &amp; entretien'!$C$7:$C$306,"&lt;="&amp;FinAnnee)</f>
        <v>467.60000000000019</v>
      </c>
    </row>
    <row r="19" spans="1:22" ht="21" customHeight="1" x14ac:dyDescent="0.25">
      <c r="A19" s="8"/>
      <c r="B19" s="13"/>
      <c r="C19" s="14"/>
      <c r="D19" s="14"/>
      <c r="E19" s="14"/>
      <c r="F19" s="14"/>
      <c r="G19" s="14"/>
      <c r="H19" s="14"/>
      <c r="I19" s="15"/>
      <c r="J19" s="8"/>
      <c r="K19" s="95" t="str">
        <f>IF(Échéances!$B$10="","",Échéances!$B$10)</f>
        <v>Plaquettes et disques de frein</v>
      </c>
      <c r="L19" s="90"/>
      <c r="M19" s="112" t="str">
        <f>IF($K19="","",IF(Échéances!$I$10="","",Échéances!$I$10))</f>
        <v/>
      </c>
      <c r="N19" s="90"/>
      <c r="O19" s="19" t="str">
        <f>IF($K19="","",Échéances!$K$10)</f>
        <v/>
      </c>
      <c r="P19" s="94">
        <f>IF($K19="","",Échéances!$L$10)</f>
        <v>10513</v>
      </c>
      <c r="Q19" s="90"/>
      <c r="R19" s="20" t="str">
        <f>IF($K19="","",Échéances!$M$10)</f>
        <v>À jour</v>
      </c>
      <c r="S19" s="8"/>
      <c r="U19" s="11" t="s">
        <v>35</v>
      </c>
      <c r="V19" s="12">
        <f>SUMIFS(Carburant!$S$7:$S$206,Carburant!$M$7:$M$206,"&gt;0",Carburant!$C$7:$C$206,"&gt;="&amp;DebutAnnee,Carburant!$C$7:$C$206,"&lt;="&amp;FinAnnee)</f>
        <v>1101.68</v>
      </c>
    </row>
    <row r="20" spans="1:22" ht="21" customHeight="1" x14ac:dyDescent="0.25">
      <c r="A20" s="8"/>
      <c r="B20" s="13"/>
      <c r="C20" s="14"/>
      <c r="D20" s="14"/>
      <c r="E20" s="14"/>
      <c r="F20" s="14"/>
      <c r="G20" s="14"/>
      <c r="H20" s="14"/>
      <c r="I20" s="15"/>
      <c r="J20" s="8"/>
      <c r="K20" s="95" t="str">
        <f>IF(Échéances!$B$11="","",Échéances!$B$11)</f>
        <v>Pneumatiques (achat, montage)</v>
      </c>
      <c r="L20" s="90"/>
      <c r="M20" s="112">
        <f>IF($K20="","",IF(Échéances!$I$11="","",Échéances!$I$11))</f>
        <v>48513</v>
      </c>
      <c r="N20" s="90"/>
      <c r="O20" s="19">
        <f ca="1">IF($K20="","",Échéances!$K$11)</f>
        <v>1776</v>
      </c>
      <c r="P20" s="94">
        <f>IF($K20="","",Échéances!$L$11)</f>
        <v>41885</v>
      </c>
      <c r="Q20" s="90"/>
      <c r="R20" s="20" t="str">
        <f ca="1">IF($K20="","",Échéances!$M$11)</f>
        <v>À jour</v>
      </c>
      <c r="S20" s="8"/>
      <c r="U20" s="11" t="s">
        <v>36</v>
      </c>
      <c r="V20" s="12">
        <f>SUMIFS(Carburant!$T$7:$T$206,Carburant!$M$7:$M$206,"&gt;0",Carburant!$C$7:$C$206,"&gt;="&amp;DebutAnnee,Carburant!$C$7:$C$206,"&lt;="&amp;FinAnnee)</f>
        <v>19236</v>
      </c>
    </row>
    <row r="21" spans="1:22" ht="21" customHeight="1" x14ac:dyDescent="0.25">
      <c r="A21" s="8"/>
      <c r="B21" s="13"/>
      <c r="C21" s="14"/>
      <c r="D21" s="14"/>
      <c r="E21" s="14"/>
      <c r="F21" s="14"/>
      <c r="G21" s="14"/>
      <c r="H21" s="14"/>
      <c r="I21" s="15"/>
      <c r="J21" s="8"/>
      <c r="K21" s="95" t="str">
        <f>IF(Échéances!$B$12="","",Échéances!$B$12)</f>
        <v>Recharge de climatisation</v>
      </c>
      <c r="L21" s="90"/>
      <c r="M21" s="112">
        <f>IF($K21="","",IF(Échéances!$I$12="","",Échéances!$I$12))</f>
        <v>46543</v>
      </c>
      <c r="N21" s="90"/>
      <c r="O21" s="19">
        <f ca="1">IF($K21="","",Échéances!$K$12)</f>
        <v>-194</v>
      </c>
      <c r="P21" s="94" t="str">
        <f>IF($K21="","",Échéances!$L$12)</f>
        <v/>
      </c>
      <c r="Q21" s="90"/>
      <c r="R21" s="20" t="str">
        <f ca="1">IF($K21="","",Échéances!$M$12)</f>
        <v>En retard</v>
      </c>
      <c r="S21" s="8"/>
      <c r="U21" s="11" t="s">
        <v>37</v>
      </c>
      <c r="V21" s="12">
        <f>COUNTIFS(Carburant!$M$7:$M$206,"&gt;0",Carburant!$C$7:$C$206,"&gt;="&amp;DebutAnnee,Carburant!$C$7:$C$206,"&lt;="&amp;FinAnnee)</f>
        <v>28</v>
      </c>
    </row>
    <row r="22" spans="1:22" ht="21" customHeight="1" x14ac:dyDescent="0.25">
      <c r="A22" s="8"/>
      <c r="B22" s="13"/>
      <c r="C22" s="14"/>
      <c r="D22" s="14"/>
      <c r="E22" s="14"/>
      <c r="F22" s="14"/>
      <c r="G22" s="14"/>
      <c r="H22" s="14"/>
      <c r="I22" s="15"/>
      <c r="J22" s="8"/>
      <c r="K22" s="95" t="str">
        <f>IF(Échéances!$B$13="","",Échéances!$B$13)</f>
        <v>Contrôle technique</v>
      </c>
      <c r="L22" s="90"/>
      <c r="M22" s="112">
        <f>IF($K22="","",IF(Échéances!$I$13="","",Échéances!$I$13))</f>
        <v>47143</v>
      </c>
      <c r="N22" s="90"/>
      <c r="O22" s="19">
        <f ca="1">IF($K22="","",Échéances!$K$13)</f>
        <v>406</v>
      </c>
      <c r="P22" s="94" t="str">
        <f>IF($K22="","",Échéances!$L$13)</f>
        <v/>
      </c>
      <c r="Q22" s="90"/>
      <c r="R22" s="20" t="str">
        <f ca="1">IF($K22="","",Échéances!$M$13)</f>
        <v>À jour</v>
      </c>
      <c r="S22" s="8"/>
      <c r="U22" s="11" t="s">
        <v>38</v>
      </c>
      <c r="V22" s="12">
        <f>V11+IF(Statut="Véhicule de fonction",V10,0)</f>
        <v>2656</v>
      </c>
    </row>
    <row r="23" spans="1:22" ht="21" customHeight="1" x14ac:dyDescent="0.25">
      <c r="A23" s="8"/>
      <c r="B23" s="13"/>
      <c r="C23" s="14"/>
      <c r="D23" s="14"/>
      <c r="E23" s="14"/>
      <c r="F23" s="14"/>
      <c r="G23" s="14"/>
      <c r="H23" s="14"/>
      <c r="I23" s="15"/>
      <c r="J23" s="8"/>
      <c r="K23" s="95" t="str">
        <f>IF(Échéances!$B$14="","",Échéances!$B$14)</f>
        <v>Assurance</v>
      </c>
      <c r="L23" s="90"/>
      <c r="M23" s="112">
        <f>IF($K23="","",IF(Échéances!$I$14="","",Échéances!$I$14))</f>
        <v>46844</v>
      </c>
      <c r="N23" s="90"/>
      <c r="O23" s="19">
        <f ca="1">IF($K23="","",Échéances!$K$14)</f>
        <v>107</v>
      </c>
      <c r="P23" s="94" t="str">
        <f>IF($K23="","",Échéances!$L$14)</f>
        <v/>
      </c>
      <c r="Q23" s="90"/>
      <c r="R23" s="20" t="str">
        <f ca="1">IF($K23="","",Échéances!$M$14)</f>
        <v>À jour</v>
      </c>
      <c r="S23" s="8"/>
    </row>
    <row r="24" spans="1:22" ht="21" customHeight="1" x14ac:dyDescent="0.25">
      <c r="A24" s="8"/>
      <c r="B24" s="13"/>
      <c r="C24" s="14"/>
      <c r="D24" s="14"/>
      <c r="E24" s="14"/>
      <c r="F24" s="14"/>
      <c r="G24" s="14"/>
      <c r="H24" s="14"/>
      <c r="I24" s="15"/>
      <c r="J24" s="8"/>
      <c r="K24" s="95" t="str">
        <f>IF(Échéances!$B$15="","",Échéances!$B$15)</f>
        <v/>
      </c>
      <c r="L24" s="90"/>
      <c r="M24" s="112" t="str">
        <f>IF($K24="","",IF(Échéances!$I$15="","",Échéances!$I$15))</f>
        <v/>
      </c>
      <c r="N24" s="90"/>
      <c r="O24" s="19" t="str">
        <f>IF($K24="","",Échéances!$K$15)</f>
        <v/>
      </c>
      <c r="P24" s="94" t="str">
        <f>IF($K24="","",Échéances!$L$15)</f>
        <v/>
      </c>
      <c r="Q24" s="90"/>
      <c r="R24" s="20" t="str">
        <f>IF($K24="","",Échéances!$M$15)</f>
        <v/>
      </c>
      <c r="S24" s="8"/>
    </row>
    <row r="25" spans="1:22" ht="6" customHeight="1" x14ac:dyDescent="0.25">
      <c r="A25" s="8"/>
      <c r="B25" s="13"/>
      <c r="C25" s="14"/>
      <c r="D25" s="14"/>
      <c r="E25" s="14"/>
      <c r="F25" s="14"/>
      <c r="G25" s="14"/>
      <c r="H25" s="14"/>
      <c r="I25" s="15"/>
      <c r="J25" s="8"/>
      <c r="K25" s="13"/>
      <c r="L25" s="14"/>
      <c r="M25" s="14"/>
      <c r="N25" s="14"/>
      <c r="O25" s="14"/>
      <c r="P25" s="14"/>
      <c r="Q25" s="14"/>
      <c r="R25" s="15"/>
      <c r="S25" s="8"/>
    </row>
    <row r="26" spans="1:22" ht="15.95" customHeight="1" x14ac:dyDescent="0.25">
      <c r="A26" s="8"/>
      <c r="B26" s="13"/>
      <c r="C26" s="14"/>
      <c r="D26" s="14"/>
      <c r="E26" s="14"/>
      <c r="F26" s="14"/>
      <c r="G26" s="14"/>
      <c r="H26" s="14"/>
      <c r="I26" s="15"/>
      <c r="J26" s="8"/>
      <c r="K26" s="148" t="str">
        <f>"« À prévoir » : moins de "&amp;AlerteJours&amp;" jours ou de "&amp;FIXED(AlerteKm,0)&amp;" km avant l'échéance. Périodicités modifiables dans l'onglet Échéances."</f>
        <v>« À prévoir » : moins de 30 jours ou de 1.000 km avant l'échéance. Périodicités modifiables dans l'onglet Échéances.</v>
      </c>
      <c r="L26" s="90"/>
      <c r="M26" s="90"/>
      <c r="N26" s="90"/>
      <c r="O26" s="90"/>
      <c r="P26" s="90"/>
      <c r="Q26" s="90"/>
      <c r="R26" s="136"/>
      <c r="S26" s="8"/>
    </row>
    <row r="27" spans="1:22" ht="15.95" customHeight="1" x14ac:dyDescent="0.25">
      <c r="A27" s="8"/>
      <c r="B27" s="13"/>
      <c r="C27" s="14"/>
      <c r="D27" s="14"/>
      <c r="E27" s="14"/>
      <c r="F27" s="14"/>
      <c r="G27" s="14"/>
      <c r="H27" s="14"/>
      <c r="I27" s="15"/>
      <c r="J27" s="8"/>
      <c r="K27" s="149"/>
      <c r="L27" s="90"/>
      <c r="M27" s="90"/>
      <c r="N27" s="90"/>
      <c r="O27" s="90"/>
      <c r="P27" s="90"/>
      <c r="Q27" s="90"/>
      <c r="R27" s="136"/>
      <c r="S27" s="8"/>
    </row>
    <row r="28" spans="1:22" ht="6" customHeight="1" x14ac:dyDescent="0.25">
      <c r="A28" s="8"/>
      <c r="B28" s="21"/>
      <c r="C28" s="22"/>
      <c r="D28" s="22"/>
      <c r="E28" s="22"/>
      <c r="F28" s="22"/>
      <c r="G28" s="22"/>
      <c r="H28" s="22"/>
      <c r="I28" s="23"/>
      <c r="J28" s="8"/>
      <c r="K28" s="21"/>
      <c r="L28" s="22"/>
      <c r="M28" s="22"/>
      <c r="N28" s="22"/>
      <c r="O28" s="22"/>
      <c r="P28" s="22"/>
      <c r="Q28" s="22"/>
      <c r="R28" s="23"/>
      <c r="S28" s="8"/>
    </row>
    <row r="29" spans="1:22" ht="14.1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22" ht="26.1" customHeight="1" x14ac:dyDescent="0.25">
      <c r="A30" s="8"/>
      <c r="B30" s="108" t="s">
        <v>39</v>
      </c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10"/>
      <c r="S30" s="8"/>
    </row>
    <row r="31" spans="1:22" ht="30" customHeight="1" x14ac:dyDescent="0.25">
      <c r="A31" s="8"/>
      <c r="B31" s="16" t="s">
        <v>40</v>
      </c>
      <c r="C31" s="17" t="s">
        <v>41</v>
      </c>
      <c r="D31" s="97" t="s">
        <v>42</v>
      </c>
      <c r="E31" s="98"/>
      <c r="F31" s="17" t="s">
        <v>43</v>
      </c>
      <c r="G31" s="97" t="s">
        <v>44</v>
      </c>
      <c r="H31" s="98"/>
      <c r="I31" s="133" t="s">
        <v>45</v>
      </c>
      <c r="J31" s="98"/>
      <c r="K31" s="17" t="s">
        <v>46</v>
      </c>
      <c r="L31" s="17" t="s">
        <v>47</v>
      </c>
      <c r="M31" s="97" t="s">
        <v>48</v>
      </c>
      <c r="N31" s="98"/>
      <c r="O31" s="17" t="s">
        <v>49</v>
      </c>
      <c r="P31" s="133" t="s">
        <v>50</v>
      </c>
      <c r="Q31" s="98"/>
      <c r="R31" s="18" t="s">
        <v>51</v>
      </c>
      <c r="S31" s="8"/>
    </row>
    <row r="32" spans="1:22" ht="18.95" customHeight="1" x14ac:dyDescent="0.25">
      <c r="A32" s="8"/>
      <c r="B32" s="24" t="s">
        <v>52</v>
      </c>
      <c r="C32" s="25">
        <f>SUMIFS(Trajets!$K$7:$K$606,Trajets!$H$7:$H$606,"Professionnel",Trajets!$C$7:$C$606,"&gt;="&amp;DATE(AnneeSuivi,1,1),Trajets!$C$7:$C$606,"&lt;"&amp;DATE(AnneeSuivi,2,1))</f>
        <v>1139</v>
      </c>
      <c r="D32" s="96">
        <f>SUMIFS(Trajets!$K$7:$K$606,Trajets!$H$7:$H$606,"Domicile – travail",Trajets!$C$7:$C$606,"&gt;="&amp;DATE(AnneeSuivi,1,1),Trajets!$C$7:$C$606,"&lt;"&amp;DATE(AnneeSuivi,2,1))</f>
        <v>136</v>
      </c>
      <c r="E32" s="90"/>
      <c r="F32" s="25">
        <f>SUMIFS(Trajets!$K$7:$K$606,Trajets!$H$7:$H$606,"Personnel",Trajets!$C$7:$C$606,"&gt;="&amp;DATE(AnneeSuivi,1,1),Trajets!$C$7:$C$606,"&lt;"&amp;DATE(AnneeSuivi,2,1))</f>
        <v>126</v>
      </c>
      <c r="G32" s="113">
        <f>SUMIFS(Trajets!$K$7:$K$606,Trajets!$C$7:$C$606,"&gt;="&amp;DATE(AnneeSuivi,1,1),Trajets!$C$7:$C$606,"&lt;"&amp;DATE(AnneeSuivi,2,1))</f>
        <v>1401</v>
      </c>
      <c r="H32" s="90"/>
      <c r="I32" s="107">
        <f>COUNTIFS(Trajets!$C$7:$C$606,"&gt;="&amp;DATE(AnneeSuivi,1,1),Trajets!$C$7:$C$606,"&lt;"&amp;DATE(AnneeSuivi,2,1))</f>
        <v>17</v>
      </c>
      <c r="J32" s="90"/>
      <c r="K32" s="27">
        <f>SUMIFS(Carburant!$H$7:$H$206,Carburant!$C$7:$C$206,"&gt;="&amp;DATE(AnneeSuivi,1,1),Carburant!$C$7:$C$206,"&lt;"&amp;DATE(AnneeSuivi,2,1))</f>
        <v>153.88999999999999</v>
      </c>
      <c r="L32" s="27">
        <f>SUMIFS('Frais &amp; entretien'!$I$7:$I$306,'Frais &amp; entretien'!$C$7:$C$306,"&gt;="&amp;DATE(AnneeSuivi,1,1),'Frais &amp; entretien'!$C$7:$C$306,"&lt;"&amp;DATE(AnneeSuivi,2,1))</f>
        <v>108.8</v>
      </c>
      <c r="M32" s="91">
        <f t="shared" ref="M32:M43" si="0">K32+L32</f>
        <v>262.69</v>
      </c>
      <c r="N32" s="90"/>
      <c r="O32" s="28">
        <f t="shared" ref="O32:O44" si="1">IFERROR(M32/G32,0)</f>
        <v>0.18750178443968593</v>
      </c>
      <c r="P32" s="111">
        <f t="shared" ref="P32:P44" si="2">IF(N(G32)=0,"",C32/G32)</f>
        <v>0.81299072091363311</v>
      </c>
      <c r="Q32" s="90"/>
      <c r="R32" s="29">
        <f>COUNTIFS(Carburant!$C$7:$C$206,"&gt;="&amp;DATE(AnneeSuivi,1,1),Carburant!$C$7:$C$206,"&lt;"&amp;DATE(AnneeSuivi,2,1))</f>
        <v>2</v>
      </c>
      <c r="S32" s="8"/>
      <c r="U32" s="11" t="s">
        <v>53</v>
      </c>
    </row>
    <row r="33" spans="1:21" ht="18.95" customHeight="1" x14ac:dyDescent="0.25">
      <c r="A33" s="8"/>
      <c r="B33" s="24" t="s">
        <v>54</v>
      </c>
      <c r="C33" s="25">
        <f>SUMIFS(Trajets!$K$7:$K$606,Trajets!$H$7:$H$606,"Professionnel",Trajets!$C$7:$C$606,"&gt;="&amp;DATE(AnneeSuivi,2,1),Trajets!$C$7:$C$606,"&lt;"&amp;DATE(AnneeSuivi,3,1))</f>
        <v>1339</v>
      </c>
      <c r="D33" s="96">
        <f>SUMIFS(Trajets!$K$7:$K$606,Trajets!$H$7:$H$606,"Domicile – travail",Trajets!$C$7:$C$606,"&gt;="&amp;DATE(AnneeSuivi,2,1),Trajets!$C$7:$C$606,"&lt;"&amp;DATE(AnneeSuivi,3,1))</f>
        <v>136</v>
      </c>
      <c r="E33" s="90"/>
      <c r="F33" s="25">
        <f>SUMIFS(Trajets!$K$7:$K$606,Trajets!$H$7:$H$606,"Personnel",Trajets!$C$7:$C$606,"&gt;="&amp;DATE(AnneeSuivi,2,1),Trajets!$C$7:$C$606,"&lt;"&amp;DATE(AnneeSuivi,3,1))</f>
        <v>245</v>
      </c>
      <c r="G33" s="113">
        <f>SUMIFS(Trajets!$K$7:$K$606,Trajets!$C$7:$C$606,"&gt;="&amp;DATE(AnneeSuivi,2,1),Trajets!$C$7:$C$606,"&lt;"&amp;DATE(AnneeSuivi,3,1))</f>
        <v>1720</v>
      </c>
      <c r="H33" s="90"/>
      <c r="I33" s="107">
        <f>COUNTIFS(Trajets!$C$7:$C$606,"&gt;="&amp;DATE(AnneeSuivi,2,1),Trajets!$C$7:$C$606,"&lt;"&amp;DATE(AnneeSuivi,3,1))</f>
        <v>17</v>
      </c>
      <c r="J33" s="90"/>
      <c r="K33" s="27">
        <f>SUMIFS(Carburant!$H$7:$H$206,Carburant!$C$7:$C$206,"&gt;="&amp;DATE(AnneeSuivi,2,1),Carburant!$C$7:$C$206,"&lt;"&amp;DATE(AnneeSuivi,3,1))</f>
        <v>150.32</v>
      </c>
      <c r="L33" s="27">
        <f>SUMIFS('Frais &amp; entretien'!$I$7:$I$306,'Frais &amp; entretien'!$C$7:$C$306,"&gt;="&amp;DATE(AnneeSuivi,2,1),'Frais &amp; entretien'!$C$7:$C$306,"&lt;"&amp;DATE(AnneeSuivi,3,1))</f>
        <v>54.2</v>
      </c>
      <c r="M33" s="91">
        <f t="shared" si="0"/>
        <v>204.51999999999998</v>
      </c>
      <c r="N33" s="90"/>
      <c r="O33" s="28">
        <f t="shared" si="1"/>
        <v>0.11890697674418603</v>
      </c>
      <c r="P33" s="111">
        <f t="shared" si="2"/>
        <v>0.77848837209302324</v>
      </c>
      <c r="Q33" s="90"/>
      <c r="R33" s="29">
        <f>COUNTIFS(Carburant!$C$7:$C$206,"&gt;="&amp;DATE(AnneeSuivi,2,1),Carburant!$C$7:$C$206,"&lt;"&amp;DATE(AnneeSuivi,3,1))</f>
        <v>2</v>
      </c>
      <c r="S33" s="8"/>
      <c r="U33" s="11" t="s">
        <v>55</v>
      </c>
    </row>
    <row r="34" spans="1:21" ht="18.95" customHeight="1" x14ac:dyDescent="0.25">
      <c r="A34" s="8"/>
      <c r="B34" s="24" t="s">
        <v>56</v>
      </c>
      <c r="C34" s="25">
        <f>SUMIFS(Trajets!$K$7:$K$606,Trajets!$H$7:$H$606,"Professionnel",Trajets!$C$7:$C$606,"&gt;="&amp;DATE(AnneeSuivi,3,1),Trajets!$C$7:$C$606,"&lt;"&amp;DATE(AnneeSuivi,4,1))</f>
        <v>1636</v>
      </c>
      <c r="D34" s="96">
        <f>SUMIFS(Trajets!$K$7:$K$606,Trajets!$H$7:$H$606,"Domicile – travail",Trajets!$C$7:$C$606,"&gt;="&amp;DATE(AnneeSuivi,3,1),Trajets!$C$7:$C$606,"&lt;"&amp;DATE(AnneeSuivi,4,1))</f>
        <v>170</v>
      </c>
      <c r="E34" s="90"/>
      <c r="F34" s="25">
        <f>SUMIFS(Trajets!$K$7:$K$606,Trajets!$H$7:$H$606,"Personnel",Trajets!$C$7:$C$606,"&gt;="&amp;DATE(AnneeSuivi,3,1),Trajets!$C$7:$C$606,"&lt;"&amp;DATE(AnneeSuivi,4,1))</f>
        <v>77</v>
      </c>
      <c r="G34" s="113">
        <f>SUMIFS(Trajets!$K$7:$K$606,Trajets!$C$7:$C$606,"&gt;="&amp;DATE(AnneeSuivi,3,1),Trajets!$C$7:$C$606,"&lt;"&amp;DATE(AnneeSuivi,4,1))</f>
        <v>1883</v>
      </c>
      <c r="H34" s="90"/>
      <c r="I34" s="107">
        <f>COUNTIFS(Trajets!$C$7:$C$606,"&gt;="&amp;DATE(AnneeSuivi,3,1),Trajets!$C$7:$C$606,"&lt;"&amp;DATE(AnneeSuivi,4,1))</f>
        <v>19</v>
      </c>
      <c r="J34" s="90"/>
      <c r="K34" s="27">
        <f>SUMIFS(Carburant!$H$7:$H$206,Carburant!$C$7:$C$206,"&gt;="&amp;DATE(AnneeSuivi,3,1),Carburant!$C$7:$C$206,"&lt;"&amp;DATE(AnneeSuivi,4,1))</f>
        <v>210.31</v>
      </c>
      <c r="L34" s="27">
        <f>SUMIFS('Frais &amp; entretien'!$I$7:$I$306,'Frais &amp; entretien'!$C$7:$C$306,"&gt;="&amp;DATE(AnneeSuivi,3,1),'Frais &amp; entretien'!$C$7:$C$306,"&lt;"&amp;DATE(AnneeSuivi,4,1))</f>
        <v>43.599999999999994</v>
      </c>
      <c r="M34" s="91">
        <f t="shared" si="0"/>
        <v>253.91</v>
      </c>
      <c r="N34" s="90"/>
      <c r="O34" s="28">
        <f t="shared" si="1"/>
        <v>0.13484333510355814</v>
      </c>
      <c r="P34" s="111">
        <f t="shared" si="2"/>
        <v>0.86882634094530009</v>
      </c>
      <c r="Q34" s="90"/>
      <c r="R34" s="29">
        <f>COUNTIFS(Carburant!$C$7:$C$206,"&gt;="&amp;DATE(AnneeSuivi,3,1),Carburant!$C$7:$C$206,"&lt;"&amp;DATE(AnneeSuivi,4,1))</f>
        <v>3</v>
      </c>
      <c r="S34" s="8"/>
      <c r="U34" s="11" t="s">
        <v>57</v>
      </c>
    </row>
    <row r="35" spans="1:21" ht="18.95" customHeight="1" x14ac:dyDescent="0.25">
      <c r="A35" s="8"/>
      <c r="B35" s="24" t="s">
        <v>58</v>
      </c>
      <c r="C35" s="25">
        <f>SUMIFS(Trajets!$K$7:$K$606,Trajets!$H$7:$H$606,"Professionnel",Trajets!$C$7:$C$606,"&gt;="&amp;DATE(AnneeSuivi,4,1),Trajets!$C$7:$C$606,"&lt;"&amp;DATE(AnneeSuivi,5,1))</f>
        <v>1400</v>
      </c>
      <c r="D35" s="96">
        <f>SUMIFS(Trajets!$K$7:$K$606,Trajets!$H$7:$H$606,"Domicile – travail",Trajets!$C$7:$C$606,"&gt;="&amp;DATE(AnneeSuivi,4,1),Trajets!$C$7:$C$606,"&lt;"&amp;DATE(AnneeSuivi,5,1))</f>
        <v>136</v>
      </c>
      <c r="E35" s="90"/>
      <c r="F35" s="25">
        <f>SUMIFS(Trajets!$K$7:$K$606,Trajets!$H$7:$H$606,"Personnel",Trajets!$C$7:$C$606,"&gt;="&amp;DATE(AnneeSuivi,4,1),Trajets!$C$7:$C$606,"&lt;"&amp;DATE(AnneeSuivi,5,1))</f>
        <v>269</v>
      </c>
      <c r="G35" s="113">
        <f>SUMIFS(Trajets!$K$7:$K$606,Trajets!$C$7:$C$606,"&gt;="&amp;DATE(AnneeSuivi,4,1),Trajets!$C$7:$C$606,"&lt;"&amp;DATE(AnneeSuivi,5,1))</f>
        <v>1805</v>
      </c>
      <c r="H35" s="90"/>
      <c r="I35" s="107">
        <f>COUNTIFS(Trajets!$C$7:$C$606,"&gt;="&amp;DATE(AnneeSuivi,4,1),Trajets!$C$7:$C$606,"&lt;"&amp;DATE(AnneeSuivi,5,1))</f>
        <v>19</v>
      </c>
      <c r="J35" s="90"/>
      <c r="K35" s="27">
        <f>SUMIFS(Carburant!$H$7:$H$206,Carburant!$C$7:$C$206,"&gt;="&amp;DATE(AnneeSuivi,4,1),Carburant!$C$7:$C$206,"&lt;"&amp;DATE(AnneeSuivi,5,1))</f>
        <v>214.31</v>
      </c>
      <c r="L35" s="27">
        <f>SUMIFS('Frais &amp; entretien'!$I$7:$I$306,'Frais &amp; entretien'!$C$7:$C$306,"&gt;="&amp;DATE(AnneeSuivi,4,1),'Frais &amp; entretien'!$C$7:$C$306,"&lt;"&amp;DATE(AnneeSuivi,5,1))</f>
        <v>682.8</v>
      </c>
      <c r="M35" s="91">
        <f t="shared" si="0"/>
        <v>897.1099999999999</v>
      </c>
      <c r="N35" s="90"/>
      <c r="O35" s="28">
        <f t="shared" si="1"/>
        <v>0.49701385041551244</v>
      </c>
      <c r="P35" s="111">
        <f t="shared" si="2"/>
        <v>0.77562326869806097</v>
      </c>
      <c r="Q35" s="90"/>
      <c r="R35" s="29">
        <f>COUNTIFS(Carburant!$C$7:$C$206,"&gt;="&amp;DATE(AnneeSuivi,4,1),Carburant!$C$7:$C$206,"&lt;"&amp;DATE(AnneeSuivi,5,1))</f>
        <v>3</v>
      </c>
      <c r="S35" s="8"/>
      <c r="U35" s="11" t="s">
        <v>59</v>
      </c>
    </row>
    <row r="36" spans="1:21" ht="18.95" customHeight="1" x14ac:dyDescent="0.25">
      <c r="A36" s="8"/>
      <c r="B36" s="24" t="s">
        <v>60</v>
      </c>
      <c r="C36" s="25">
        <f>SUMIFS(Trajets!$K$7:$K$606,Trajets!$H$7:$H$606,"Professionnel",Trajets!$C$7:$C$606,"&gt;="&amp;DATE(AnneeSuivi,5,1),Trajets!$C$7:$C$606,"&lt;"&amp;DATE(AnneeSuivi,6,1))</f>
        <v>1533</v>
      </c>
      <c r="D36" s="96">
        <f>SUMIFS(Trajets!$K$7:$K$606,Trajets!$H$7:$H$606,"Domicile – travail",Trajets!$C$7:$C$606,"&gt;="&amp;DATE(AnneeSuivi,5,1),Trajets!$C$7:$C$606,"&lt;"&amp;DATE(AnneeSuivi,6,1))</f>
        <v>170</v>
      </c>
      <c r="E36" s="90"/>
      <c r="F36" s="25">
        <f>SUMIFS(Trajets!$K$7:$K$606,Trajets!$H$7:$H$606,"Personnel",Trajets!$C$7:$C$606,"&gt;="&amp;DATE(AnneeSuivi,5,1),Trajets!$C$7:$C$606,"&lt;"&amp;DATE(AnneeSuivi,6,1))</f>
        <v>135</v>
      </c>
      <c r="G36" s="113">
        <f>SUMIFS(Trajets!$K$7:$K$606,Trajets!$C$7:$C$606,"&gt;="&amp;DATE(AnneeSuivi,5,1),Trajets!$C$7:$C$606,"&lt;"&amp;DATE(AnneeSuivi,6,1))</f>
        <v>1838</v>
      </c>
      <c r="H36" s="90"/>
      <c r="I36" s="107">
        <f>COUNTIFS(Trajets!$C$7:$C$606,"&gt;="&amp;DATE(AnneeSuivi,5,1),Trajets!$C$7:$C$606,"&lt;"&amp;DATE(AnneeSuivi,6,1))</f>
        <v>20</v>
      </c>
      <c r="J36" s="90"/>
      <c r="K36" s="27">
        <f>SUMIFS(Carburant!$H$7:$H$206,Carburant!$C$7:$C$206,"&gt;="&amp;DATE(AnneeSuivi,5,1),Carburant!$C$7:$C$206,"&lt;"&amp;DATE(AnneeSuivi,6,1))</f>
        <v>150.33000000000001</v>
      </c>
      <c r="L36" s="27">
        <f>SUMIFS('Frais &amp; entretien'!$I$7:$I$306,'Frais &amp; entretien'!$C$7:$C$306,"&gt;="&amp;DATE(AnneeSuivi,5,1),'Frais &amp; entretien'!$C$7:$C$306,"&lt;"&amp;DATE(AnneeSuivi,6,1))</f>
        <v>35.200000000000003</v>
      </c>
      <c r="M36" s="91">
        <f t="shared" si="0"/>
        <v>185.53000000000003</v>
      </c>
      <c r="N36" s="90"/>
      <c r="O36" s="28">
        <f t="shared" si="1"/>
        <v>0.10094124047878129</v>
      </c>
      <c r="P36" s="111">
        <f t="shared" si="2"/>
        <v>0.83405875952121866</v>
      </c>
      <c r="Q36" s="90"/>
      <c r="R36" s="29">
        <f>COUNTIFS(Carburant!$C$7:$C$206,"&gt;="&amp;DATE(AnneeSuivi,5,1),Carburant!$C$7:$C$206,"&lt;"&amp;DATE(AnneeSuivi,6,1))</f>
        <v>2</v>
      </c>
      <c r="S36" s="8"/>
      <c r="U36" s="11" t="s">
        <v>61</v>
      </c>
    </row>
    <row r="37" spans="1:21" ht="18.95" customHeight="1" x14ac:dyDescent="0.25">
      <c r="A37" s="8"/>
      <c r="B37" s="24" t="s">
        <v>62</v>
      </c>
      <c r="C37" s="25">
        <f>SUMIFS(Trajets!$K$7:$K$606,Trajets!$H$7:$H$606,"Professionnel",Trajets!$C$7:$C$606,"&gt;="&amp;DATE(AnneeSuivi,6,1),Trajets!$C$7:$C$606,"&lt;"&amp;DATE(AnneeSuivi,7,1))</f>
        <v>1377</v>
      </c>
      <c r="D37" s="96">
        <f>SUMIFS(Trajets!$K$7:$K$606,Trajets!$H$7:$H$606,"Domicile – travail",Trajets!$C$7:$C$606,"&gt;="&amp;DATE(AnneeSuivi,6,1),Trajets!$C$7:$C$606,"&lt;"&amp;DATE(AnneeSuivi,7,1))</f>
        <v>136</v>
      </c>
      <c r="E37" s="90"/>
      <c r="F37" s="25">
        <f>SUMIFS(Trajets!$K$7:$K$606,Trajets!$H$7:$H$606,"Personnel",Trajets!$C$7:$C$606,"&gt;="&amp;DATE(AnneeSuivi,6,1),Trajets!$C$7:$C$606,"&lt;"&amp;DATE(AnneeSuivi,7,1))</f>
        <v>224</v>
      </c>
      <c r="G37" s="113">
        <f>SUMIFS(Trajets!$K$7:$K$606,Trajets!$C$7:$C$606,"&gt;="&amp;DATE(AnneeSuivi,6,1),Trajets!$C$7:$C$606,"&lt;"&amp;DATE(AnneeSuivi,7,1))</f>
        <v>1737</v>
      </c>
      <c r="H37" s="90"/>
      <c r="I37" s="107">
        <f>COUNTIFS(Trajets!$C$7:$C$606,"&gt;="&amp;DATE(AnneeSuivi,6,1),Trajets!$C$7:$C$606,"&lt;"&amp;DATE(AnneeSuivi,7,1))</f>
        <v>17</v>
      </c>
      <c r="J37" s="90"/>
      <c r="K37" s="27">
        <f>SUMIFS(Carburant!$H$7:$H$206,Carburant!$C$7:$C$206,"&gt;="&amp;DATE(AnneeSuivi,6,1),Carburant!$C$7:$C$206,"&lt;"&amp;DATE(AnneeSuivi,7,1))</f>
        <v>186.81</v>
      </c>
      <c r="L37" s="27">
        <f>SUMIFS('Frais &amp; entretien'!$I$7:$I$306,'Frais &amp; entretien'!$C$7:$C$306,"&gt;="&amp;DATE(AnneeSuivi,6,1),'Frais &amp; entretien'!$C$7:$C$306,"&lt;"&amp;DATE(AnneeSuivi,7,1))</f>
        <v>302.90000000000003</v>
      </c>
      <c r="M37" s="91">
        <f t="shared" si="0"/>
        <v>489.71000000000004</v>
      </c>
      <c r="N37" s="90"/>
      <c r="O37" s="28">
        <f t="shared" si="1"/>
        <v>0.28192861255037421</v>
      </c>
      <c r="P37" s="111">
        <f t="shared" si="2"/>
        <v>0.79274611398963735</v>
      </c>
      <c r="Q37" s="90"/>
      <c r="R37" s="29">
        <f>COUNTIFS(Carburant!$C$7:$C$206,"&gt;="&amp;DATE(AnneeSuivi,6,1),Carburant!$C$7:$C$206,"&lt;"&amp;DATE(AnneeSuivi,7,1))</f>
        <v>3</v>
      </c>
      <c r="S37" s="8"/>
      <c r="U37" s="11" t="s">
        <v>63</v>
      </c>
    </row>
    <row r="38" spans="1:21" ht="18.95" customHeight="1" x14ac:dyDescent="0.25">
      <c r="A38" s="8"/>
      <c r="B38" s="24" t="s">
        <v>64</v>
      </c>
      <c r="C38" s="25">
        <f>SUMIFS(Trajets!$K$7:$K$606,Trajets!$H$7:$H$606,"Professionnel",Trajets!$C$7:$C$606,"&gt;="&amp;DATE(AnneeSuivi,7,1),Trajets!$C$7:$C$606,"&lt;"&amp;DATE(AnneeSuivi,8,1))</f>
        <v>1278</v>
      </c>
      <c r="D38" s="96">
        <f>SUMIFS(Trajets!$K$7:$K$606,Trajets!$H$7:$H$606,"Domicile – travail",Trajets!$C$7:$C$606,"&gt;="&amp;DATE(AnneeSuivi,7,1),Trajets!$C$7:$C$606,"&lt;"&amp;DATE(AnneeSuivi,8,1))</f>
        <v>136</v>
      </c>
      <c r="E38" s="90"/>
      <c r="F38" s="25">
        <f>SUMIFS(Trajets!$K$7:$K$606,Trajets!$H$7:$H$606,"Personnel",Trajets!$C$7:$C$606,"&gt;="&amp;DATE(AnneeSuivi,7,1),Trajets!$C$7:$C$606,"&lt;"&amp;DATE(AnneeSuivi,8,1))</f>
        <v>88</v>
      </c>
      <c r="G38" s="113">
        <f>SUMIFS(Trajets!$K$7:$K$606,Trajets!$C$7:$C$606,"&gt;="&amp;DATE(AnneeSuivi,7,1),Trajets!$C$7:$C$606,"&lt;"&amp;DATE(AnneeSuivi,8,1))</f>
        <v>1502</v>
      </c>
      <c r="H38" s="90"/>
      <c r="I38" s="107">
        <f>COUNTIFS(Trajets!$C$7:$C$606,"&gt;="&amp;DATE(AnneeSuivi,7,1),Trajets!$C$7:$C$606,"&lt;"&amp;DATE(AnneeSuivi,8,1))</f>
        <v>18</v>
      </c>
      <c r="J38" s="90"/>
      <c r="K38" s="27">
        <f>SUMIFS(Carburant!$H$7:$H$206,Carburant!$C$7:$C$206,"&gt;="&amp;DATE(AnneeSuivi,7,1),Carburant!$C$7:$C$206,"&lt;"&amp;DATE(AnneeSuivi,8,1))</f>
        <v>161.68</v>
      </c>
      <c r="L38" s="27">
        <f>SUMIFS('Frais &amp; entretien'!$I$7:$I$306,'Frais &amp; entretien'!$C$7:$C$306,"&gt;="&amp;DATE(AnneeSuivi,7,1),'Frais &amp; entretien'!$C$7:$C$306,"&lt;"&amp;DATE(AnneeSuivi,8,1))</f>
        <v>21.8</v>
      </c>
      <c r="M38" s="91">
        <f t="shared" si="0"/>
        <v>183.48000000000002</v>
      </c>
      <c r="N38" s="90"/>
      <c r="O38" s="28">
        <f t="shared" si="1"/>
        <v>0.12215712383488683</v>
      </c>
      <c r="P38" s="111">
        <f t="shared" si="2"/>
        <v>0.85086551264980026</v>
      </c>
      <c r="Q38" s="90"/>
      <c r="R38" s="29">
        <f>COUNTIFS(Carburant!$C$7:$C$206,"&gt;="&amp;DATE(AnneeSuivi,7,1),Carburant!$C$7:$C$206,"&lt;"&amp;DATE(AnneeSuivi,8,1))</f>
        <v>2</v>
      </c>
      <c r="S38" s="8"/>
      <c r="U38" s="11" t="s">
        <v>65</v>
      </c>
    </row>
    <row r="39" spans="1:21" ht="18.95" customHeight="1" x14ac:dyDescent="0.25">
      <c r="A39" s="8"/>
      <c r="B39" s="24" t="s">
        <v>66</v>
      </c>
      <c r="C39" s="25">
        <f>SUMIFS(Trajets!$K$7:$K$606,Trajets!$H$7:$H$606,"Professionnel",Trajets!$C$7:$C$606,"&gt;="&amp;DATE(AnneeSuivi,8,1),Trajets!$C$7:$C$606,"&lt;"&amp;DATE(AnneeSuivi,9,1))</f>
        <v>647</v>
      </c>
      <c r="D39" s="96">
        <f>SUMIFS(Trajets!$K$7:$K$606,Trajets!$H$7:$H$606,"Domicile – travail",Trajets!$C$7:$C$606,"&gt;="&amp;DATE(AnneeSuivi,8,1),Trajets!$C$7:$C$606,"&lt;"&amp;DATE(AnneeSuivi,9,1))</f>
        <v>68</v>
      </c>
      <c r="E39" s="90"/>
      <c r="F39" s="25">
        <f>SUMIFS(Trajets!$K$7:$K$606,Trajets!$H$7:$H$606,"Personnel",Trajets!$C$7:$C$606,"&gt;="&amp;DATE(AnneeSuivi,8,1),Trajets!$C$7:$C$606,"&lt;"&amp;DATE(AnneeSuivi,9,1))</f>
        <v>787</v>
      </c>
      <c r="G39" s="113">
        <f>SUMIFS(Trajets!$K$7:$K$606,Trajets!$C$7:$C$606,"&gt;="&amp;DATE(AnneeSuivi,8,1),Trajets!$C$7:$C$606,"&lt;"&amp;DATE(AnneeSuivi,9,1))</f>
        <v>1502</v>
      </c>
      <c r="H39" s="90"/>
      <c r="I39" s="107">
        <f>COUNTIFS(Trajets!$C$7:$C$606,"&gt;="&amp;DATE(AnneeSuivi,8,1),Trajets!$C$7:$C$606,"&lt;"&amp;DATE(AnneeSuivi,9,1))</f>
        <v>10</v>
      </c>
      <c r="J39" s="90"/>
      <c r="K39" s="27">
        <f>SUMIFS(Carburant!$H$7:$H$206,Carburant!$C$7:$C$206,"&gt;="&amp;DATE(AnneeSuivi,8,1),Carburant!$C$7:$C$206,"&lt;"&amp;DATE(AnneeSuivi,9,1))</f>
        <v>130.74</v>
      </c>
      <c r="L39" s="27">
        <f>SUMIFS('Frais &amp; entretien'!$I$7:$I$306,'Frais &amp; entretien'!$C$7:$C$306,"&gt;="&amp;DATE(AnneeSuivi,8,1),'Frais &amp; entretien'!$C$7:$C$306,"&lt;"&amp;DATE(AnneeSuivi,9,1))</f>
        <v>58</v>
      </c>
      <c r="M39" s="91">
        <f t="shared" si="0"/>
        <v>188.74</v>
      </c>
      <c r="N39" s="90"/>
      <c r="O39" s="28">
        <f t="shared" si="1"/>
        <v>0.12565912117177097</v>
      </c>
      <c r="P39" s="111">
        <f t="shared" si="2"/>
        <v>0.43075898801597867</v>
      </c>
      <c r="Q39" s="90"/>
      <c r="R39" s="29">
        <f>COUNTIFS(Carburant!$C$7:$C$206,"&gt;="&amp;DATE(AnneeSuivi,8,1),Carburant!$C$7:$C$206,"&lt;"&amp;DATE(AnneeSuivi,9,1))</f>
        <v>2</v>
      </c>
      <c r="S39" s="8"/>
      <c r="U39" s="11" t="s">
        <v>67</v>
      </c>
    </row>
    <row r="40" spans="1:21" ht="18.95" customHeight="1" x14ac:dyDescent="0.25">
      <c r="A40" s="8"/>
      <c r="B40" s="24" t="s">
        <v>68</v>
      </c>
      <c r="C40" s="25">
        <f>SUMIFS(Trajets!$K$7:$K$606,Trajets!$H$7:$H$606,"Professionnel",Trajets!$C$7:$C$606,"&gt;="&amp;DATE(AnneeSuivi,9,1),Trajets!$C$7:$C$606,"&lt;"&amp;DATE(AnneeSuivi,10,1))</f>
        <v>1386</v>
      </c>
      <c r="D40" s="96">
        <f>SUMIFS(Trajets!$K$7:$K$606,Trajets!$H$7:$H$606,"Domicile – travail",Trajets!$C$7:$C$606,"&gt;="&amp;DATE(AnneeSuivi,9,1),Trajets!$C$7:$C$606,"&lt;"&amp;DATE(AnneeSuivi,10,1))</f>
        <v>136</v>
      </c>
      <c r="E40" s="90"/>
      <c r="F40" s="25">
        <f>SUMIFS(Trajets!$K$7:$K$606,Trajets!$H$7:$H$606,"Personnel",Trajets!$C$7:$C$606,"&gt;="&amp;DATE(AnneeSuivi,9,1),Trajets!$C$7:$C$606,"&lt;"&amp;DATE(AnneeSuivi,10,1))</f>
        <v>226</v>
      </c>
      <c r="G40" s="113">
        <f>SUMIFS(Trajets!$K$7:$K$606,Trajets!$C$7:$C$606,"&gt;="&amp;DATE(AnneeSuivi,9,1),Trajets!$C$7:$C$606,"&lt;"&amp;DATE(AnneeSuivi,10,1))</f>
        <v>1748</v>
      </c>
      <c r="H40" s="90"/>
      <c r="I40" s="107">
        <f>COUNTIFS(Trajets!$C$7:$C$606,"&gt;="&amp;DATE(AnneeSuivi,9,1),Trajets!$C$7:$C$606,"&lt;"&amp;DATE(AnneeSuivi,10,1))</f>
        <v>17</v>
      </c>
      <c r="J40" s="90"/>
      <c r="K40" s="27">
        <f>SUMIFS(Carburant!$H$7:$H$206,Carburant!$C$7:$C$206,"&gt;="&amp;DATE(AnneeSuivi,9,1),Carburant!$C$7:$C$206,"&lt;"&amp;DATE(AnneeSuivi,10,1))</f>
        <v>202.79000000000002</v>
      </c>
      <c r="L40" s="27">
        <f>SUMIFS('Frais &amp; entretien'!$I$7:$I$306,'Frais &amp; entretien'!$C$7:$C$306,"&gt;="&amp;DATE(AnneeSuivi,9,1),'Frais &amp; entretien'!$C$7:$C$306,"&lt;"&amp;DATE(AnneeSuivi,10,1))</f>
        <v>75.000000000000014</v>
      </c>
      <c r="M40" s="91">
        <f t="shared" si="0"/>
        <v>277.79000000000002</v>
      </c>
      <c r="N40" s="90"/>
      <c r="O40" s="28">
        <f t="shared" si="1"/>
        <v>0.15891876430205951</v>
      </c>
      <c r="P40" s="111">
        <f t="shared" si="2"/>
        <v>0.79290617848970246</v>
      </c>
      <c r="Q40" s="90"/>
      <c r="R40" s="29">
        <f>COUNTIFS(Carburant!$C$7:$C$206,"&gt;="&amp;DATE(AnneeSuivi,9,1),Carburant!$C$7:$C$206,"&lt;"&amp;DATE(AnneeSuivi,10,1))</f>
        <v>3</v>
      </c>
      <c r="S40" s="8"/>
      <c r="U40" s="11" t="s">
        <v>69</v>
      </c>
    </row>
    <row r="41" spans="1:21" ht="18.95" customHeight="1" x14ac:dyDescent="0.25">
      <c r="A41" s="8"/>
      <c r="B41" s="24" t="s">
        <v>70</v>
      </c>
      <c r="C41" s="25">
        <f>SUMIFS(Trajets!$K$7:$K$606,Trajets!$H$7:$H$606,"Professionnel",Trajets!$C$7:$C$606,"&gt;="&amp;DATE(AnneeSuivi,10,1),Trajets!$C$7:$C$606,"&lt;"&amp;DATE(AnneeSuivi,11,1))</f>
        <v>1648</v>
      </c>
      <c r="D41" s="96">
        <f>SUMIFS(Trajets!$K$7:$K$606,Trajets!$H$7:$H$606,"Domicile – travail",Trajets!$C$7:$C$606,"&gt;="&amp;DATE(AnneeSuivi,10,1),Trajets!$C$7:$C$606,"&lt;"&amp;DATE(AnneeSuivi,11,1))</f>
        <v>136</v>
      </c>
      <c r="E41" s="90"/>
      <c r="F41" s="25">
        <f>SUMIFS(Trajets!$K$7:$K$606,Trajets!$H$7:$H$606,"Personnel",Trajets!$C$7:$C$606,"&gt;="&amp;DATE(AnneeSuivi,10,1),Trajets!$C$7:$C$606,"&lt;"&amp;DATE(AnneeSuivi,11,1))</f>
        <v>147</v>
      </c>
      <c r="G41" s="113">
        <f>SUMIFS(Trajets!$K$7:$K$606,Trajets!$C$7:$C$606,"&gt;="&amp;DATE(AnneeSuivi,10,1),Trajets!$C$7:$C$606,"&lt;"&amp;DATE(AnneeSuivi,11,1))</f>
        <v>1931</v>
      </c>
      <c r="H41" s="90"/>
      <c r="I41" s="107">
        <f>COUNTIFS(Trajets!$C$7:$C$606,"&gt;="&amp;DATE(AnneeSuivi,10,1),Trajets!$C$7:$C$606,"&lt;"&amp;DATE(AnneeSuivi,11,1))</f>
        <v>19</v>
      </c>
      <c r="J41" s="90"/>
      <c r="K41" s="27">
        <f>SUMIFS(Carburant!$H$7:$H$206,Carburant!$C$7:$C$206,"&gt;="&amp;DATE(AnneeSuivi,10,1),Carburant!$C$7:$C$206,"&lt;"&amp;DATE(AnneeSuivi,11,1))</f>
        <v>187.8</v>
      </c>
      <c r="L41" s="27">
        <f>SUMIFS('Frais &amp; entretien'!$I$7:$I$306,'Frais &amp; entretien'!$C$7:$C$306,"&gt;="&amp;DATE(AnneeSuivi,10,1),'Frais &amp; entretien'!$C$7:$C$306,"&lt;"&amp;DATE(AnneeSuivi,11,1))</f>
        <v>482.7</v>
      </c>
      <c r="M41" s="91">
        <f t="shared" si="0"/>
        <v>670.5</v>
      </c>
      <c r="N41" s="90"/>
      <c r="O41" s="28">
        <f t="shared" si="1"/>
        <v>0.34722941481097874</v>
      </c>
      <c r="P41" s="111">
        <f t="shared" si="2"/>
        <v>0.85344381149663384</v>
      </c>
      <c r="Q41" s="90"/>
      <c r="R41" s="29">
        <f>COUNTIFS(Carburant!$C$7:$C$206,"&gt;="&amp;DATE(AnneeSuivi,10,1),Carburant!$C$7:$C$206,"&lt;"&amp;DATE(AnneeSuivi,11,1))</f>
        <v>3</v>
      </c>
      <c r="S41" s="8"/>
      <c r="U41" s="11" t="s">
        <v>71</v>
      </c>
    </row>
    <row r="42" spans="1:21" ht="18.95" customHeight="1" x14ac:dyDescent="0.25">
      <c r="A42" s="8"/>
      <c r="B42" s="24" t="s">
        <v>72</v>
      </c>
      <c r="C42" s="25">
        <f>SUMIFS(Trajets!$K$7:$K$606,Trajets!$H$7:$H$606,"Professionnel",Trajets!$C$7:$C$606,"&gt;="&amp;DATE(AnneeSuivi,11,1),Trajets!$C$7:$C$606,"&lt;"&amp;DATE(AnneeSuivi,12,1))</f>
        <v>1580</v>
      </c>
      <c r="D42" s="96">
        <f>SUMIFS(Trajets!$K$7:$K$606,Trajets!$H$7:$H$606,"Domicile – travail",Trajets!$C$7:$C$606,"&gt;="&amp;DATE(AnneeSuivi,11,1),Trajets!$C$7:$C$606,"&lt;"&amp;DATE(AnneeSuivi,12,1))</f>
        <v>170</v>
      </c>
      <c r="E42" s="90"/>
      <c r="F42" s="25">
        <f>SUMIFS(Trajets!$K$7:$K$606,Trajets!$H$7:$H$606,"Personnel",Trajets!$C$7:$C$606,"&gt;="&amp;DATE(AnneeSuivi,11,1),Trajets!$C$7:$C$606,"&lt;"&amp;DATE(AnneeSuivi,12,1))</f>
        <v>287</v>
      </c>
      <c r="G42" s="113">
        <f>SUMIFS(Trajets!$K$7:$K$606,Trajets!$C$7:$C$606,"&gt;="&amp;DATE(AnneeSuivi,11,1),Trajets!$C$7:$C$606,"&lt;"&amp;DATE(AnneeSuivi,12,1))</f>
        <v>2037</v>
      </c>
      <c r="H42" s="90"/>
      <c r="I42" s="107">
        <f>COUNTIFS(Trajets!$C$7:$C$606,"&gt;="&amp;DATE(AnneeSuivi,11,1),Trajets!$C$7:$C$606,"&lt;"&amp;DATE(AnneeSuivi,12,1))</f>
        <v>19</v>
      </c>
      <c r="J42" s="90"/>
      <c r="K42" s="27">
        <f>SUMIFS(Carburant!$H$7:$H$206,Carburant!$C$7:$C$206,"&gt;="&amp;DATE(AnneeSuivi,11,1),Carburant!$C$7:$C$206,"&lt;"&amp;DATE(AnneeSuivi,12,1))</f>
        <v>194.61</v>
      </c>
      <c r="L42" s="27">
        <f>SUMIFS('Frais &amp; entretien'!$I$7:$I$306,'Frais &amp; entretien'!$C$7:$C$306,"&gt;="&amp;DATE(AnneeSuivi,11,1),'Frais &amp; entretien'!$C$7:$C$306,"&lt;"&amp;DATE(AnneeSuivi,12,1))</f>
        <v>72.5</v>
      </c>
      <c r="M42" s="91">
        <f t="shared" si="0"/>
        <v>267.11</v>
      </c>
      <c r="N42" s="90"/>
      <c r="O42" s="28">
        <f t="shared" si="1"/>
        <v>0.13112911143838979</v>
      </c>
      <c r="P42" s="111">
        <f t="shared" si="2"/>
        <v>0.77565046637211588</v>
      </c>
      <c r="Q42" s="90"/>
      <c r="R42" s="29">
        <f>COUNTIFS(Carburant!$C$7:$C$206,"&gt;="&amp;DATE(AnneeSuivi,11,1),Carburant!$C$7:$C$206,"&lt;"&amp;DATE(AnneeSuivi,12,1))</f>
        <v>3</v>
      </c>
      <c r="S42" s="8"/>
      <c r="U42" s="11" t="s">
        <v>73</v>
      </c>
    </row>
    <row r="43" spans="1:21" ht="18.95" customHeight="1" x14ac:dyDescent="0.25">
      <c r="A43" s="8"/>
      <c r="B43" s="24" t="s">
        <v>74</v>
      </c>
      <c r="C43" s="25">
        <f>SUMIFS(Trajets!$K$7:$K$606,Trajets!$H$7:$H$606,"Professionnel",Trajets!$C$7:$C$606,"&gt;="&amp;DATE(AnneeSuivi,12,1),Trajets!$C$7:$C$606,"&lt;"&amp;DATE(AnneeSuivi,13,1))</f>
        <v>778</v>
      </c>
      <c r="D43" s="96">
        <f>SUMIFS(Trajets!$K$7:$K$606,Trajets!$H$7:$H$606,"Domicile – travail",Trajets!$C$7:$C$606,"&gt;="&amp;DATE(AnneeSuivi,12,1),Trajets!$C$7:$C$606,"&lt;"&amp;DATE(AnneeSuivi,13,1))</f>
        <v>68</v>
      </c>
      <c r="E43" s="90"/>
      <c r="F43" s="25">
        <f>SUMIFS(Trajets!$K$7:$K$606,Trajets!$H$7:$H$606,"Personnel",Trajets!$C$7:$C$606,"&gt;="&amp;DATE(AnneeSuivi,12,1),Trajets!$C$7:$C$606,"&lt;"&amp;DATE(AnneeSuivi,13,1))</f>
        <v>45</v>
      </c>
      <c r="G43" s="113">
        <f>SUMIFS(Trajets!$K$7:$K$606,Trajets!$C$7:$C$606,"&gt;="&amp;DATE(AnneeSuivi,12,1),Trajets!$C$7:$C$606,"&lt;"&amp;DATE(AnneeSuivi,13,1))</f>
        <v>891</v>
      </c>
      <c r="H43" s="90"/>
      <c r="I43" s="107">
        <f>COUNTIFS(Trajets!$C$7:$C$606,"&gt;="&amp;DATE(AnneeSuivi,12,1),Trajets!$C$7:$C$606,"&lt;"&amp;DATE(AnneeSuivi,13,1))</f>
        <v>9</v>
      </c>
      <c r="J43" s="90"/>
      <c r="K43" s="27">
        <f>SUMIFS(Carburant!$H$7:$H$206,Carburant!$C$7:$C$206,"&gt;="&amp;DATE(AnneeSuivi,12,1),Carburant!$C$7:$C$206,"&lt;"&amp;DATE(AnneeSuivi,13,1))</f>
        <v>141.81</v>
      </c>
      <c r="L43" s="27">
        <f>SUMIFS('Frais &amp; entretien'!$I$7:$I$306,'Frais &amp; entretien'!$C$7:$C$306,"&gt;="&amp;DATE(AnneeSuivi,12,1),'Frais &amp; entretien'!$C$7:$C$306,"&lt;"&amp;DATE(AnneeSuivi,13,1))</f>
        <v>32.200000000000003</v>
      </c>
      <c r="M43" s="91">
        <f t="shared" si="0"/>
        <v>174.01</v>
      </c>
      <c r="N43" s="90"/>
      <c r="O43" s="28">
        <f t="shared" si="1"/>
        <v>0.19529741863075195</v>
      </c>
      <c r="P43" s="111">
        <f t="shared" si="2"/>
        <v>0.87317620650953987</v>
      </c>
      <c r="Q43" s="90"/>
      <c r="R43" s="29">
        <f>COUNTIFS(Carburant!$C$7:$C$206,"&gt;="&amp;DATE(AnneeSuivi,12,1),Carburant!$C$7:$C$206,"&lt;"&amp;DATE(AnneeSuivi,13,1))</f>
        <v>2</v>
      </c>
      <c r="S43" s="8"/>
      <c r="U43" s="11" t="s">
        <v>75</v>
      </c>
    </row>
    <row r="44" spans="1:21" ht="21" customHeight="1" x14ac:dyDescent="0.25">
      <c r="A44" s="8"/>
      <c r="B44" s="30" t="s">
        <v>76</v>
      </c>
      <c r="C44" s="31">
        <f>SUM(C32:C43)</f>
        <v>15741</v>
      </c>
      <c r="D44" s="105">
        <f>SUM(D32:D43)</f>
        <v>1598</v>
      </c>
      <c r="E44" s="106"/>
      <c r="F44" s="31">
        <f>SUM(F32:F43)</f>
        <v>2656</v>
      </c>
      <c r="G44" s="105">
        <f>SUM(G32:G43)</f>
        <v>19995</v>
      </c>
      <c r="H44" s="106"/>
      <c r="I44" s="117">
        <f>SUM(I32:I43)</f>
        <v>201</v>
      </c>
      <c r="J44" s="106"/>
      <c r="K44" s="32">
        <f>SUM(K32:K43)</f>
        <v>2085.4</v>
      </c>
      <c r="L44" s="32">
        <f>SUM(L32:L43)</f>
        <v>1969.7</v>
      </c>
      <c r="M44" s="121">
        <f>SUM(M32:M43)</f>
        <v>4055.1000000000004</v>
      </c>
      <c r="N44" s="106"/>
      <c r="O44" s="33">
        <f t="shared" si="1"/>
        <v>0.20280570142535637</v>
      </c>
      <c r="P44" s="140">
        <f t="shared" si="2"/>
        <v>0.78724681170292576</v>
      </c>
      <c r="Q44" s="106"/>
      <c r="R44" s="34">
        <f>SUM(R32:R43)</f>
        <v>30</v>
      </c>
      <c r="S44" s="8"/>
    </row>
    <row r="45" spans="1:21" ht="8.1" customHeight="1" x14ac:dyDescent="0.25">
      <c r="A45" s="8"/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3"/>
      <c r="S45" s="8"/>
    </row>
    <row r="46" spans="1:21" ht="14.1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21" ht="26.1" customHeight="1" x14ac:dyDescent="0.25">
      <c r="A47" s="8"/>
      <c r="B47" s="108" t="s">
        <v>77</v>
      </c>
      <c r="C47" s="109"/>
      <c r="D47" s="109"/>
      <c r="E47" s="109"/>
      <c r="F47" s="109"/>
      <c r="G47" s="109"/>
      <c r="H47" s="109"/>
      <c r="I47" s="110"/>
      <c r="J47" s="8"/>
      <c r="K47" s="108" t="s">
        <v>78</v>
      </c>
      <c r="L47" s="109"/>
      <c r="M47" s="109"/>
      <c r="N47" s="109"/>
      <c r="O47" s="109"/>
      <c r="P47" s="109"/>
      <c r="Q47" s="109"/>
      <c r="R47" s="110"/>
      <c r="S47" s="8"/>
    </row>
    <row r="48" spans="1:21" ht="20.100000000000001" customHeight="1" x14ac:dyDescent="0.25">
      <c r="A48" s="8"/>
      <c r="B48" s="120" t="s">
        <v>79</v>
      </c>
      <c r="C48" s="98"/>
      <c r="D48" s="97" t="s">
        <v>80</v>
      </c>
      <c r="E48" s="98"/>
      <c r="F48" s="17" t="s">
        <v>81</v>
      </c>
      <c r="G48" s="151" t="s">
        <v>82</v>
      </c>
      <c r="H48" s="98"/>
      <c r="I48" s="152"/>
      <c r="J48" s="8"/>
      <c r="K48" s="120" t="s">
        <v>83</v>
      </c>
      <c r="L48" s="98"/>
      <c r="M48" s="133" t="s">
        <v>45</v>
      </c>
      <c r="N48" s="98"/>
      <c r="O48" s="17" t="s">
        <v>84</v>
      </c>
      <c r="P48" s="97" t="s">
        <v>85</v>
      </c>
      <c r="Q48" s="98"/>
      <c r="R48" s="18" t="s">
        <v>86</v>
      </c>
      <c r="S48" s="8"/>
    </row>
    <row r="49" spans="1:19" ht="18.95" customHeight="1" x14ac:dyDescent="0.25">
      <c r="A49" s="8"/>
      <c r="B49" s="116" t="str">
        <f>"Carburant / énergie"</f>
        <v>Carburant / énergie</v>
      </c>
      <c r="C49" s="100"/>
      <c r="D49" s="99">
        <f>$V$12</f>
        <v>2085.4</v>
      </c>
      <c r="E49" s="100"/>
      <c r="F49" s="35">
        <f t="shared" ref="F49:F56" si="3">IFERROR(D49/$D$57,0)</f>
        <v>0.5142659860422677</v>
      </c>
      <c r="G49" s="114">
        <f t="shared" ref="G49:G56" si="4">IFERROR(D49/MAX($D$49:$D$56),0)</f>
        <v>1</v>
      </c>
      <c r="H49" s="100"/>
      <c r="I49" s="115"/>
      <c r="J49" s="8"/>
      <c r="K49" s="89" t="str">
        <f>IF(Véhicule!$B$20="","",Véhicule!$B$20)</f>
        <v>Camille Morel</v>
      </c>
      <c r="L49" s="90"/>
      <c r="M49" s="107">
        <f>IF($K49="","",COUNTIFS(Trajets!$D$7:$D$606,$K49,Trajets!$C$7:$C$606,"&gt;="&amp;DebutAnnee,Trajets!$C$7:$C$606,"&lt;="&amp;FinAnnee))</f>
        <v>175</v>
      </c>
      <c r="N49" s="90"/>
      <c r="O49" s="25">
        <f>IF($K49="","",SUMIFS(Trajets!$K$7:$K$606,Trajets!$D$7:$D$606,$K49,Trajets!$C$7:$C$606,"&gt;="&amp;DebutAnnee,Trajets!$C$7:$C$606,"&lt;="&amp;FinAnnee))</f>
        <v>18848</v>
      </c>
      <c r="P49" s="96">
        <f>IF($K49="","",SUMIFS(Trajets!$K$7:$K$606,Trajets!$D$7:$D$606,$K49,Trajets!$H$7:$H$606,"Professionnel",Trajets!$C$7:$C$606,"&gt;="&amp;DebutAnnee,Trajets!$C$7:$C$606,"&lt;="&amp;FinAnnee))</f>
        <v>15741</v>
      </c>
      <c r="Q49" s="90"/>
      <c r="R49" s="36">
        <f t="shared" ref="R49:R56" si="5">IF(OR($K49="",N(O49)=0),"",P49/O49)</f>
        <v>0.83515492359932086</v>
      </c>
      <c r="S49" s="8"/>
    </row>
    <row r="50" spans="1:19" ht="18.95" customHeight="1" x14ac:dyDescent="0.25">
      <c r="A50" s="8"/>
      <c r="B50" s="116" t="str">
        <f>Véhicule!$R$8</f>
        <v>Entretien</v>
      </c>
      <c r="C50" s="100"/>
      <c r="D50" s="99">
        <f>IF(B50="",0,SUMIFS('Frais &amp; entretien'!$I$7:$I$306,'Frais &amp; entretien'!$F$7:$F$306,B50,'Frais &amp; entretien'!$C$7:$C$306,"&gt;="&amp;DebutAnnee,'Frais &amp; entretien'!$C$7:$C$306,"&lt;="&amp;FinAnnee))</f>
        <v>189.5</v>
      </c>
      <c r="E50" s="100"/>
      <c r="F50" s="35">
        <f t="shared" si="3"/>
        <v>4.6731276663954026E-2</v>
      </c>
      <c r="G50" s="114">
        <f t="shared" si="4"/>
        <v>9.0869857101755061E-2</v>
      </c>
      <c r="H50" s="100"/>
      <c r="I50" s="115"/>
      <c r="J50" s="8"/>
      <c r="K50" s="89" t="str">
        <f>IF(Véhicule!$B$21="","",Véhicule!$B$21)</f>
        <v>Julien Morel</v>
      </c>
      <c r="L50" s="90"/>
      <c r="M50" s="107">
        <f>IF($K50="","",COUNTIFS(Trajets!$D$7:$D$606,$K50,Trajets!$C$7:$C$606,"&gt;="&amp;DebutAnnee,Trajets!$C$7:$C$606,"&lt;="&amp;FinAnnee))</f>
        <v>26</v>
      </c>
      <c r="N50" s="90"/>
      <c r="O50" s="25">
        <f>IF($K50="","",SUMIFS(Trajets!$K$7:$K$606,Trajets!$D$7:$D$606,$K50,Trajets!$C$7:$C$606,"&gt;="&amp;DebutAnnee,Trajets!$C$7:$C$606,"&lt;="&amp;FinAnnee))</f>
        <v>1147</v>
      </c>
      <c r="P50" s="96">
        <f>IF($K50="","",SUMIFS(Trajets!$K$7:$K$606,Trajets!$D$7:$D$606,$K50,Trajets!$H$7:$H$606,"Professionnel",Trajets!$C$7:$C$606,"&gt;="&amp;DebutAnnee,Trajets!$C$7:$C$606,"&lt;="&amp;FinAnnee))</f>
        <v>0</v>
      </c>
      <c r="Q50" s="90"/>
      <c r="R50" s="36">
        <f t="shared" si="5"/>
        <v>0</v>
      </c>
      <c r="S50" s="8"/>
    </row>
    <row r="51" spans="1:19" ht="18.95" customHeight="1" x14ac:dyDescent="0.25">
      <c r="A51" s="8"/>
      <c r="B51" s="116" t="str">
        <f>Véhicule!$R$9</f>
        <v>Réparations</v>
      </c>
      <c r="C51" s="100"/>
      <c r="D51" s="99">
        <f>IF(B51="",0,SUMIFS('Frais &amp; entretien'!$I$7:$I$306,'Frais &amp; entretien'!$F$7:$F$306,B51,'Frais &amp; entretien'!$C$7:$C$306,"&gt;="&amp;DebutAnnee,'Frais &amp; entretien'!$C$7:$C$306,"&lt;="&amp;FinAnnee))</f>
        <v>34.9</v>
      </c>
      <c r="E51" s="100"/>
      <c r="F51" s="35">
        <f t="shared" si="3"/>
        <v>8.6064462035461507E-3</v>
      </c>
      <c r="G51" s="114">
        <f t="shared" si="4"/>
        <v>1.6735398484703172E-2</v>
      </c>
      <c r="H51" s="100"/>
      <c r="I51" s="115"/>
      <c r="J51" s="8"/>
      <c r="K51" s="89" t="str">
        <f>IF(Véhicule!$B$22="","",Véhicule!$B$22)</f>
        <v/>
      </c>
      <c r="L51" s="90"/>
      <c r="M51" s="107" t="str">
        <f>IF($K51="","",COUNTIFS(Trajets!$D$7:$D$606,$K51,Trajets!$C$7:$C$606,"&gt;="&amp;DebutAnnee,Trajets!$C$7:$C$606,"&lt;="&amp;FinAnnee))</f>
        <v/>
      </c>
      <c r="N51" s="90"/>
      <c r="O51" s="25" t="str">
        <f>IF($K51="","",SUMIFS(Trajets!$K$7:$K$606,Trajets!$D$7:$D$606,$K51,Trajets!$C$7:$C$606,"&gt;="&amp;DebutAnnee,Trajets!$C$7:$C$606,"&lt;="&amp;FinAnnee))</f>
        <v/>
      </c>
      <c r="P51" s="96" t="str">
        <f>IF($K51="","",SUMIFS(Trajets!$K$7:$K$606,Trajets!$D$7:$D$606,$K51,Trajets!$H$7:$H$606,"Professionnel",Trajets!$C$7:$C$606,"&gt;="&amp;DebutAnnee,Trajets!$C$7:$C$606,"&lt;="&amp;FinAnnee))</f>
        <v/>
      </c>
      <c r="Q51" s="90"/>
      <c r="R51" s="36" t="str">
        <f t="shared" si="5"/>
        <v/>
      </c>
      <c r="S51" s="8"/>
    </row>
    <row r="52" spans="1:19" ht="18.95" customHeight="1" x14ac:dyDescent="0.25">
      <c r="A52" s="8"/>
      <c r="B52" s="116" t="str">
        <f>Véhicule!$R$10</f>
        <v>Pneumatiques</v>
      </c>
      <c r="C52" s="100"/>
      <c r="D52" s="99">
        <f>IF(B52="",0,SUMIFS('Frais &amp; entretien'!$I$7:$I$306,'Frais &amp; entretien'!$F$7:$F$306,B52,'Frais &amp; entretien'!$C$7:$C$306,"&gt;="&amp;DebutAnnee,'Frais &amp; entretien'!$C$7:$C$306,"&lt;="&amp;FinAnnee))</f>
        <v>436</v>
      </c>
      <c r="E52" s="100"/>
      <c r="F52" s="35">
        <f t="shared" si="3"/>
        <v>0.1075189267835565</v>
      </c>
      <c r="G52" s="114">
        <f t="shared" si="4"/>
        <v>0.20907259998081901</v>
      </c>
      <c r="H52" s="100"/>
      <c r="I52" s="115"/>
      <c r="J52" s="8"/>
      <c r="K52" s="89" t="str">
        <f>IF(Véhicule!$B$23="","",Véhicule!$B$23)</f>
        <v/>
      </c>
      <c r="L52" s="90"/>
      <c r="M52" s="107" t="str">
        <f>IF($K52="","",COUNTIFS(Trajets!$D$7:$D$606,$K52,Trajets!$C$7:$C$606,"&gt;="&amp;DebutAnnee,Trajets!$C$7:$C$606,"&lt;="&amp;FinAnnee))</f>
        <v/>
      </c>
      <c r="N52" s="90"/>
      <c r="O52" s="25" t="str">
        <f>IF($K52="","",SUMIFS(Trajets!$K$7:$K$606,Trajets!$D$7:$D$606,$K52,Trajets!$C$7:$C$606,"&gt;="&amp;DebutAnnee,Trajets!$C$7:$C$606,"&lt;="&amp;FinAnnee))</f>
        <v/>
      </c>
      <c r="P52" s="96" t="str">
        <f>IF($K52="","",SUMIFS(Trajets!$K$7:$K$606,Trajets!$D$7:$D$606,$K52,Trajets!$H$7:$H$606,"Professionnel",Trajets!$C$7:$C$606,"&gt;="&amp;DebutAnnee,Trajets!$C$7:$C$606,"&lt;="&amp;FinAnnee))</f>
        <v/>
      </c>
      <c r="Q52" s="90"/>
      <c r="R52" s="36" t="str">
        <f t="shared" si="5"/>
        <v/>
      </c>
      <c r="S52" s="8"/>
    </row>
    <row r="53" spans="1:19" ht="18.95" customHeight="1" x14ac:dyDescent="0.25">
      <c r="A53" s="8"/>
      <c r="B53" s="116" t="str">
        <f>Véhicule!$R$11</f>
        <v>Contrôle technique</v>
      </c>
      <c r="C53" s="100"/>
      <c r="D53" s="99">
        <f>IF(B53="",0,SUMIFS('Frais &amp; entretien'!$I$7:$I$306,'Frais &amp; entretien'!$F$7:$F$306,B53,'Frais &amp; entretien'!$C$7:$C$306,"&gt;="&amp;DebutAnnee,'Frais &amp; entretien'!$C$7:$C$306,"&lt;="&amp;FinAnnee))</f>
        <v>79</v>
      </c>
      <c r="E53" s="100"/>
      <c r="F53" s="35">
        <f t="shared" si="3"/>
        <v>1.9481640403442576E-2</v>
      </c>
      <c r="G53" s="114">
        <f t="shared" si="4"/>
        <v>3.7882420638726384E-2</v>
      </c>
      <c r="H53" s="100"/>
      <c r="I53" s="115"/>
      <c r="J53" s="8"/>
      <c r="K53" s="89" t="str">
        <f>IF(Véhicule!$B$24="","",Véhicule!$B$24)</f>
        <v/>
      </c>
      <c r="L53" s="90"/>
      <c r="M53" s="107" t="str">
        <f>IF($K53="","",COUNTIFS(Trajets!$D$7:$D$606,$K53,Trajets!$C$7:$C$606,"&gt;="&amp;DebutAnnee,Trajets!$C$7:$C$606,"&lt;="&amp;FinAnnee))</f>
        <v/>
      </c>
      <c r="N53" s="90"/>
      <c r="O53" s="25" t="str">
        <f>IF($K53="","",SUMIFS(Trajets!$K$7:$K$606,Trajets!$D$7:$D$606,$K53,Trajets!$C$7:$C$606,"&gt;="&amp;DebutAnnee,Trajets!$C$7:$C$606,"&lt;="&amp;FinAnnee))</f>
        <v/>
      </c>
      <c r="P53" s="96" t="str">
        <f>IF($K53="","",SUMIFS(Trajets!$K$7:$K$606,Trajets!$D$7:$D$606,$K53,Trajets!$H$7:$H$606,"Professionnel",Trajets!$C$7:$C$606,"&gt;="&amp;DebutAnnee,Trajets!$C$7:$C$606,"&lt;="&amp;FinAnnee))</f>
        <v/>
      </c>
      <c r="Q53" s="90"/>
      <c r="R53" s="36" t="str">
        <f t="shared" si="5"/>
        <v/>
      </c>
      <c r="S53" s="8"/>
    </row>
    <row r="54" spans="1:19" ht="18.95" customHeight="1" x14ac:dyDescent="0.25">
      <c r="A54" s="8"/>
      <c r="B54" s="116" t="str">
        <f>Véhicule!$R$12</f>
        <v>Assurance</v>
      </c>
      <c r="C54" s="100"/>
      <c r="D54" s="99">
        <f>IF(B54="",0,SUMIFS('Frais &amp; entretien'!$I$7:$I$306,'Frais &amp; entretien'!$F$7:$F$306,B54,'Frais &amp; entretien'!$C$7:$C$306,"&gt;="&amp;DebutAnnee,'Frais &amp; entretien'!$C$7:$C$306,"&lt;="&amp;FinAnnee))</f>
        <v>624</v>
      </c>
      <c r="E54" s="100"/>
      <c r="F54" s="35">
        <f t="shared" si="3"/>
        <v>0.15388029888288821</v>
      </c>
      <c r="G54" s="114">
        <f t="shared" si="4"/>
        <v>0.29922317061475018</v>
      </c>
      <c r="H54" s="100"/>
      <c r="I54" s="115"/>
      <c r="J54" s="8"/>
      <c r="K54" s="89" t="str">
        <f>IF(Véhicule!$B$25="","",Véhicule!$B$25)</f>
        <v/>
      </c>
      <c r="L54" s="90"/>
      <c r="M54" s="107" t="str">
        <f>IF($K54="","",COUNTIFS(Trajets!$D$7:$D$606,$K54,Trajets!$C$7:$C$606,"&gt;="&amp;DebutAnnee,Trajets!$C$7:$C$606,"&lt;="&amp;FinAnnee))</f>
        <v/>
      </c>
      <c r="N54" s="90"/>
      <c r="O54" s="25" t="str">
        <f>IF($K54="","",SUMIFS(Trajets!$K$7:$K$606,Trajets!$D$7:$D$606,$K54,Trajets!$C$7:$C$606,"&gt;="&amp;DebutAnnee,Trajets!$C$7:$C$606,"&lt;="&amp;FinAnnee))</f>
        <v/>
      </c>
      <c r="P54" s="96" t="str">
        <f>IF($K54="","",SUMIFS(Trajets!$K$7:$K$606,Trajets!$D$7:$D$606,$K54,Trajets!$H$7:$H$606,"Professionnel",Trajets!$C$7:$C$606,"&gt;="&amp;DebutAnnee,Trajets!$C$7:$C$606,"&lt;="&amp;FinAnnee))</f>
        <v/>
      </c>
      <c r="Q54" s="90"/>
      <c r="R54" s="36" t="str">
        <f t="shared" si="5"/>
        <v/>
      </c>
      <c r="S54" s="8"/>
    </row>
    <row r="55" spans="1:19" ht="18.95" customHeight="1" x14ac:dyDescent="0.25">
      <c r="A55" s="8"/>
      <c r="B55" s="116" t="str">
        <f>Véhicule!$R$13</f>
        <v>Péages et stationnement</v>
      </c>
      <c r="C55" s="100"/>
      <c r="D55" s="99">
        <f>IF(B55="",0,SUMIFS('Frais &amp; entretien'!$I$7:$I$306,'Frais &amp; entretien'!$F$7:$F$306,B55,'Frais &amp; entretien'!$C$7:$C$306,"&gt;="&amp;DebutAnnee,'Frais &amp; entretien'!$C$7:$C$306,"&lt;="&amp;FinAnnee))</f>
        <v>467.60000000000019</v>
      </c>
      <c r="E55" s="100"/>
      <c r="F55" s="35">
        <f t="shared" si="3"/>
        <v>0.11531158294493357</v>
      </c>
      <c r="G55" s="114">
        <f t="shared" si="4"/>
        <v>0.22422556823630965</v>
      </c>
      <c r="H55" s="100"/>
      <c r="I55" s="115"/>
      <c r="J55" s="8"/>
      <c r="K55" s="89" t="str">
        <f>IF(Véhicule!$B$26="","",Véhicule!$B$26)</f>
        <v/>
      </c>
      <c r="L55" s="90"/>
      <c r="M55" s="107" t="str">
        <f>IF($K55="","",COUNTIFS(Trajets!$D$7:$D$606,$K55,Trajets!$C$7:$C$606,"&gt;="&amp;DebutAnnee,Trajets!$C$7:$C$606,"&lt;="&amp;FinAnnee))</f>
        <v/>
      </c>
      <c r="N55" s="90"/>
      <c r="O55" s="25" t="str">
        <f>IF($K55="","",SUMIFS(Trajets!$K$7:$K$606,Trajets!$D$7:$D$606,$K55,Trajets!$C$7:$C$606,"&gt;="&amp;DebutAnnee,Trajets!$C$7:$C$606,"&lt;="&amp;FinAnnee))</f>
        <v/>
      </c>
      <c r="P55" s="96" t="str">
        <f>IF($K55="","",SUMIFS(Trajets!$K$7:$K$606,Trajets!$D$7:$D$606,$K55,Trajets!$H$7:$H$606,"Professionnel",Trajets!$C$7:$C$606,"&gt;="&amp;DebutAnnee,Trajets!$C$7:$C$606,"&lt;="&amp;FinAnnee))</f>
        <v/>
      </c>
      <c r="Q55" s="90"/>
      <c r="R55" s="36" t="str">
        <f t="shared" si="5"/>
        <v/>
      </c>
      <c r="S55" s="8"/>
    </row>
    <row r="56" spans="1:19" ht="18.95" customHeight="1" x14ac:dyDescent="0.25">
      <c r="A56" s="8"/>
      <c r="B56" s="116" t="str">
        <f>Véhicule!$R$14</f>
        <v>Lavage et divers</v>
      </c>
      <c r="C56" s="100"/>
      <c r="D56" s="99">
        <f>IF(B56="",0,SUMIFS('Frais &amp; entretien'!$I$7:$I$306,'Frais &amp; entretien'!$F$7:$F$306,B56,'Frais &amp; entretien'!$C$7:$C$306,"&gt;="&amp;DebutAnnee,'Frais &amp; entretien'!$C$7:$C$306,"&lt;="&amp;FinAnnee))</f>
        <v>138.69999999999999</v>
      </c>
      <c r="E56" s="100"/>
      <c r="F56" s="35">
        <f t="shared" si="3"/>
        <v>3.4203842075411203E-2</v>
      </c>
      <c r="G56" s="114">
        <f t="shared" si="4"/>
        <v>6.6510022058118332E-2</v>
      </c>
      <c r="H56" s="100"/>
      <c r="I56" s="115"/>
      <c r="J56" s="8"/>
      <c r="K56" s="89" t="str">
        <f>IF(Véhicule!$B$27="","",Véhicule!$B$27)</f>
        <v/>
      </c>
      <c r="L56" s="90"/>
      <c r="M56" s="107" t="str">
        <f>IF($K56="","",COUNTIFS(Trajets!$D$7:$D$606,$K56,Trajets!$C$7:$C$606,"&gt;="&amp;DebutAnnee,Trajets!$C$7:$C$606,"&lt;="&amp;FinAnnee))</f>
        <v/>
      </c>
      <c r="N56" s="90"/>
      <c r="O56" s="25" t="str">
        <f>IF($K56="","",SUMIFS(Trajets!$K$7:$K$606,Trajets!$D$7:$D$606,$K56,Trajets!$C$7:$C$606,"&gt;="&amp;DebutAnnee,Trajets!$C$7:$C$606,"&lt;="&amp;FinAnnee))</f>
        <v/>
      </c>
      <c r="P56" s="96" t="str">
        <f>IF($K56="","",SUMIFS(Trajets!$K$7:$K$606,Trajets!$D$7:$D$606,$K56,Trajets!$H$7:$H$606,"Professionnel",Trajets!$C$7:$C$606,"&gt;="&amp;DebutAnnee,Trajets!$C$7:$C$606,"&lt;="&amp;FinAnnee))</f>
        <v/>
      </c>
      <c r="Q56" s="90"/>
      <c r="R56" s="36" t="str">
        <f t="shared" si="5"/>
        <v/>
      </c>
      <c r="S56" s="8"/>
    </row>
    <row r="57" spans="1:19" ht="21" customHeight="1" x14ac:dyDescent="0.25">
      <c r="A57" s="8"/>
      <c r="B57" s="134" t="s">
        <v>76</v>
      </c>
      <c r="C57" s="90"/>
      <c r="D57" s="145">
        <f>SUM(D49:D56)</f>
        <v>4055.1000000000004</v>
      </c>
      <c r="E57" s="90"/>
      <c r="F57" s="37">
        <f>IF(D57&gt;0,1,0)</f>
        <v>1</v>
      </c>
      <c r="G57" s="138"/>
      <c r="H57" s="90"/>
      <c r="I57" s="136"/>
      <c r="J57" s="8"/>
      <c r="K57" s="134" t="s">
        <v>76</v>
      </c>
      <c r="L57" s="90"/>
      <c r="M57" s="150">
        <f>SUM(M49:M56)</f>
        <v>201</v>
      </c>
      <c r="N57" s="90"/>
      <c r="O57" s="26">
        <f>SUM(O49:O56)</f>
        <v>19995</v>
      </c>
      <c r="P57" s="113">
        <f>SUM(P49:P56)</f>
        <v>15741</v>
      </c>
      <c r="Q57" s="90"/>
      <c r="R57" s="38">
        <f>IF(N(O57)=0,"",P57/O57)</f>
        <v>0.78724681170292576</v>
      </c>
      <c r="S57" s="8"/>
    </row>
    <row r="58" spans="1:19" ht="20.100000000000001" customHeight="1" x14ac:dyDescent="0.25">
      <c r="A58" s="8"/>
      <c r="B58" s="141" t="str">
        <f>"Frais professionnels à rembourser (péages, stationnement…) : "&amp;FIXED($V$18,2)&amp;" €"</f>
        <v>Frais professionnels à rembourser (péages, stationnement…) : 467,60 €</v>
      </c>
      <c r="C58" s="90"/>
      <c r="D58" s="90"/>
      <c r="E58" s="90"/>
      <c r="F58" s="90"/>
      <c r="G58" s="90"/>
      <c r="H58" s="90"/>
      <c r="I58" s="136"/>
      <c r="J58" s="8"/>
      <c r="K58" s="135" t="str">
        <f>IF(COUNTIF(Trajets!$M$7:$M$606,"Km non enregistrés")+COUNTIF(Trajets!$M$7:$M$606,"Chevauchement")+COUNTIF(Trajets!$M$7:$M$606,"Compteur incohérent")=0,"✓ Continuité du compteur vérifiée sur tous les trajets.","⚠ "&amp;(COUNTIF(Trajets!$M$7:$M$606,"Km non enregistrés")+COUNTIF(Trajets!$M$7:$M$606,"Chevauchement")+COUNTIF(Trajets!$M$7:$M$606,"Compteur incohérent"))&amp;" écart(s) de compteur à justifier dans le journal des trajets.")</f>
        <v>⚠ 1 écart(s) de compteur à justifier dans le journal des trajets.</v>
      </c>
      <c r="L58" s="90"/>
      <c r="M58" s="90"/>
      <c r="N58" s="90"/>
      <c r="O58" s="90"/>
      <c r="P58" s="90"/>
      <c r="Q58" s="90"/>
      <c r="R58" s="136"/>
      <c r="S58" s="8"/>
    </row>
    <row r="59" spans="1:19" ht="6" customHeight="1" x14ac:dyDescent="0.25">
      <c r="A59" s="8"/>
      <c r="B59" s="21"/>
      <c r="C59" s="22"/>
      <c r="D59" s="22"/>
      <c r="E59" s="22"/>
      <c r="F59" s="22"/>
      <c r="G59" s="22"/>
      <c r="H59" s="22"/>
      <c r="I59" s="23"/>
      <c r="J59" s="8"/>
      <c r="K59" s="21"/>
      <c r="L59" s="22"/>
      <c r="M59" s="22"/>
      <c r="N59" s="22"/>
      <c r="O59" s="22"/>
      <c r="P59" s="22"/>
      <c r="Q59" s="22"/>
      <c r="R59" s="23"/>
      <c r="S59" s="8"/>
    </row>
    <row r="60" spans="1:19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</sheetData>
  <mergeCells count="205">
    <mergeCell ref="B58:I58"/>
    <mergeCell ref="B48:C48"/>
    <mergeCell ref="K20:L20"/>
    <mergeCell ref="Q2:R3"/>
    <mergeCell ref="M20:N20"/>
    <mergeCell ref="P21:Q21"/>
    <mergeCell ref="D57:E57"/>
    <mergeCell ref="D32:E32"/>
    <mergeCell ref="D41:E41"/>
    <mergeCell ref="K22:L22"/>
    <mergeCell ref="B8:C8"/>
    <mergeCell ref="M22:N22"/>
    <mergeCell ref="P23:Q23"/>
    <mergeCell ref="K9:L10"/>
    <mergeCell ref="K12:L12"/>
    <mergeCell ref="D43:E43"/>
    <mergeCell ref="P16:Q16"/>
    <mergeCell ref="E11:F11"/>
    <mergeCell ref="K2:O2"/>
    <mergeCell ref="M42:N42"/>
    <mergeCell ref="I39:J39"/>
    <mergeCell ref="P57:Q57"/>
    <mergeCell ref="K48:L48"/>
    <mergeCell ref="P18:Q18"/>
    <mergeCell ref="G57:I57"/>
    <mergeCell ref="P38:Q38"/>
    <mergeCell ref="G49:I49"/>
    <mergeCell ref="K5:R5"/>
    <mergeCell ref="G36:H36"/>
    <mergeCell ref="P44:Q44"/>
    <mergeCell ref="I36:J36"/>
    <mergeCell ref="D40:E40"/>
    <mergeCell ref="P31:Q31"/>
    <mergeCell ref="Q8:R8"/>
    <mergeCell ref="P40:Q40"/>
    <mergeCell ref="K26:R27"/>
    <mergeCell ref="M57:N57"/>
    <mergeCell ref="I38:J38"/>
    <mergeCell ref="D42:E42"/>
    <mergeCell ref="B30:R30"/>
    <mergeCell ref="M32:N32"/>
    <mergeCell ref="P42:Q42"/>
    <mergeCell ref="G31:H31"/>
    <mergeCell ref="G48:I48"/>
    <mergeCell ref="B50:C50"/>
    <mergeCell ref="I31:J31"/>
    <mergeCell ref="G40:H40"/>
    <mergeCell ref="I40:J40"/>
    <mergeCell ref="B57:C57"/>
    <mergeCell ref="N8:O8"/>
    <mergeCell ref="M40:N40"/>
    <mergeCell ref="P17:Q17"/>
    <mergeCell ref="M15:N15"/>
    <mergeCell ref="K58:R58"/>
    <mergeCell ref="K8:L8"/>
    <mergeCell ref="M37:N37"/>
    <mergeCell ref="Q6:R6"/>
    <mergeCell ref="P19:Q19"/>
    <mergeCell ref="K23:L23"/>
    <mergeCell ref="P53:Q53"/>
    <mergeCell ref="C6:E6"/>
    <mergeCell ref="H9:I10"/>
    <mergeCell ref="F6:H6"/>
    <mergeCell ref="D55:E55"/>
    <mergeCell ref="M23:N23"/>
    <mergeCell ref="G32:H32"/>
    <mergeCell ref="M38:N38"/>
    <mergeCell ref="G41:H41"/>
    <mergeCell ref="K57:L57"/>
    <mergeCell ref="D54:E54"/>
    <mergeCell ref="K18:L18"/>
    <mergeCell ref="P54:Q54"/>
    <mergeCell ref="B56:C56"/>
    <mergeCell ref="K54:L54"/>
    <mergeCell ref="M48:N48"/>
    <mergeCell ref="G39:H39"/>
    <mergeCell ref="B52:C52"/>
    <mergeCell ref="K11:L11"/>
    <mergeCell ref="D52:E52"/>
    <mergeCell ref="P56:Q56"/>
    <mergeCell ref="D49:E49"/>
    <mergeCell ref="G37:H37"/>
    <mergeCell ref="I37:J37"/>
    <mergeCell ref="P49:Q49"/>
    <mergeCell ref="M31:N31"/>
    <mergeCell ref="I34:J34"/>
    <mergeCell ref="G43:H43"/>
    <mergeCell ref="M56:N56"/>
    <mergeCell ref="S2:S3"/>
    <mergeCell ref="E9:F10"/>
    <mergeCell ref="P55:Q55"/>
    <mergeCell ref="K16:L16"/>
    <mergeCell ref="B54:C54"/>
    <mergeCell ref="Q9:R10"/>
    <mergeCell ref="M34:N34"/>
    <mergeCell ref="P51:Q51"/>
    <mergeCell ref="G53:I53"/>
    <mergeCell ref="G42:H42"/>
    <mergeCell ref="M55:N55"/>
    <mergeCell ref="M52:N52"/>
    <mergeCell ref="M49:N49"/>
    <mergeCell ref="P41:Q41"/>
    <mergeCell ref="M39:N39"/>
    <mergeCell ref="G55:I55"/>
    <mergeCell ref="P36:Q36"/>
    <mergeCell ref="B14:I14"/>
    <mergeCell ref="G51:I51"/>
    <mergeCell ref="B53:C53"/>
    <mergeCell ref="D53:E53"/>
    <mergeCell ref="K56:L56"/>
    <mergeCell ref="H11:I11"/>
    <mergeCell ref="I43:J43"/>
    <mergeCell ref="G54:I54"/>
    <mergeCell ref="M21:N21"/>
    <mergeCell ref="G33:H33"/>
    <mergeCell ref="I33:J33"/>
    <mergeCell ref="D37:E37"/>
    <mergeCell ref="G56:I56"/>
    <mergeCell ref="M41:N41"/>
    <mergeCell ref="P37:Q37"/>
    <mergeCell ref="K17:L17"/>
    <mergeCell ref="D39:E39"/>
    <mergeCell ref="G35:H35"/>
    <mergeCell ref="M24:N24"/>
    <mergeCell ref="H12:I12"/>
    <mergeCell ref="I35:J35"/>
    <mergeCell ref="D38:E38"/>
    <mergeCell ref="K3:O3"/>
    <mergeCell ref="P35:Q35"/>
    <mergeCell ref="Q12:R12"/>
    <mergeCell ref="D34:E34"/>
    <mergeCell ref="B47:I47"/>
    <mergeCell ref="K15:L15"/>
    <mergeCell ref="M44:N44"/>
    <mergeCell ref="E5:F5"/>
    <mergeCell ref="P50:Q50"/>
    <mergeCell ref="P2:P3"/>
    <mergeCell ref="B9:C10"/>
    <mergeCell ref="K21:L21"/>
    <mergeCell ref="P34:Q34"/>
    <mergeCell ref="N9:O10"/>
    <mergeCell ref="B11:C11"/>
    <mergeCell ref="G38:H38"/>
    <mergeCell ref="I32:J32"/>
    <mergeCell ref="I41:J41"/>
    <mergeCell ref="I6:L6"/>
    <mergeCell ref="N6:O6"/>
    <mergeCell ref="K19:L19"/>
    <mergeCell ref="H5:I5"/>
    <mergeCell ref="D56:E56"/>
    <mergeCell ref="G52:I52"/>
    <mergeCell ref="K14:R14"/>
    <mergeCell ref="B49:C49"/>
    <mergeCell ref="M17:N17"/>
    <mergeCell ref="I44:J44"/>
    <mergeCell ref="B55:C55"/>
    <mergeCell ref="H8:I8"/>
    <mergeCell ref="K53:L53"/>
    <mergeCell ref="P43:Q43"/>
    <mergeCell ref="Q11:R11"/>
    <mergeCell ref="D33:E33"/>
    <mergeCell ref="P15:Q15"/>
    <mergeCell ref="B51:C51"/>
    <mergeCell ref="D51:E51"/>
    <mergeCell ref="P24:Q24"/>
    <mergeCell ref="P33:Q33"/>
    <mergeCell ref="M19:N19"/>
    <mergeCell ref="G44:H44"/>
    <mergeCell ref="M50:N50"/>
    <mergeCell ref="D35:E35"/>
    <mergeCell ref="E12:F12"/>
    <mergeCell ref="K55:L55"/>
    <mergeCell ref="K51:L51"/>
    <mergeCell ref="B12:C12"/>
    <mergeCell ref="M35:N35"/>
    <mergeCell ref="D44:E44"/>
    <mergeCell ref="N12:O12"/>
    <mergeCell ref="M54:N54"/>
    <mergeCell ref="K50:L50"/>
    <mergeCell ref="K47:R47"/>
    <mergeCell ref="D48:E48"/>
    <mergeCell ref="P39:Q39"/>
    <mergeCell ref="M16:N16"/>
    <mergeCell ref="P48:Q48"/>
    <mergeCell ref="G34:H34"/>
    <mergeCell ref="K52:L52"/>
    <mergeCell ref="G50:I50"/>
    <mergeCell ref="I42:J42"/>
    <mergeCell ref="P32:Q32"/>
    <mergeCell ref="M36:N36"/>
    <mergeCell ref="M18:N18"/>
    <mergeCell ref="M33:N33"/>
    <mergeCell ref="M51:N51"/>
    <mergeCell ref="P52:Q52"/>
    <mergeCell ref="M53:N53"/>
    <mergeCell ref="K49:L49"/>
    <mergeCell ref="M43:N43"/>
    <mergeCell ref="N11:O11"/>
    <mergeCell ref="P20:Q20"/>
    <mergeCell ref="K24:L24"/>
    <mergeCell ref="D36:E36"/>
    <mergeCell ref="D31:E31"/>
    <mergeCell ref="D50:E50"/>
    <mergeCell ref="E8:F8"/>
    <mergeCell ref="P22:Q22"/>
  </mergeCells>
  <conditionalFormatting sqref="B32:R43">
    <cfRule type="expression" dxfId="28" priority="7">
      <formula>MOD(ROW(),2)=0</formula>
    </cfRule>
  </conditionalFormatting>
  <conditionalFormatting sqref="G49:I56">
    <cfRule type="dataBar" priority="9">
      <dataBar showValue="0">
        <cfvo type="num" val="0"/>
        <cfvo type="num" val="1"/>
        <color rgb="FFE5661A"/>
      </dataBar>
    </cfRule>
  </conditionalFormatting>
  <conditionalFormatting sqref="K16:R24">
    <cfRule type="expression" dxfId="27" priority="6">
      <formula>$K16&lt;&gt;""</formula>
    </cfRule>
  </conditionalFormatting>
  <conditionalFormatting sqref="K49:R56">
    <cfRule type="expression" dxfId="26" priority="10">
      <formula>$K49&lt;&gt;""</formula>
    </cfRule>
  </conditionalFormatting>
  <conditionalFormatting sqref="K58:R58">
    <cfRule type="expression" dxfId="25" priority="11">
      <formula>LEFT($K$58,1)="✓"</formula>
    </cfRule>
  </conditionalFormatting>
  <conditionalFormatting sqref="O16:Q24">
    <cfRule type="expression" dxfId="24" priority="5">
      <formula>AND(ISNUMBER(O16),O16&lt;0)</formula>
    </cfRule>
  </conditionalFormatting>
  <conditionalFormatting sqref="P32:Q43">
    <cfRule type="dataBar" priority="8">
      <dataBar>
        <cfvo type="num" val="0"/>
        <cfvo type="num" val="1"/>
        <color rgb="FF8FB3DE"/>
      </dataBar>
    </cfRule>
  </conditionalFormatting>
  <conditionalFormatting sqref="R16:R24">
    <cfRule type="expression" dxfId="23" priority="1" stopIfTrue="1">
      <formula>$R16="En retard"</formula>
    </cfRule>
    <cfRule type="expression" dxfId="22" priority="2" stopIfTrue="1">
      <formula>$R16="À prévoir"</formula>
    </cfRule>
    <cfRule type="expression" dxfId="21" priority="3" stopIfTrue="1">
      <formula>$R16="À jour"</formula>
    </cfRule>
    <cfRule type="expression" dxfId="20" priority="4" stopIfTrue="1">
      <formula>$R16="À compléter"</formula>
    </cfRule>
  </conditionalFormatting>
  <dataValidations count="1">
    <dataValidation type="list" allowBlank="1" showInputMessage="1" showErrorMessage="1" errorTitle="Valeur non prévue" error="Choisissez une valeur dans la liste déroulante." promptTitle="Année de suivi" prompt="Année analysée par les indicateurs, la synthèse mensuelle et le graphique." sqref="C5" xr:uid="{00000000-0002-0000-0000-000000000000}">
      <formula1>"2024,2025,2026,2027,2028,2029,2030,2031,2032"</formula1>
    </dataValidation>
  </dataValidations>
  <hyperlinks>
    <hyperlink ref="B6" location="'Trajets'!A1" display="Trajets  ›" xr:uid="{00000000-0004-0000-0000-000000000000}"/>
    <hyperlink ref="C6" location="'Carburant'!A1" display="Carburant  ›" xr:uid="{00000000-0004-0000-0000-000001000000}"/>
    <hyperlink ref="F6" location="'Frais &amp; entretien'!A1" display="Frais &amp; entretien  ›" xr:uid="{00000000-0004-0000-0000-000002000000}"/>
    <hyperlink ref="I6" location="'Échéances'!A1" display="Échéances  ›" xr:uid="{00000000-0004-0000-0000-000003000000}"/>
    <hyperlink ref="N6" location="'Véhicule'!A1" display="Véhicule  ›" xr:uid="{00000000-0004-0000-0000-000004000000}"/>
    <hyperlink ref="Q6" location="'Mode d''emploi'!A1" display="Mode d'emploi  ›" xr:uid="{00000000-0004-0000-0000-000005000000}"/>
  </hyperlinks>
  <printOptions horizontalCentered="1"/>
  <pageMargins left="0.35" right="0.35" top="0.45" bottom="0.55000000000000004" header="0.5" footer="0.5"/>
  <pageSetup paperSize="9" orientation="landscape"/>
  <headerFooter>
    <oddFooter>&amp;L&amp;8 &amp;K7A828CCarnet de bord du véhicule – &amp;A&amp;R&amp;8 &amp;K7A828CPage 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D232B"/>
    <pageSetUpPr fitToPage="1"/>
  </sheetPr>
  <dimension ref="A1:O606"/>
  <sheetViews>
    <sheetView showGridLines="0" workbookViewId="0">
      <pane xSplit="3" ySplit="6" topLeftCell="D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3" customWidth="1"/>
    <col min="2" max="2" width="5" customWidth="1"/>
    <col min="3" max="3" width="11" customWidth="1"/>
    <col min="4" max="4" width="17" customWidth="1"/>
    <col min="5" max="6" width="19" customWidth="1"/>
    <col min="7" max="7" width="40" customWidth="1"/>
    <col min="8" max="8" width="18" customWidth="1"/>
    <col min="9" max="10" width="12" customWidth="1"/>
    <col min="11" max="11" width="10" customWidth="1"/>
    <col min="12" max="12" width="11" customWidth="1"/>
    <col min="13" max="13" width="20" customWidth="1"/>
    <col min="14" max="14" width="32" customWidth="1"/>
    <col min="15" max="15" width="3" customWidth="1"/>
  </cols>
  <sheetData>
    <row r="1" spans="1:15" ht="30" customHeight="1" x14ac:dyDescent="0.35">
      <c r="A1" s="1"/>
      <c r="B1" s="39" t="s">
        <v>87</v>
      </c>
      <c r="N1" s="40" t="str">
        <f>IF(Immatriculation="","",Immatriculation&amp;"   ·   "&amp;TRIM(Marque&amp;" "&amp;Modele))</f>
        <v>GH-482-TK   ·   Voltéra Compacte 1.6 hybride</v>
      </c>
    </row>
    <row r="2" spans="1:15" ht="18" customHeight="1" x14ac:dyDescent="0.25">
      <c r="A2" s="1"/>
      <c r="B2" s="41" t="s">
        <v>88</v>
      </c>
      <c r="N2" s="42" t="str">
        <f>"Kilométrage au compteur : "&amp;FIXED(KmActuel,0)&amp;" km"</f>
        <v>Kilométrage au compteur : 68.387 km</v>
      </c>
    </row>
    <row r="3" spans="1:15" ht="3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21.95" customHeight="1" x14ac:dyDescent="0.25">
      <c r="B4" s="43" t="s">
        <v>89</v>
      </c>
      <c r="I4" s="44" t="s">
        <v>90</v>
      </c>
      <c r="J4" s="153" t="s">
        <v>91</v>
      </c>
      <c r="K4" s="154"/>
      <c r="L4" s="154"/>
    </row>
    <row r="5" spans="1:15" ht="8.1" customHeight="1" x14ac:dyDescent="0.25"/>
    <row r="6" spans="1:15" ht="36" customHeight="1" x14ac:dyDescent="0.25">
      <c r="B6" s="45" t="s">
        <v>92</v>
      </c>
      <c r="C6" s="46" t="s">
        <v>93</v>
      </c>
      <c r="D6" s="46" t="s">
        <v>94</v>
      </c>
      <c r="E6" s="46" t="s">
        <v>95</v>
      </c>
      <c r="F6" s="46" t="s">
        <v>96</v>
      </c>
      <c r="G6" s="46" t="s">
        <v>97</v>
      </c>
      <c r="H6" s="46" t="s">
        <v>98</v>
      </c>
      <c r="I6" s="46" t="s">
        <v>99</v>
      </c>
      <c r="J6" s="46" t="s">
        <v>100</v>
      </c>
      <c r="K6" s="45" t="s">
        <v>101</v>
      </c>
      <c r="L6" s="45" t="s">
        <v>102</v>
      </c>
      <c r="M6" s="45" t="s">
        <v>103</v>
      </c>
      <c r="N6" s="46" t="s">
        <v>104</v>
      </c>
    </row>
    <row r="7" spans="1:15" ht="18" customHeight="1" x14ac:dyDescent="0.25">
      <c r="B7" s="47">
        <f>IF(C7="","",COUNT($C$7:C7))</f>
        <v>1</v>
      </c>
      <c r="C7" s="48">
        <v>46391</v>
      </c>
      <c r="D7" s="49" t="s">
        <v>105</v>
      </c>
      <c r="E7" s="49" t="s">
        <v>106</v>
      </c>
      <c r="F7" s="49" t="s">
        <v>107</v>
      </c>
      <c r="G7" s="49" t="s">
        <v>108</v>
      </c>
      <c r="H7" s="49" t="s">
        <v>109</v>
      </c>
      <c r="I7" s="50">
        <v>48350</v>
      </c>
      <c r="J7" s="50">
        <v>48384</v>
      </c>
      <c r="K7" s="51">
        <f t="shared" ref="K7:K70" si="0">IF(OR(I7="",J7=""),"",J7-I7)</f>
        <v>34</v>
      </c>
      <c r="L7" s="52">
        <f>IF(OR(C7="",I7=""),"",I7-N(KmOuverture))</f>
        <v>0</v>
      </c>
      <c r="M7" s="53" t="str">
        <f>IF(C7="","",IF(OR(D7="",E7="",F7="",H7="",I7="",J7="",AND(H7="Professionnel",G7="")),"Incomplet",IF(FALSE,"",IF(J7&lt;I7,"Compteur incohérent",IF(AND(ISNUMBER(L7),L7&gt;ToleranceKm),"Km non enregistrés",IF(AND(ISNUMBER(L7),L7&lt;-ToleranceKm),"Chevauchement","Conforme"))))))</f>
        <v>Conforme</v>
      </c>
      <c r="N7" s="49"/>
    </row>
    <row r="8" spans="1:15" ht="18" customHeight="1" x14ac:dyDescent="0.25">
      <c r="B8" s="47">
        <f>IF(C8="","",COUNT($C$7:C8))</f>
        <v>2</v>
      </c>
      <c r="C8" s="48">
        <v>46392</v>
      </c>
      <c r="D8" s="49" t="s">
        <v>105</v>
      </c>
      <c r="E8" s="49" t="s">
        <v>106</v>
      </c>
      <c r="F8" s="49" t="s">
        <v>110</v>
      </c>
      <c r="G8" s="49" t="s">
        <v>111</v>
      </c>
      <c r="H8" s="49" t="s">
        <v>112</v>
      </c>
      <c r="I8" s="50">
        <v>48384</v>
      </c>
      <c r="J8" s="50">
        <v>48481</v>
      </c>
      <c r="K8" s="51">
        <f t="shared" si="0"/>
        <v>97</v>
      </c>
      <c r="L8" s="52">
        <f t="shared" ref="L8:L71" si="1">IF(OR(C8="",I8="",J7=""),"",I8-J7)</f>
        <v>0</v>
      </c>
      <c r="M8" s="53" t="str">
        <f t="shared" ref="M8:M71" si="2">IF(C8="","",IF(OR(D8="",E8="",F8="",H8="",I8="",J8="",AND(H8="Professionnel",G8="")),"Incomplet",IF(AND(ISNUMBER(C7),C8&lt;C7),"Ordre des dates",IF(J8&lt;I8,"Compteur incohérent",IF(AND(ISNUMBER(L8),L8&gt;ToleranceKm),"Km non enregistrés",IF(AND(ISNUMBER(L8),L8&lt;-ToleranceKm),"Chevauchement","Conforme"))))))</f>
        <v>Conforme</v>
      </c>
      <c r="N8" s="49"/>
    </row>
    <row r="9" spans="1:15" ht="18" customHeight="1" x14ac:dyDescent="0.25">
      <c r="B9" s="47">
        <f>IF(C9="","",COUNT($C$7:C9))</f>
        <v>3</v>
      </c>
      <c r="C9" s="48">
        <v>46394</v>
      </c>
      <c r="D9" s="49" t="s">
        <v>105</v>
      </c>
      <c r="E9" s="49" t="s">
        <v>106</v>
      </c>
      <c r="F9" s="49" t="s">
        <v>113</v>
      </c>
      <c r="G9" s="49" t="s">
        <v>114</v>
      </c>
      <c r="H9" s="49" t="s">
        <v>112</v>
      </c>
      <c r="I9" s="50">
        <v>48481</v>
      </c>
      <c r="J9" s="50">
        <v>48688</v>
      </c>
      <c r="K9" s="51">
        <f t="shared" si="0"/>
        <v>207</v>
      </c>
      <c r="L9" s="52">
        <f t="shared" si="1"/>
        <v>0</v>
      </c>
      <c r="M9" s="53" t="str">
        <f t="shared" si="2"/>
        <v>Conforme</v>
      </c>
      <c r="N9" s="49"/>
    </row>
    <row r="10" spans="1:15" ht="18" customHeight="1" x14ac:dyDescent="0.25">
      <c r="B10" s="47">
        <f>IF(C10="","",COUNT($C$7:C10))</f>
        <v>4</v>
      </c>
      <c r="C10" s="48">
        <v>46396</v>
      </c>
      <c r="D10" s="49" t="s">
        <v>105</v>
      </c>
      <c r="E10" s="49" t="s">
        <v>106</v>
      </c>
      <c r="F10" s="49" t="s">
        <v>115</v>
      </c>
      <c r="G10" s="49" t="s">
        <v>116</v>
      </c>
      <c r="H10" s="49" t="s">
        <v>117</v>
      </c>
      <c r="I10" s="50">
        <v>48688</v>
      </c>
      <c r="J10" s="50">
        <v>48704</v>
      </c>
      <c r="K10" s="51">
        <f t="shared" si="0"/>
        <v>16</v>
      </c>
      <c r="L10" s="52">
        <f t="shared" si="1"/>
        <v>0</v>
      </c>
      <c r="M10" s="53" t="str">
        <f t="shared" si="2"/>
        <v>Conforme</v>
      </c>
      <c r="N10" s="49"/>
    </row>
    <row r="11" spans="1:15" ht="18" customHeight="1" x14ac:dyDescent="0.25">
      <c r="B11" s="47">
        <f>IF(C11="","",COUNT($C$7:C11))</f>
        <v>5</v>
      </c>
      <c r="C11" s="48">
        <v>46398</v>
      </c>
      <c r="D11" s="49" t="s">
        <v>105</v>
      </c>
      <c r="E11" s="49" t="s">
        <v>106</v>
      </c>
      <c r="F11" s="49" t="s">
        <v>107</v>
      </c>
      <c r="G11" s="49" t="s">
        <v>108</v>
      </c>
      <c r="H11" s="49" t="s">
        <v>109</v>
      </c>
      <c r="I11" s="50">
        <v>48704</v>
      </c>
      <c r="J11" s="50">
        <v>48738</v>
      </c>
      <c r="K11" s="51">
        <f t="shared" si="0"/>
        <v>34</v>
      </c>
      <c r="L11" s="52">
        <f t="shared" si="1"/>
        <v>0</v>
      </c>
      <c r="M11" s="53" t="str">
        <f t="shared" si="2"/>
        <v>Conforme</v>
      </c>
      <c r="N11" s="49"/>
    </row>
    <row r="12" spans="1:15" ht="18" customHeight="1" x14ac:dyDescent="0.25">
      <c r="B12" s="47">
        <f>IF(C12="","",COUNT($C$7:C12))</f>
        <v>6</v>
      </c>
      <c r="C12" s="48">
        <v>46399</v>
      </c>
      <c r="D12" s="49" t="s">
        <v>105</v>
      </c>
      <c r="E12" s="49" t="s">
        <v>106</v>
      </c>
      <c r="F12" s="49" t="s">
        <v>118</v>
      </c>
      <c r="G12" s="49" t="s">
        <v>119</v>
      </c>
      <c r="H12" s="49" t="s">
        <v>112</v>
      </c>
      <c r="I12" s="50">
        <v>48738</v>
      </c>
      <c r="J12" s="50">
        <v>48885</v>
      </c>
      <c r="K12" s="51">
        <f t="shared" si="0"/>
        <v>147</v>
      </c>
      <c r="L12" s="52">
        <f t="shared" si="1"/>
        <v>0</v>
      </c>
      <c r="M12" s="53" t="str">
        <f t="shared" si="2"/>
        <v>Conforme</v>
      </c>
      <c r="N12" s="49"/>
    </row>
    <row r="13" spans="1:15" ht="18" customHeight="1" x14ac:dyDescent="0.25">
      <c r="B13" s="47">
        <f>IF(C13="","",COUNT($C$7:C13))</f>
        <v>7</v>
      </c>
      <c r="C13" s="48">
        <v>46400</v>
      </c>
      <c r="D13" s="49" t="s">
        <v>105</v>
      </c>
      <c r="E13" s="49" t="s">
        <v>106</v>
      </c>
      <c r="F13" s="49" t="s">
        <v>120</v>
      </c>
      <c r="G13" s="49" t="s">
        <v>121</v>
      </c>
      <c r="H13" s="49" t="s">
        <v>112</v>
      </c>
      <c r="I13" s="50">
        <v>48885</v>
      </c>
      <c r="J13" s="50">
        <v>49056</v>
      </c>
      <c r="K13" s="51">
        <f t="shared" si="0"/>
        <v>171</v>
      </c>
      <c r="L13" s="52">
        <f t="shared" si="1"/>
        <v>0</v>
      </c>
      <c r="M13" s="53" t="str">
        <f t="shared" si="2"/>
        <v>Conforme</v>
      </c>
      <c r="N13" s="49"/>
    </row>
    <row r="14" spans="1:15" ht="18" customHeight="1" x14ac:dyDescent="0.25">
      <c r="B14" s="47">
        <f>IF(C14="","",COUNT($C$7:C14))</f>
        <v>8</v>
      </c>
      <c r="C14" s="48">
        <v>46402</v>
      </c>
      <c r="D14" s="49" t="s">
        <v>105</v>
      </c>
      <c r="E14" s="49" t="s">
        <v>106</v>
      </c>
      <c r="F14" s="49" t="s">
        <v>110</v>
      </c>
      <c r="G14" s="49" t="s">
        <v>111</v>
      </c>
      <c r="H14" s="49" t="s">
        <v>112</v>
      </c>
      <c r="I14" s="50">
        <v>49056</v>
      </c>
      <c r="J14" s="50">
        <v>49153</v>
      </c>
      <c r="K14" s="51">
        <f t="shared" si="0"/>
        <v>97</v>
      </c>
      <c r="L14" s="52">
        <f t="shared" si="1"/>
        <v>0</v>
      </c>
      <c r="M14" s="53" t="str">
        <f t="shared" si="2"/>
        <v>Conforme</v>
      </c>
      <c r="N14" s="49"/>
    </row>
    <row r="15" spans="1:15" ht="18" customHeight="1" x14ac:dyDescent="0.25">
      <c r="B15" s="47">
        <f>IF(C15="","",COUNT($C$7:C15))</f>
        <v>9</v>
      </c>
      <c r="C15" s="48">
        <v>46403</v>
      </c>
      <c r="D15" s="49" t="s">
        <v>105</v>
      </c>
      <c r="E15" s="49" t="s">
        <v>106</v>
      </c>
      <c r="F15" s="49" t="s">
        <v>122</v>
      </c>
      <c r="G15" s="49" t="s">
        <v>123</v>
      </c>
      <c r="H15" s="49" t="s">
        <v>117</v>
      </c>
      <c r="I15" s="50">
        <v>49153</v>
      </c>
      <c r="J15" s="50">
        <v>49221</v>
      </c>
      <c r="K15" s="51">
        <f t="shared" si="0"/>
        <v>68</v>
      </c>
      <c r="L15" s="52">
        <f t="shared" si="1"/>
        <v>0</v>
      </c>
      <c r="M15" s="53" t="str">
        <f t="shared" si="2"/>
        <v>Conforme</v>
      </c>
      <c r="N15" s="49"/>
    </row>
    <row r="16" spans="1:15" ht="18" customHeight="1" x14ac:dyDescent="0.25">
      <c r="B16" s="47">
        <f>IF(C16="","",COUNT($C$7:C16))</f>
        <v>10</v>
      </c>
      <c r="C16" s="48">
        <v>46405</v>
      </c>
      <c r="D16" s="49" t="s">
        <v>105</v>
      </c>
      <c r="E16" s="49" t="s">
        <v>106</v>
      </c>
      <c r="F16" s="49" t="s">
        <v>107</v>
      </c>
      <c r="G16" s="49" t="s">
        <v>108</v>
      </c>
      <c r="H16" s="49" t="s">
        <v>109</v>
      </c>
      <c r="I16" s="50">
        <v>49221</v>
      </c>
      <c r="J16" s="50">
        <v>49255</v>
      </c>
      <c r="K16" s="51">
        <f t="shared" si="0"/>
        <v>34</v>
      </c>
      <c r="L16" s="52">
        <f t="shared" si="1"/>
        <v>0</v>
      </c>
      <c r="M16" s="53" t="str">
        <f t="shared" si="2"/>
        <v>Conforme</v>
      </c>
      <c r="N16" s="49"/>
    </row>
    <row r="17" spans="2:14" ht="18" customHeight="1" x14ac:dyDescent="0.25">
      <c r="B17" s="47">
        <f>IF(C17="","",COUNT($C$7:C17))</f>
        <v>11</v>
      </c>
      <c r="C17" s="48">
        <v>46406</v>
      </c>
      <c r="D17" s="49" t="s">
        <v>105</v>
      </c>
      <c r="E17" s="49" t="s">
        <v>106</v>
      </c>
      <c r="F17" s="49" t="s">
        <v>124</v>
      </c>
      <c r="G17" s="49" t="s">
        <v>125</v>
      </c>
      <c r="H17" s="49" t="s">
        <v>112</v>
      </c>
      <c r="I17" s="50">
        <v>49255</v>
      </c>
      <c r="J17" s="50">
        <v>49369</v>
      </c>
      <c r="K17" s="51">
        <f t="shared" si="0"/>
        <v>114</v>
      </c>
      <c r="L17" s="52">
        <f t="shared" si="1"/>
        <v>0</v>
      </c>
      <c r="M17" s="53" t="str">
        <f t="shared" si="2"/>
        <v>Conforme</v>
      </c>
      <c r="N17" s="49"/>
    </row>
    <row r="18" spans="2:14" ht="18" customHeight="1" x14ac:dyDescent="0.25">
      <c r="B18" s="47">
        <f>IF(C18="","",COUNT($C$7:C18))</f>
        <v>12</v>
      </c>
      <c r="C18" s="48">
        <v>46408</v>
      </c>
      <c r="D18" s="49" t="s">
        <v>105</v>
      </c>
      <c r="E18" s="49" t="s">
        <v>106</v>
      </c>
      <c r="F18" s="49" t="s">
        <v>110</v>
      </c>
      <c r="G18" s="49" t="s">
        <v>111</v>
      </c>
      <c r="H18" s="49" t="s">
        <v>112</v>
      </c>
      <c r="I18" s="50">
        <v>49369</v>
      </c>
      <c r="J18" s="50">
        <v>49473</v>
      </c>
      <c r="K18" s="51">
        <f t="shared" si="0"/>
        <v>104</v>
      </c>
      <c r="L18" s="52">
        <f t="shared" si="1"/>
        <v>0</v>
      </c>
      <c r="M18" s="53" t="str">
        <f t="shared" si="2"/>
        <v>Conforme</v>
      </c>
      <c r="N18" s="49"/>
    </row>
    <row r="19" spans="2:14" ht="18" customHeight="1" x14ac:dyDescent="0.25">
      <c r="B19" s="47">
        <f>IF(C19="","",COUNT($C$7:C19))</f>
        <v>13</v>
      </c>
      <c r="C19" s="48">
        <v>46410</v>
      </c>
      <c r="D19" s="49" t="s">
        <v>105</v>
      </c>
      <c r="E19" s="49" t="s">
        <v>106</v>
      </c>
      <c r="F19" s="49" t="s">
        <v>126</v>
      </c>
      <c r="G19" s="49" t="s">
        <v>127</v>
      </c>
      <c r="H19" s="49" t="s">
        <v>117</v>
      </c>
      <c r="I19" s="50">
        <v>49473</v>
      </c>
      <c r="J19" s="50">
        <v>49491</v>
      </c>
      <c r="K19" s="51">
        <f t="shared" si="0"/>
        <v>18</v>
      </c>
      <c r="L19" s="52">
        <f t="shared" si="1"/>
        <v>0</v>
      </c>
      <c r="M19" s="53" t="str">
        <f t="shared" si="2"/>
        <v>Conforme</v>
      </c>
      <c r="N19" s="49"/>
    </row>
    <row r="20" spans="2:14" ht="18" customHeight="1" x14ac:dyDescent="0.25">
      <c r="B20" s="47">
        <f>IF(C20="","",COUNT($C$7:C20))</f>
        <v>14</v>
      </c>
      <c r="C20" s="48">
        <v>46412</v>
      </c>
      <c r="D20" s="49" t="s">
        <v>105</v>
      </c>
      <c r="E20" s="49" t="s">
        <v>106</v>
      </c>
      <c r="F20" s="49" t="s">
        <v>107</v>
      </c>
      <c r="G20" s="49" t="s">
        <v>108</v>
      </c>
      <c r="H20" s="49" t="s">
        <v>109</v>
      </c>
      <c r="I20" s="50">
        <v>49491</v>
      </c>
      <c r="J20" s="50">
        <v>49525</v>
      </c>
      <c r="K20" s="51">
        <f t="shared" si="0"/>
        <v>34</v>
      </c>
      <c r="L20" s="52">
        <f t="shared" si="1"/>
        <v>0</v>
      </c>
      <c r="M20" s="53" t="str">
        <f t="shared" si="2"/>
        <v>Conforme</v>
      </c>
      <c r="N20" s="49"/>
    </row>
    <row r="21" spans="2:14" ht="18" customHeight="1" x14ac:dyDescent="0.25">
      <c r="B21" s="47">
        <f>IF(C21="","",COUNT($C$7:C21))</f>
        <v>15</v>
      </c>
      <c r="C21" s="48">
        <v>46413</v>
      </c>
      <c r="D21" s="49" t="s">
        <v>105</v>
      </c>
      <c r="E21" s="49" t="s">
        <v>106</v>
      </c>
      <c r="F21" s="49" t="s">
        <v>128</v>
      </c>
      <c r="G21" s="49" t="s">
        <v>129</v>
      </c>
      <c r="H21" s="49" t="s">
        <v>112</v>
      </c>
      <c r="I21" s="50">
        <v>49525</v>
      </c>
      <c r="J21" s="50">
        <v>49609</v>
      </c>
      <c r="K21" s="51">
        <f t="shared" si="0"/>
        <v>84</v>
      </c>
      <c r="L21" s="52">
        <f t="shared" si="1"/>
        <v>0</v>
      </c>
      <c r="M21" s="53" t="str">
        <f t="shared" si="2"/>
        <v>Conforme</v>
      </c>
      <c r="N21" s="49"/>
    </row>
    <row r="22" spans="2:14" ht="18" customHeight="1" x14ac:dyDescent="0.25">
      <c r="B22" s="47">
        <f>IF(C22="","",COUNT($C$7:C22))</f>
        <v>16</v>
      </c>
      <c r="C22" s="48">
        <v>46415</v>
      </c>
      <c r="D22" s="49" t="s">
        <v>105</v>
      </c>
      <c r="E22" s="49" t="s">
        <v>106</v>
      </c>
      <c r="F22" s="49" t="s">
        <v>124</v>
      </c>
      <c r="G22" s="49" t="s">
        <v>125</v>
      </c>
      <c r="H22" s="49" t="s">
        <v>112</v>
      </c>
      <c r="I22" s="50">
        <v>49609</v>
      </c>
      <c r="J22" s="50">
        <v>49727</v>
      </c>
      <c r="K22" s="51">
        <f t="shared" si="0"/>
        <v>118</v>
      </c>
      <c r="L22" s="52">
        <f t="shared" si="1"/>
        <v>0</v>
      </c>
      <c r="M22" s="53" t="str">
        <f t="shared" si="2"/>
        <v>Conforme</v>
      </c>
      <c r="N22" s="49"/>
    </row>
    <row r="23" spans="2:14" ht="18" customHeight="1" x14ac:dyDescent="0.25">
      <c r="B23" s="47">
        <f>IF(C23="","",COUNT($C$7:C23))</f>
        <v>17</v>
      </c>
      <c r="C23" s="48">
        <v>46417</v>
      </c>
      <c r="D23" s="49" t="s">
        <v>105</v>
      </c>
      <c r="E23" s="49" t="s">
        <v>106</v>
      </c>
      <c r="F23" s="49" t="s">
        <v>130</v>
      </c>
      <c r="G23" s="49" t="s">
        <v>131</v>
      </c>
      <c r="H23" s="49" t="s">
        <v>117</v>
      </c>
      <c r="I23" s="50">
        <v>49727</v>
      </c>
      <c r="J23" s="50">
        <v>49751</v>
      </c>
      <c r="K23" s="51">
        <f t="shared" si="0"/>
        <v>24</v>
      </c>
      <c r="L23" s="52">
        <f t="shared" si="1"/>
        <v>0</v>
      </c>
      <c r="M23" s="53" t="str">
        <f t="shared" si="2"/>
        <v>Conforme</v>
      </c>
      <c r="N23" s="49"/>
    </row>
    <row r="24" spans="2:14" ht="18" customHeight="1" x14ac:dyDescent="0.25">
      <c r="B24" s="47">
        <f>IF(C24="","",COUNT($C$7:C24))</f>
        <v>18</v>
      </c>
      <c r="C24" s="48">
        <v>46419</v>
      </c>
      <c r="D24" s="49" t="s">
        <v>105</v>
      </c>
      <c r="E24" s="49" t="s">
        <v>106</v>
      </c>
      <c r="F24" s="49" t="s">
        <v>107</v>
      </c>
      <c r="G24" s="49" t="s">
        <v>108</v>
      </c>
      <c r="H24" s="49" t="s">
        <v>109</v>
      </c>
      <c r="I24" s="50">
        <v>49751</v>
      </c>
      <c r="J24" s="50">
        <v>49785</v>
      </c>
      <c r="K24" s="51">
        <f t="shared" si="0"/>
        <v>34</v>
      </c>
      <c r="L24" s="52">
        <f t="shared" si="1"/>
        <v>0</v>
      </c>
      <c r="M24" s="53" t="str">
        <f t="shared" si="2"/>
        <v>Conforme</v>
      </c>
      <c r="N24" s="49"/>
    </row>
    <row r="25" spans="2:14" ht="18" customHeight="1" x14ac:dyDescent="0.25">
      <c r="B25" s="47">
        <f>IF(C25="","",COUNT($C$7:C25))</f>
        <v>19</v>
      </c>
      <c r="C25" s="48">
        <v>46420</v>
      </c>
      <c r="D25" s="49" t="s">
        <v>105</v>
      </c>
      <c r="E25" s="49" t="s">
        <v>106</v>
      </c>
      <c r="F25" s="49" t="s">
        <v>120</v>
      </c>
      <c r="G25" s="49" t="s">
        <v>132</v>
      </c>
      <c r="H25" s="49" t="s">
        <v>112</v>
      </c>
      <c r="I25" s="50">
        <v>49785</v>
      </c>
      <c r="J25" s="50">
        <v>49955</v>
      </c>
      <c r="K25" s="51">
        <f t="shared" si="0"/>
        <v>170</v>
      </c>
      <c r="L25" s="52">
        <f t="shared" si="1"/>
        <v>0</v>
      </c>
      <c r="M25" s="53" t="str">
        <f t="shared" si="2"/>
        <v>Conforme</v>
      </c>
      <c r="N25" s="49"/>
    </row>
    <row r="26" spans="2:14" ht="18" customHeight="1" x14ac:dyDescent="0.25">
      <c r="B26" s="47">
        <f>IF(C26="","",COUNT($C$7:C26))</f>
        <v>20</v>
      </c>
      <c r="C26" s="48">
        <v>46422</v>
      </c>
      <c r="D26" s="49" t="s">
        <v>105</v>
      </c>
      <c r="E26" s="49" t="s">
        <v>106</v>
      </c>
      <c r="F26" s="49" t="s">
        <v>124</v>
      </c>
      <c r="G26" s="49" t="s">
        <v>125</v>
      </c>
      <c r="H26" s="49" t="s">
        <v>112</v>
      </c>
      <c r="I26" s="50">
        <v>49955</v>
      </c>
      <c r="J26" s="50">
        <v>50073</v>
      </c>
      <c r="K26" s="51">
        <f t="shared" si="0"/>
        <v>118</v>
      </c>
      <c r="L26" s="52">
        <f t="shared" si="1"/>
        <v>0</v>
      </c>
      <c r="M26" s="53" t="str">
        <f t="shared" si="2"/>
        <v>Conforme</v>
      </c>
      <c r="N26" s="49"/>
    </row>
    <row r="27" spans="2:14" ht="18" customHeight="1" x14ac:dyDescent="0.25">
      <c r="B27" s="47">
        <f>IF(C27="","",COUNT($C$7:C27))</f>
        <v>21</v>
      </c>
      <c r="C27" s="48">
        <v>46424</v>
      </c>
      <c r="D27" s="49" t="s">
        <v>133</v>
      </c>
      <c r="E27" s="49" t="s">
        <v>106</v>
      </c>
      <c r="F27" s="49" t="s">
        <v>122</v>
      </c>
      <c r="G27" s="49" t="s">
        <v>123</v>
      </c>
      <c r="H27" s="49" t="s">
        <v>117</v>
      </c>
      <c r="I27" s="50">
        <v>50073</v>
      </c>
      <c r="J27" s="50">
        <v>50139</v>
      </c>
      <c r="K27" s="51">
        <f t="shared" si="0"/>
        <v>66</v>
      </c>
      <c r="L27" s="52">
        <f t="shared" si="1"/>
        <v>0</v>
      </c>
      <c r="M27" s="53" t="str">
        <f t="shared" si="2"/>
        <v>Conforme</v>
      </c>
      <c r="N27" s="49"/>
    </row>
    <row r="28" spans="2:14" ht="18" customHeight="1" x14ac:dyDescent="0.25">
      <c r="B28" s="47">
        <f>IF(C28="","",COUNT($C$7:C28))</f>
        <v>22</v>
      </c>
      <c r="C28" s="48">
        <v>46426</v>
      </c>
      <c r="D28" s="49" t="s">
        <v>105</v>
      </c>
      <c r="E28" s="49" t="s">
        <v>106</v>
      </c>
      <c r="F28" s="49" t="s">
        <v>107</v>
      </c>
      <c r="G28" s="49" t="s">
        <v>108</v>
      </c>
      <c r="H28" s="49" t="s">
        <v>109</v>
      </c>
      <c r="I28" s="50">
        <v>50139</v>
      </c>
      <c r="J28" s="50">
        <v>50173</v>
      </c>
      <c r="K28" s="51">
        <f t="shared" si="0"/>
        <v>34</v>
      </c>
      <c r="L28" s="52">
        <f t="shared" si="1"/>
        <v>0</v>
      </c>
      <c r="M28" s="53" t="str">
        <f t="shared" si="2"/>
        <v>Conforme</v>
      </c>
      <c r="N28" s="49"/>
    </row>
    <row r="29" spans="2:14" ht="18" customHeight="1" x14ac:dyDescent="0.25">
      <c r="B29" s="47">
        <f>IF(C29="","",COUNT($C$7:C29))</f>
        <v>23</v>
      </c>
      <c r="C29" s="48">
        <v>46427</v>
      </c>
      <c r="D29" s="49" t="s">
        <v>105</v>
      </c>
      <c r="E29" s="49" t="s">
        <v>106</v>
      </c>
      <c r="F29" s="49" t="s">
        <v>110</v>
      </c>
      <c r="G29" s="49" t="s">
        <v>111</v>
      </c>
      <c r="H29" s="49" t="s">
        <v>112</v>
      </c>
      <c r="I29" s="50">
        <v>50173</v>
      </c>
      <c r="J29" s="50">
        <v>50276</v>
      </c>
      <c r="K29" s="51">
        <f t="shared" si="0"/>
        <v>103</v>
      </c>
      <c r="L29" s="52">
        <f t="shared" si="1"/>
        <v>0</v>
      </c>
      <c r="M29" s="53" t="str">
        <f t="shared" si="2"/>
        <v>Conforme</v>
      </c>
      <c r="N29" s="49"/>
    </row>
    <row r="30" spans="2:14" ht="18" customHeight="1" x14ac:dyDescent="0.25">
      <c r="B30" s="47">
        <f>IF(C30="","",COUNT($C$7:C30))</f>
        <v>24</v>
      </c>
      <c r="C30" s="48">
        <v>46429</v>
      </c>
      <c r="D30" s="49" t="s">
        <v>105</v>
      </c>
      <c r="E30" s="49" t="s">
        <v>106</v>
      </c>
      <c r="F30" s="49" t="s">
        <v>113</v>
      </c>
      <c r="G30" s="49" t="s">
        <v>114</v>
      </c>
      <c r="H30" s="49" t="s">
        <v>112</v>
      </c>
      <c r="I30" s="50">
        <v>50276</v>
      </c>
      <c r="J30" s="50">
        <v>50483</v>
      </c>
      <c r="K30" s="51">
        <f t="shared" si="0"/>
        <v>207</v>
      </c>
      <c r="L30" s="52">
        <f t="shared" si="1"/>
        <v>0</v>
      </c>
      <c r="M30" s="53" t="str">
        <f t="shared" si="2"/>
        <v>Conforme</v>
      </c>
      <c r="N30" s="49"/>
    </row>
    <row r="31" spans="2:14" ht="18" customHeight="1" x14ac:dyDescent="0.25">
      <c r="B31" s="47">
        <f>IF(C31="","",COUNT($C$7:C31))</f>
        <v>25</v>
      </c>
      <c r="C31" s="48">
        <v>46431</v>
      </c>
      <c r="D31" s="49" t="s">
        <v>105</v>
      </c>
      <c r="E31" s="49" t="s">
        <v>106</v>
      </c>
      <c r="F31" s="49" t="s">
        <v>126</v>
      </c>
      <c r="G31" s="49" t="s">
        <v>127</v>
      </c>
      <c r="H31" s="49" t="s">
        <v>117</v>
      </c>
      <c r="I31" s="50">
        <v>50483</v>
      </c>
      <c r="J31" s="50">
        <v>50498</v>
      </c>
      <c r="K31" s="51">
        <f t="shared" si="0"/>
        <v>15</v>
      </c>
      <c r="L31" s="52">
        <f t="shared" si="1"/>
        <v>0</v>
      </c>
      <c r="M31" s="53" t="str">
        <f t="shared" si="2"/>
        <v>Conforme</v>
      </c>
      <c r="N31" s="49"/>
    </row>
    <row r="32" spans="2:14" ht="18" customHeight="1" x14ac:dyDescent="0.25">
      <c r="B32" s="47">
        <f>IF(C32="","",COUNT($C$7:C32))</f>
        <v>26</v>
      </c>
      <c r="C32" s="48">
        <v>46433</v>
      </c>
      <c r="D32" s="49" t="s">
        <v>105</v>
      </c>
      <c r="E32" s="49" t="s">
        <v>106</v>
      </c>
      <c r="F32" s="49" t="s">
        <v>107</v>
      </c>
      <c r="G32" s="49" t="s">
        <v>108</v>
      </c>
      <c r="H32" s="49" t="s">
        <v>109</v>
      </c>
      <c r="I32" s="50">
        <v>50498</v>
      </c>
      <c r="J32" s="50">
        <v>50532</v>
      </c>
      <c r="K32" s="51">
        <f t="shared" si="0"/>
        <v>34</v>
      </c>
      <c r="L32" s="52">
        <f t="shared" si="1"/>
        <v>0</v>
      </c>
      <c r="M32" s="53" t="str">
        <f t="shared" si="2"/>
        <v>Conforme</v>
      </c>
      <c r="N32" s="49"/>
    </row>
    <row r="33" spans="2:14" ht="18" customHeight="1" x14ac:dyDescent="0.25">
      <c r="B33" s="47">
        <f>IF(C33="","",COUNT($C$7:C33))</f>
        <v>27</v>
      </c>
      <c r="C33" s="48">
        <v>46434</v>
      </c>
      <c r="D33" s="49" t="s">
        <v>105</v>
      </c>
      <c r="E33" s="49" t="s">
        <v>106</v>
      </c>
      <c r="F33" s="49" t="s">
        <v>118</v>
      </c>
      <c r="G33" s="49" t="s">
        <v>119</v>
      </c>
      <c r="H33" s="49" t="s">
        <v>112</v>
      </c>
      <c r="I33" s="50">
        <v>50532</v>
      </c>
      <c r="J33" s="50">
        <v>50686</v>
      </c>
      <c r="K33" s="51">
        <f t="shared" si="0"/>
        <v>154</v>
      </c>
      <c r="L33" s="52">
        <f t="shared" si="1"/>
        <v>0</v>
      </c>
      <c r="M33" s="53" t="str">
        <f t="shared" si="2"/>
        <v>Conforme</v>
      </c>
      <c r="N33" s="49"/>
    </row>
    <row r="34" spans="2:14" ht="18" customHeight="1" x14ac:dyDescent="0.25">
      <c r="B34" s="47">
        <f>IF(C34="","",COUNT($C$7:C34))</f>
        <v>28</v>
      </c>
      <c r="C34" s="48">
        <v>46435</v>
      </c>
      <c r="D34" s="49" t="s">
        <v>105</v>
      </c>
      <c r="E34" s="49" t="s">
        <v>106</v>
      </c>
      <c r="F34" s="49" t="s">
        <v>124</v>
      </c>
      <c r="G34" s="49" t="s">
        <v>125</v>
      </c>
      <c r="H34" s="49" t="s">
        <v>112</v>
      </c>
      <c r="I34" s="50">
        <v>50686</v>
      </c>
      <c r="J34" s="50">
        <v>50801</v>
      </c>
      <c r="K34" s="51">
        <f t="shared" si="0"/>
        <v>115</v>
      </c>
      <c r="L34" s="52">
        <f t="shared" si="1"/>
        <v>0</v>
      </c>
      <c r="M34" s="53" t="str">
        <f t="shared" si="2"/>
        <v>Conforme</v>
      </c>
      <c r="N34" s="49"/>
    </row>
    <row r="35" spans="2:14" ht="18" customHeight="1" x14ac:dyDescent="0.25">
      <c r="B35" s="47">
        <f>IF(C35="","",COUNT($C$7:C35))</f>
        <v>29</v>
      </c>
      <c r="C35" s="48">
        <v>46437</v>
      </c>
      <c r="D35" s="49" t="s">
        <v>105</v>
      </c>
      <c r="E35" s="49" t="s">
        <v>106</v>
      </c>
      <c r="F35" s="49" t="s">
        <v>134</v>
      </c>
      <c r="G35" s="49" t="s">
        <v>135</v>
      </c>
      <c r="H35" s="49" t="s">
        <v>112</v>
      </c>
      <c r="I35" s="50">
        <v>50801</v>
      </c>
      <c r="J35" s="50">
        <v>50999</v>
      </c>
      <c r="K35" s="51">
        <f t="shared" si="0"/>
        <v>198</v>
      </c>
      <c r="L35" s="52">
        <f t="shared" si="1"/>
        <v>0</v>
      </c>
      <c r="M35" s="53" t="str">
        <f t="shared" si="2"/>
        <v>Conforme</v>
      </c>
      <c r="N35" s="49"/>
    </row>
    <row r="36" spans="2:14" ht="18" customHeight="1" x14ac:dyDescent="0.25">
      <c r="B36" s="47">
        <f>IF(C36="","",COUNT($C$7:C36))</f>
        <v>30</v>
      </c>
      <c r="C36" s="48">
        <v>46438</v>
      </c>
      <c r="D36" s="49" t="s">
        <v>133</v>
      </c>
      <c r="E36" s="49" t="s">
        <v>106</v>
      </c>
      <c r="F36" s="49" t="s">
        <v>122</v>
      </c>
      <c r="G36" s="49" t="s">
        <v>123</v>
      </c>
      <c r="H36" s="49" t="s">
        <v>117</v>
      </c>
      <c r="I36" s="50">
        <v>50999</v>
      </c>
      <c r="J36" s="50">
        <v>51067</v>
      </c>
      <c r="K36" s="51">
        <f t="shared" si="0"/>
        <v>68</v>
      </c>
      <c r="L36" s="52">
        <f t="shared" si="1"/>
        <v>0</v>
      </c>
      <c r="M36" s="53" t="str">
        <f t="shared" si="2"/>
        <v>Conforme</v>
      </c>
      <c r="N36" s="49"/>
    </row>
    <row r="37" spans="2:14" ht="18" customHeight="1" x14ac:dyDescent="0.25">
      <c r="B37" s="47">
        <f>IF(C37="","",COUNT($C$7:C37))</f>
        <v>31</v>
      </c>
      <c r="C37" s="48">
        <v>46440</v>
      </c>
      <c r="D37" s="49" t="s">
        <v>105</v>
      </c>
      <c r="E37" s="49" t="s">
        <v>106</v>
      </c>
      <c r="F37" s="49" t="s">
        <v>107</v>
      </c>
      <c r="G37" s="49" t="s">
        <v>108</v>
      </c>
      <c r="H37" s="49" t="s">
        <v>109</v>
      </c>
      <c r="I37" s="50">
        <v>51067</v>
      </c>
      <c r="J37" s="50">
        <v>51101</v>
      </c>
      <c r="K37" s="51">
        <f t="shared" si="0"/>
        <v>34</v>
      </c>
      <c r="L37" s="52">
        <f t="shared" si="1"/>
        <v>0</v>
      </c>
      <c r="M37" s="53" t="str">
        <f t="shared" si="2"/>
        <v>Conforme</v>
      </c>
      <c r="N37" s="49"/>
    </row>
    <row r="38" spans="2:14" ht="18" customHeight="1" x14ac:dyDescent="0.25">
      <c r="B38" s="47">
        <f>IF(C38="","",COUNT($C$7:C38))</f>
        <v>32</v>
      </c>
      <c r="C38" s="48">
        <v>46441</v>
      </c>
      <c r="D38" s="49" t="s">
        <v>105</v>
      </c>
      <c r="E38" s="49" t="s">
        <v>106</v>
      </c>
      <c r="F38" s="49" t="s">
        <v>120</v>
      </c>
      <c r="G38" s="49" t="s">
        <v>132</v>
      </c>
      <c r="H38" s="49" t="s">
        <v>112</v>
      </c>
      <c r="I38" s="50">
        <v>51101</v>
      </c>
      <c r="J38" s="50">
        <v>51277</v>
      </c>
      <c r="K38" s="51">
        <f t="shared" si="0"/>
        <v>176</v>
      </c>
      <c r="L38" s="52">
        <f t="shared" si="1"/>
        <v>0</v>
      </c>
      <c r="M38" s="53" t="str">
        <f t="shared" si="2"/>
        <v>Conforme</v>
      </c>
      <c r="N38" s="49"/>
    </row>
    <row r="39" spans="2:14" ht="18" customHeight="1" x14ac:dyDescent="0.25">
      <c r="B39" s="47">
        <f>IF(C39="","",COUNT($C$7:C39))</f>
        <v>33</v>
      </c>
      <c r="C39" s="48">
        <v>46443</v>
      </c>
      <c r="D39" s="49" t="s">
        <v>105</v>
      </c>
      <c r="E39" s="49" t="s">
        <v>106</v>
      </c>
      <c r="F39" s="49" t="s">
        <v>110</v>
      </c>
      <c r="G39" s="49" t="s">
        <v>111</v>
      </c>
      <c r="H39" s="49" t="s">
        <v>112</v>
      </c>
      <c r="I39" s="50">
        <v>51277</v>
      </c>
      <c r="J39" s="50">
        <v>51375</v>
      </c>
      <c r="K39" s="51">
        <f t="shared" si="0"/>
        <v>98</v>
      </c>
      <c r="L39" s="52">
        <f t="shared" si="1"/>
        <v>0</v>
      </c>
      <c r="M39" s="53" t="str">
        <f t="shared" si="2"/>
        <v>Conforme</v>
      </c>
      <c r="N39" s="49"/>
    </row>
    <row r="40" spans="2:14" ht="18" customHeight="1" x14ac:dyDescent="0.25">
      <c r="B40" s="47">
        <f>IF(C40="","",COUNT($C$7:C40))</f>
        <v>34</v>
      </c>
      <c r="C40" s="48">
        <v>46445</v>
      </c>
      <c r="D40" s="49" t="s">
        <v>105</v>
      </c>
      <c r="E40" s="49" t="s">
        <v>106</v>
      </c>
      <c r="F40" s="49" t="s">
        <v>136</v>
      </c>
      <c r="G40" s="49" t="s">
        <v>137</v>
      </c>
      <c r="H40" s="49" t="s">
        <v>117</v>
      </c>
      <c r="I40" s="50">
        <v>51375</v>
      </c>
      <c r="J40" s="50">
        <v>51471</v>
      </c>
      <c r="K40" s="51">
        <f t="shared" si="0"/>
        <v>96</v>
      </c>
      <c r="L40" s="52">
        <f t="shared" si="1"/>
        <v>0</v>
      </c>
      <c r="M40" s="53" t="str">
        <f t="shared" si="2"/>
        <v>Conforme</v>
      </c>
      <c r="N40" s="49"/>
    </row>
    <row r="41" spans="2:14" ht="18" customHeight="1" x14ac:dyDescent="0.25">
      <c r="B41" s="47">
        <f>IF(C41="","",COUNT($C$7:C41))</f>
        <v>35</v>
      </c>
      <c r="C41" s="48">
        <v>46447</v>
      </c>
      <c r="D41" s="49" t="s">
        <v>105</v>
      </c>
      <c r="E41" s="49" t="s">
        <v>106</v>
      </c>
      <c r="F41" s="49" t="s">
        <v>107</v>
      </c>
      <c r="G41" s="49" t="s">
        <v>108</v>
      </c>
      <c r="H41" s="49" t="s">
        <v>109</v>
      </c>
      <c r="I41" s="50">
        <v>51471</v>
      </c>
      <c r="J41" s="50">
        <v>51505</v>
      </c>
      <c r="K41" s="51">
        <f t="shared" si="0"/>
        <v>34</v>
      </c>
      <c r="L41" s="52">
        <f t="shared" si="1"/>
        <v>0</v>
      </c>
      <c r="M41" s="53" t="str">
        <f t="shared" si="2"/>
        <v>Conforme</v>
      </c>
      <c r="N41" s="49"/>
    </row>
    <row r="42" spans="2:14" ht="18" customHeight="1" x14ac:dyDescent="0.25">
      <c r="B42" s="47">
        <f>IF(C42="","",COUNT($C$7:C42))</f>
        <v>36</v>
      </c>
      <c r="C42" s="48">
        <v>46448</v>
      </c>
      <c r="D42" s="49" t="s">
        <v>105</v>
      </c>
      <c r="E42" s="49" t="s">
        <v>106</v>
      </c>
      <c r="F42" s="49" t="s">
        <v>134</v>
      </c>
      <c r="G42" s="49" t="s">
        <v>135</v>
      </c>
      <c r="H42" s="49" t="s">
        <v>112</v>
      </c>
      <c r="I42" s="50">
        <v>51505</v>
      </c>
      <c r="J42" s="50">
        <v>51702</v>
      </c>
      <c r="K42" s="51">
        <f t="shared" si="0"/>
        <v>197</v>
      </c>
      <c r="L42" s="52">
        <f t="shared" si="1"/>
        <v>0</v>
      </c>
      <c r="M42" s="53" t="str">
        <f t="shared" si="2"/>
        <v>Conforme</v>
      </c>
      <c r="N42" s="49"/>
    </row>
    <row r="43" spans="2:14" ht="18" customHeight="1" x14ac:dyDescent="0.25">
      <c r="B43" s="47">
        <f>IF(C43="","",COUNT($C$7:C43))</f>
        <v>37</v>
      </c>
      <c r="C43" s="48">
        <v>46450</v>
      </c>
      <c r="D43" s="49" t="s">
        <v>105</v>
      </c>
      <c r="E43" s="49" t="s">
        <v>106</v>
      </c>
      <c r="F43" s="49" t="s">
        <v>138</v>
      </c>
      <c r="G43" s="49" t="s">
        <v>139</v>
      </c>
      <c r="H43" s="49" t="s">
        <v>112</v>
      </c>
      <c r="I43" s="50">
        <v>51702</v>
      </c>
      <c r="J43" s="50">
        <v>51854</v>
      </c>
      <c r="K43" s="51">
        <f t="shared" si="0"/>
        <v>152</v>
      </c>
      <c r="L43" s="52">
        <f t="shared" si="1"/>
        <v>0</v>
      </c>
      <c r="M43" s="53" t="str">
        <f t="shared" si="2"/>
        <v>Conforme</v>
      </c>
      <c r="N43" s="49"/>
    </row>
    <row r="44" spans="2:14" ht="18" customHeight="1" x14ac:dyDescent="0.25">
      <c r="B44" s="47">
        <f>IF(C44="","",COUNT($C$7:C44))</f>
        <v>38</v>
      </c>
      <c r="C44" s="48">
        <v>46452</v>
      </c>
      <c r="D44" s="49" t="s">
        <v>133</v>
      </c>
      <c r="E44" s="49" t="s">
        <v>106</v>
      </c>
      <c r="F44" s="49" t="s">
        <v>130</v>
      </c>
      <c r="G44" s="49" t="s">
        <v>131</v>
      </c>
      <c r="H44" s="49" t="s">
        <v>117</v>
      </c>
      <c r="I44" s="50">
        <v>51854</v>
      </c>
      <c r="J44" s="50">
        <v>51880</v>
      </c>
      <c r="K44" s="51">
        <f t="shared" si="0"/>
        <v>26</v>
      </c>
      <c r="L44" s="52">
        <f t="shared" si="1"/>
        <v>0</v>
      </c>
      <c r="M44" s="53" t="str">
        <f t="shared" si="2"/>
        <v>Conforme</v>
      </c>
      <c r="N44" s="49"/>
    </row>
    <row r="45" spans="2:14" ht="18" customHeight="1" x14ac:dyDescent="0.25">
      <c r="B45" s="47">
        <f>IF(C45="","",COUNT($C$7:C45))</f>
        <v>39</v>
      </c>
      <c r="C45" s="48">
        <v>46454</v>
      </c>
      <c r="D45" s="49" t="s">
        <v>105</v>
      </c>
      <c r="E45" s="49" t="s">
        <v>106</v>
      </c>
      <c r="F45" s="49" t="s">
        <v>107</v>
      </c>
      <c r="G45" s="49" t="s">
        <v>108</v>
      </c>
      <c r="H45" s="49" t="s">
        <v>109</v>
      </c>
      <c r="I45" s="50">
        <v>51880</v>
      </c>
      <c r="J45" s="50">
        <v>51914</v>
      </c>
      <c r="K45" s="51">
        <f t="shared" si="0"/>
        <v>34</v>
      </c>
      <c r="L45" s="52">
        <f t="shared" si="1"/>
        <v>0</v>
      </c>
      <c r="M45" s="53" t="str">
        <f t="shared" si="2"/>
        <v>Conforme</v>
      </c>
      <c r="N45" s="49"/>
    </row>
    <row r="46" spans="2:14" ht="18" customHeight="1" x14ac:dyDescent="0.25">
      <c r="B46" s="47">
        <f>IF(C46="","",COUNT($C$7:C46))</f>
        <v>40</v>
      </c>
      <c r="C46" s="48">
        <v>46455</v>
      </c>
      <c r="D46" s="49" t="s">
        <v>105</v>
      </c>
      <c r="E46" s="49" t="s">
        <v>106</v>
      </c>
      <c r="F46" s="49" t="s">
        <v>140</v>
      </c>
      <c r="G46" s="49" t="s">
        <v>141</v>
      </c>
      <c r="H46" s="49" t="s">
        <v>112</v>
      </c>
      <c r="I46" s="50">
        <v>51914</v>
      </c>
      <c r="J46" s="50">
        <v>52036</v>
      </c>
      <c r="K46" s="51">
        <f t="shared" si="0"/>
        <v>122</v>
      </c>
      <c r="L46" s="52">
        <f t="shared" si="1"/>
        <v>0</v>
      </c>
      <c r="M46" s="53" t="str">
        <f t="shared" si="2"/>
        <v>Conforme</v>
      </c>
      <c r="N46" s="49"/>
    </row>
    <row r="47" spans="2:14" ht="18" customHeight="1" x14ac:dyDescent="0.25">
      <c r="B47" s="47">
        <f>IF(C47="","",COUNT($C$7:C47))</f>
        <v>41</v>
      </c>
      <c r="C47" s="48">
        <v>46457</v>
      </c>
      <c r="D47" s="49" t="s">
        <v>105</v>
      </c>
      <c r="E47" s="49" t="s">
        <v>106</v>
      </c>
      <c r="F47" s="49" t="s">
        <v>120</v>
      </c>
      <c r="G47" s="49" t="s">
        <v>132</v>
      </c>
      <c r="H47" s="49" t="s">
        <v>112</v>
      </c>
      <c r="I47" s="50">
        <v>52036</v>
      </c>
      <c r="J47" s="50">
        <v>52212</v>
      </c>
      <c r="K47" s="51">
        <f t="shared" si="0"/>
        <v>176</v>
      </c>
      <c r="L47" s="52">
        <f t="shared" si="1"/>
        <v>0</v>
      </c>
      <c r="M47" s="53" t="str">
        <f t="shared" si="2"/>
        <v>Conforme</v>
      </c>
      <c r="N47" s="49"/>
    </row>
    <row r="48" spans="2:14" ht="18" customHeight="1" x14ac:dyDescent="0.25">
      <c r="B48" s="47">
        <f>IF(C48="","",COUNT($C$7:C48))</f>
        <v>42</v>
      </c>
      <c r="C48" s="48">
        <v>46459</v>
      </c>
      <c r="D48" s="49" t="s">
        <v>133</v>
      </c>
      <c r="E48" s="49" t="s">
        <v>106</v>
      </c>
      <c r="F48" s="49" t="s">
        <v>115</v>
      </c>
      <c r="G48" s="49" t="s">
        <v>116</v>
      </c>
      <c r="H48" s="49" t="s">
        <v>117</v>
      </c>
      <c r="I48" s="50">
        <v>52212</v>
      </c>
      <c r="J48" s="50">
        <v>52225</v>
      </c>
      <c r="K48" s="51">
        <f t="shared" si="0"/>
        <v>13</v>
      </c>
      <c r="L48" s="52">
        <f t="shared" si="1"/>
        <v>0</v>
      </c>
      <c r="M48" s="53" t="str">
        <f t="shared" si="2"/>
        <v>Conforme</v>
      </c>
      <c r="N48" s="49"/>
    </row>
    <row r="49" spans="2:14" ht="18" customHeight="1" x14ac:dyDescent="0.25">
      <c r="B49" s="47">
        <f>IF(C49="","",COUNT($C$7:C49))</f>
        <v>43</v>
      </c>
      <c r="C49" s="48">
        <v>46461</v>
      </c>
      <c r="D49" s="49" t="s">
        <v>105</v>
      </c>
      <c r="E49" s="49" t="s">
        <v>106</v>
      </c>
      <c r="F49" s="49" t="s">
        <v>107</v>
      </c>
      <c r="G49" s="49" t="s">
        <v>108</v>
      </c>
      <c r="H49" s="49" t="s">
        <v>109</v>
      </c>
      <c r="I49" s="50">
        <v>52225</v>
      </c>
      <c r="J49" s="50">
        <v>52259</v>
      </c>
      <c r="K49" s="51">
        <f t="shared" si="0"/>
        <v>34</v>
      </c>
      <c r="L49" s="52">
        <f t="shared" si="1"/>
        <v>0</v>
      </c>
      <c r="M49" s="53" t="str">
        <f t="shared" si="2"/>
        <v>Conforme</v>
      </c>
      <c r="N49" s="49"/>
    </row>
    <row r="50" spans="2:14" ht="18" customHeight="1" x14ac:dyDescent="0.25">
      <c r="B50" s="47">
        <f>IF(C50="","",COUNT($C$7:C50))</f>
        <v>44</v>
      </c>
      <c r="C50" s="48">
        <v>46462</v>
      </c>
      <c r="D50" s="49" t="s">
        <v>105</v>
      </c>
      <c r="E50" s="49" t="s">
        <v>106</v>
      </c>
      <c r="F50" s="49" t="s">
        <v>120</v>
      </c>
      <c r="G50" s="49" t="s">
        <v>121</v>
      </c>
      <c r="H50" s="49" t="s">
        <v>112</v>
      </c>
      <c r="I50" s="50">
        <v>52301</v>
      </c>
      <c r="J50" s="50">
        <v>52471</v>
      </c>
      <c r="K50" s="51">
        <f t="shared" si="0"/>
        <v>170</v>
      </c>
      <c r="L50" s="52">
        <f t="shared" si="1"/>
        <v>42</v>
      </c>
      <c r="M50" s="53" t="str">
        <f t="shared" si="2"/>
        <v>Km non enregistrés</v>
      </c>
      <c r="N50" s="49"/>
    </row>
    <row r="51" spans="2:14" ht="18" customHeight="1" x14ac:dyDescent="0.25">
      <c r="B51" s="47">
        <f>IF(C51="","",COUNT($C$7:C51))</f>
        <v>45</v>
      </c>
      <c r="C51" s="48">
        <v>46464</v>
      </c>
      <c r="D51" s="49" t="s">
        <v>105</v>
      </c>
      <c r="E51" s="49" t="s">
        <v>106</v>
      </c>
      <c r="F51" s="49" t="s">
        <v>140</v>
      </c>
      <c r="G51" s="49" t="s">
        <v>142</v>
      </c>
      <c r="H51" s="49" t="s">
        <v>112</v>
      </c>
      <c r="I51" s="50">
        <v>52471</v>
      </c>
      <c r="J51" s="50">
        <v>52597</v>
      </c>
      <c r="K51" s="51">
        <f t="shared" si="0"/>
        <v>126</v>
      </c>
      <c r="L51" s="52">
        <f t="shared" si="1"/>
        <v>0</v>
      </c>
      <c r="M51" s="53" t="str">
        <f t="shared" si="2"/>
        <v>Conforme</v>
      </c>
      <c r="N51" s="49"/>
    </row>
    <row r="52" spans="2:14" ht="18" customHeight="1" x14ac:dyDescent="0.25">
      <c r="B52" s="47">
        <f>IF(C52="","",COUNT($C$7:C52))</f>
        <v>46</v>
      </c>
      <c r="C52" s="48">
        <v>46466</v>
      </c>
      <c r="D52" s="49" t="s">
        <v>133</v>
      </c>
      <c r="E52" s="49" t="s">
        <v>106</v>
      </c>
      <c r="F52" s="49" t="s">
        <v>130</v>
      </c>
      <c r="G52" s="49" t="s">
        <v>131</v>
      </c>
      <c r="H52" s="49" t="s">
        <v>117</v>
      </c>
      <c r="I52" s="50">
        <v>52597</v>
      </c>
      <c r="J52" s="50">
        <v>52617</v>
      </c>
      <c r="K52" s="51">
        <f t="shared" si="0"/>
        <v>20</v>
      </c>
      <c r="L52" s="52">
        <f t="shared" si="1"/>
        <v>0</v>
      </c>
      <c r="M52" s="53" t="str">
        <f t="shared" si="2"/>
        <v>Conforme</v>
      </c>
      <c r="N52" s="49"/>
    </row>
    <row r="53" spans="2:14" ht="18" customHeight="1" x14ac:dyDescent="0.25">
      <c r="B53" s="47">
        <f>IF(C53="","",COUNT($C$7:C53))</f>
        <v>47</v>
      </c>
      <c r="C53" s="48">
        <v>46468</v>
      </c>
      <c r="D53" s="49" t="s">
        <v>105</v>
      </c>
      <c r="E53" s="49" t="s">
        <v>106</v>
      </c>
      <c r="F53" s="49" t="s">
        <v>107</v>
      </c>
      <c r="G53" s="49" t="s">
        <v>108</v>
      </c>
      <c r="H53" s="49" t="s">
        <v>109</v>
      </c>
      <c r="I53" s="50">
        <v>52617</v>
      </c>
      <c r="J53" s="50">
        <v>52651</v>
      </c>
      <c r="K53" s="51">
        <f t="shared" si="0"/>
        <v>34</v>
      </c>
      <c r="L53" s="52">
        <f t="shared" si="1"/>
        <v>0</v>
      </c>
      <c r="M53" s="53" t="str">
        <f t="shared" si="2"/>
        <v>Conforme</v>
      </c>
      <c r="N53" s="49"/>
    </row>
    <row r="54" spans="2:14" ht="18" customHeight="1" x14ac:dyDescent="0.25">
      <c r="B54" s="47">
        <f>IF(C54="","",COUNT($C$7:C54))</f>
        <v>48</v>
      </c>
      <c r="C54" s="48">
        <v>46469</v>
      </c>
      <c r="D54" s="49" t="s">
        <v>105</v>
      </c>
      <c r="E54" s="49" t="s">
        <v>106</v>
      </c>
      <c r="F54" s="49" t="s">
        <v>113</v>
      </c>
      <c r="G54" s="49" t="s">
        <v>114</v>
      </c>
      <c r="H54" s="49" t="s">
        <v>112</v>
      </c>
      <c r="I54" s="50">
        <v>52651</v>
      </c>
      <c r="J54" s="50">
        <v>52867</v>
      </c>
      <c r="K54" s="51">
        <f t="shared" si="0"/>
        <v>216</v>
      </c>
      <c r="L54" s="52">
        <f t="shared" si="1"/>
        <v>0</v>
      </c>
      <c r="M54" s="53" t="str">
        <f t="shared" si="2"/>
        <v>Conforme</v>
      </c>
      <c r="N54" s="49"/>
    </row>
    <row r="55" spans="2:14" ht="18" customHeight="1" x14ac:dyDescent="0.25">
      <c r="B55" s="47">
        <f>IF(C55="","",COUNT($C$7:C55))</f>
        <v>49</v>
      </c>
      <c r="C55" s="48">
        <v>46470</v>
      </c>
      <c r="D55" s="49" t="s">
        <v>105</v>
      </c>
      <c r="E55" s="49" t="s">
        <v>106</v>
      </c>
      <c r="F55" s="49" t="s">
        <v>118</v>
      </c>
      <c r="G55" s="49" t="s">
        <v>119</v>
      </c>
      <c r="H55" s="49" t="s">
        <v>112</v>
      </c>
      <c r="I55" s="50">
        <v>52867</v>
      </c>
      <c r="J55" s="50">
        <v>53019</v>
      </c>
      <c r="K55" s="51">
        <f t="shared" si="0"/>
        <v>152</v>
      </c>
      <c r="L55" s="52">
        <f t="shared" si="1"/>
        <v>0</v>
      </c>
      <c r="M55" s="53" t="str">
        <f t="shared" si="2"/>
        <v>Conforme</v>
      </c>
      <c r="N55" s="49"/>
    </row>
    <row r="56" spans="2:14" ht="18" customHeight="1" x14ac:dyDescent="0.25">
      <c r="B56" s="47">
        <f>IF(C56="","",COUNT($C$7:C56))</f>
        <v>50</v>
      </c>
      <c r="C56" s="48">
        <v>46472</v>
      </c>
      <c r="D56" s="49" t="s">
        <v>105</v>
      </c>
      <c r="E56" s="49" t="s">
        <v>106</v>
      </c>
      <c r="F56" s="49" t="s">
        <v>120</v>
      </c>
      <c r="G56" s="49" t="s">
        <v>132</v>
      </c>
      <c r="H56" s="49" t="s">
        <v>112</v>
      </c>
      <c r="I56" s="50">
        <v>53019</v>
      </c>
      <c r="J56" s="50">
        <v>53188</v>
      </c>
      <c r="K56" s="51">
        <f t="shared" si="0"/>
        <v>169</v>
      </c>
      <c r="L56" s="52">
        <f t="shared" si="1"/>
        <v>0</v>
      </c>
      <c r="M56" s="53" t="str">
        <f t="shared" si="2"/>
        <v>Conforme</v>
      </c>
      <c r="N56" s="49"/>
    </row>
    <row r="57" spans="2:14" ht="18" customHeight="1" x14ac:dyDescent="0.25">
      <c r="B57" s="47">
        <f>IF(C57="","",COUNT($C$7:C57))</f>
        <v>51</v>
      </c>
      <c r="C57" s="48">
        <v>46473</v>
      </c>
      <c r="D57" s="49" t="s">
        <v>105</v>
      </c>
      <c r="E57" s="49" t="s">
        <v>106</v>
      </c>
      <c r="F57" s="49" t="s">
        <v>126</v>
      </c>
      <c r="G57" s="49" t="s">
        <v>127</v>
      </c>
      <c r="H57" s="49" t="s">
        <v>117</v>
      </c>
      <c r="I57" s="50">
        <v>53188</v>
      </c>
      <c r="J57" s="50">
        <v>53206</v>
      </c>
      <c r="K57" s="51">
        <f t="shared" si="0"/>
        <v>18</v>
      </c>
      <c r="L57" s="52">
        <f t="shared" si="1"/>
        <v>0</v>
      </c>
      <c r="M57" s="53" t="str">
        <f t="shared" si="2"/>
        <v>Conforme</v>
      </c>
      <c r="N57" s="49"/>
    </row>
    <row r="58" spans="2:14" ht="18" customHeight="1" x14ac:dyDescent="0.25">
      <c r="B58" s="47">
        <f>IF(C58="","",COUNT($C$7:C58))</f>
        <v>52</v>
      </c>
      <c r="C58" s="48">
        <v>46475</v>
      </c>
      <c r="D58" s="49" t="s">
        <v>105</v>
      </c>
      <c r="E58" s="49" t="s">
        <v>106</v>
      </c>
      <c r="F58" s="49" t="s">
        <v>107</v>
      </c>
      <c r="G58" s="49" t="s">
        <v>108</v>
      </c>
      <c r="H58" s="49" t="s">
        <v>109</v>
      </c>
      <c r="I58" s="50">
        <v>53206</v>
      </c>
      <c r="J58" s="50">
        <v>53240</v>
      </c>
      <c r="K58" s="51">
        <f t="shared" si="0"/>
        <v>34</v>
      </c>
      <c r="L58" s="52">
        <f t="shared" si="1"/>
        <v>0</v>
      </c>
      <c r="M58" s="53" t="str">
        <f t="shared" si="2"/>
        <v>Conforme</v>
      </c>
      <c r="N58" s="49"/>
    </row>
    <row r="59" spans="2:14" ht="18" customHeight="1" x14ac:dyDescent="0.25">
      <c r="B59" s="47">
        <f>IF(C59="","",COUNT($C$7:C59))</f>
        <v>53</v>
      </c>
      <c r="C59" s="48">
        <v>46476</v>
      </c>
      <c r="D59" s="49" t="s">
        <v>105</v>
      </c>
      <c r="E59" s="49" t="s">
        <v>106</v>
      </c>
      <c r="F59" s="49" t="s">
        <v>118</v>
      </c>
      <c r="G59" s="49" t="s">
        <v>119</v>
      </c>
      <c r="H59" s="49" t="s">
        <v>112</v>
      </c>
      <c r="I59" s="50">
        <v>53240</v>
      </c>
      <c r="J59" s="50">
        <v>53396</v>
      </c>
      <c r="K59" s="51">
        <f t="shared" si="0"/>
        <v>156</v>
      </c>
      <c r="L59" s="52">
        <f t="shared" si="1"/>
        <v>0</v>
      </c>
      <c r="M59" s="53" t="str">
        <f t="shared" si="2"/>
        <v>Conforme</v>
      </c>
      <c r="N59" s="49"/>
    </row>
    <row r="60" spans="2:14" ht="18" customHeight="1" x14ac:dyDescent="0.25">
      <c r="B60" s="47">
        <f>IF(C60="","",COUNT($C$7:C60))</f>
        <v>54</v>
      </c>
      <c r="C60" s="48">
        <v>46478</v>
      </c>
      <c r="D60" s="49" t="s">
        <v>105</v>
      </c>
      <c r="E60" s="49" t="s">
        <v>106</v>
      </c>
      <c r="F60" s="49" t="s">
        <v>128</v>
      </c>
      <c r="G60" s="49" t="s">
        <v>129</v>
      </c>
      <c r="H60" s="49" t="s">
        <v>112</v>
      </c>
      <c r="I60" s="50">
        <v>53396</v>
      </c>
      <c r="J60" s="50">
        <v>53489</v>
      </c>
      <c r="K60" s="51">
        <f t="shared" si="0"/>
        <v>93</v>
      </c>
      <c r="L60" s="52">
        <f t="shared" si="1"/>
        <v>0</v>
      </c>
      <c r="M60" s="53" t="str">
        <f t="shared" si="2"/>
        <v>Conforme</v>
      </c>
      <c r="N60" s="49"/>
    </row>
    <row r="61" spans="2:14" ht="18" customHeight="1" x14ac:dyDescent="0.25">
      <c r="B61" s="47">
        <f>IF(C61="","",COUNT($C$7:C61))</f>
        <v>55</v>
      </c>
      <c r="C61" s="48">
        <v>46480</v>
      </c>
      <c r="D61" s="49" t="s">
        <v>105</v>
      </c>
      <c r="E61" s="49" t="s">
        <v>106</v>
      </c>
      <c r="F61" s="49" t="s">
        <v>122</v>
      </c>
      <c r="G61" s="49" t="s">
        <v>123</v>
      </c>
      <c r="H61" s="49" t="s">
        <v>117</v>
      </c>
      <c r="I61" s="50">
        <v>53489</v>
      </c>
      <c r="J61" s="50">
        <v>53551</v>
      </c>
      <c r="K61" s="51">
        <f t="shared" si="0"/>
        <v>62</v>
      </c>
      <c r="L61" s="52">
        <f t="shared" si="1"/>
        <v>0</v>
      </c>
      <c r="M61" s="53" t="str">
        <f t="shared" si="2"/>
        <v>Conforme</v>
      </c>
      <c r="N61" s="49"/>
    </row>
    <row r="62" spans="2:14" ht="18" customHeight="1" x14ac:dyDescent="0.25">
      <c r="B62" s="47">
        <f>IF(C62="","",COUNT($C$7:C62))</f>
        <v>56</v>
      </c>
      <c r="C62" s="48">
        <v>46482</v>
      </c>
      <c r="D62" s="49" t="s">
        <v>105</v>
      </c>
      <c r="E62" s="49" t="s">
        <v>106</v>
      </c>
      <c r="F62" s="49" t="s">
        <v>107</v>
      </c>
      <c r="G62" s="49" t="s">
        <v>108</v>
      </c>
      <c r="H62" s="49" t="s">
        <v>109</v>
      </c>
      <c r="I62" s="50">
        <v>53551</v>
      </c>
      <c r="J62" s="50">
        <v>53585</v>
      </c>
      <c r="K62" s="51">
        <f t="shared" si="0"/>
        <v>34</v>
      </c>
      <c r="L62" s="52">
        <f t="shared" si="1"/>
        <v>0</v>
      </c>
      <c r="M62" s="53" t="str">
        <f t="shared" si="2"/>
        <v>Conforme</v>
      </c>
      <c r="N62" s="49"/>
    </row>
    <row r="63" spans="2:14" ht="18" customHeight="1" x14ac:dyDescent="0.25">
      <c r="B63" s="47">
        <f>IF(C63="","",COUNT($C$7:C63))</f>
        <v>57</v>
      </c>
      <c r="C63" s="48">
        <v>46483</v>
      </c>
      <c r="D63" s="49" t="s">
        <v>105</v>
      </c>
      <c r="E63" s="49" t="s">
        <v>106</v>
      </c>
      <c r="F63" s="49" t="s">
        <v>110</v>
      </c>
      <c r="G63" s="49" t="s">
        <v>111</v>
      </c>
      <c r="H63" s="49" t="s">
        <v>112</v>
      </c>
      <c r="I63" s="50">
        <v>53585</v>
      </c>
      <c r="J63" s="50">
        <v>53687</v>
      </c>
      <c r="K63" s="51">
        <f t="shared" si="0"/>
        <v>102</v>
      </c>
      <c r="L63" s="52">
        <f t="shared" si="1"/>
        <v>0</v>
      </c>
      <c r="M63" s="53" t="str">
        <f t="shared" si="2"/>
        <v>Conforme</v>
      </c>
      <c r="N63" s="49"/>
    </row>
    <row r="64" spans="2:14" ht="18" customHeight="1" x14ac:dyDescent="0.25">
      <c r="B64" s="47">
        <f>IF(C64="","",COUNT($C$7:C64))</f>
        <v>58</v>
      </c>
      <c r="C64" s="48">
        <v>46485</v>
      </c>
      <c r="D64" s="49" t="s">
        <v>105</v>
      </c>
      <c r="E64" s="49" t="s">
        <v>106</v>
      </c>
      <c r="F64" s="49" t="s">
        <v>120</v>
      </c>
      <c r="G64" s="49" t="s">
        <v>121</v>
      </c>
      <c r="H64" s="49" t="s">
        <v>112</v>
      </c>
      <c r="I64" s="50">
        <v>53687</v>
      </c>
      <c r="J64" s="50">
        <v>53859</v>
      </c>
      <c r="K64" s="51">
        <f t="shared" si="0"/>
        <v>172</v>
      </c>
      <c r="L64" s="52">
        <f t="shared" si="1"/>
        <v>0</v>
      </c>
      <c r="M64" s="53" t="str">
        <f t="shared" si="2"/>
        <v>Conforme</v>
      </c>
      <c r="N64" s="49"/>
    </row>
    <row r="65" spans="2:14" ht="18" customHeight="1" x14ac:dyDescent="0.25">
      <c r="B65" s="47">
        <f>IF(C65="","",COUNT($C$7:C65))</f>
        <v>59</v>
      </c>
      <c r="C65" s="48">
        <v>46487</v>
      </c>
      <c r="D65" s="49" t="s">
        <v>133</v>
      </c>
      <c r="E65" s="49" t="s">
        <v>106</v>
      </c>
      <c r="F65" s="49" t="s">
        <v>136</v>
      </c>
      <c r="G65" s="49" t="s">
        <v>137</v>
      </c>
      <c r="H65" s="49" t="s">
        <v>117</v>
      </c>
      <c r="I65" s="50">
        <v>53859</v>
      </c>
      <c r="J65" s="50">
        <v>53953</v>
      </c>
      <c r="K65" s="51">
        <f t="shared" si="0"/>
        <v>94</v>
      </c>
      <c r="L65" s="52">
        <f t="shared" si="1"/>
        <v>0</v>
      </c>
      <c r="M65" s="53" t="str">
        <f t="shared" si="2"/>
        <v>Conforme</v>
      </c>
      <c r="N65" s="49"/>
    </row>
    <row r="66" spans="2:14" ht="18" customHeight="1" x14ac:dyDescent="0.25">
      <c r="B66" s="47">
        <f>IF(C66="","",COUNT($C$7:C66))</f>
        <v>60</v>
      </c>
      <c r="C66" s="48">
        <v>46489</v>
      </c>
      <c r="D66" s="49" t="s">
        <v>105</v>
      </c>
      <c r="E66" s="49" t="s">
        <v>106</v>
      </c>
      <c r="F66" s="49" t="s">
        <v>107</v>
      </c>
      <c r="G66" s="49" t="s">
        <v>108</v>
      </c>
      <c r="H66" s="49" t="s">
        <v>109</v>
      </c>
      <c r="I66" s="50">
        <v>53953</v>
      </c>
      <c r="J66" s="50">
        <v>53987</v>
      </c>
      <c r="K66" s="51">
        <f t="shared" si="0"/>
        <v>34</v>
      </c>
      <c r="L66" s="52">
        <f t="shared" si="1"/>
        <v>0</v>
      </c>
      <c r="M66" s="53" t="str">
        <f t="shared" si="2"/>
        <v>Conforme</v>
      </c>
      <c r="N66" s="49"/>
    </row>
    <row r="67" spans="2:14" ht="18" customHeight="1" x14ac:dyDescent="0.25">
      <c r="B67" s="47">
        <f>IF(C67="","",COUNT($C$7:C67))</f>
        <v>61</v>
      </c>
      <c r="C67" s="48">
        <v>46490</v>
      </c>
      <c r="D67" s="49" t="s">
        <v>105</v>
      </c>
      <c r="E67" s="49" t="s">
        <v>106</v>
      </c>
      <c r="F67" s="49" t="s">
        <v>110</v>
      </c>
      <c r="G67" s="49" t="s">
        <v>111</v>
      </c>
      <c r="H67" s="49" t="s">
        <v>112</v>
      </c>
      <c r="I67" s="50">
        <v>53987</v>
      </c>
      <c r="J67" s="50">
        <v>54083</v>
      </c>
      <c r="K67" s="51">
        <f t="shared" si="0"/>
        <v>96</v>
      </c>
      <c r="L67" s="52">
        <f t="shared" si="1"/>
        <v>0</v>
      </c>
      <c r="M67" s="53" t="str">
        <f t="shared" si="2"/>
        <v>Conforme</v>
      </c>
      <c r="N67" s="49"/>
    </row>
    <row r="68" spans="2:14" ht="18" customHeight="1" x14ac:dyDescent="0.25">
      <c r="B68" s="47">
        <f>IF(C68="","",COUNT($C$7:C68))</f>
        <v>62</v>
      </c>
      <c r="C68" s="48">
        <v>46491</v>
      </c>
      <c r="D68" s="49" t="s">
        <v>105</v>
      </c>
      <c r="E68" s="49" t="s">
        <v>106</v>
      </c>
      <c r="F68" s="49" t="s">
        <v>110</v>
      </c>
      <c r="G68" s="49" t="s">
        <v>111</v>
      </c>
      <c r="H68" s="49" t="s">
        <v>112</v>
      </c>
      <c r="I68" s="50">
        <v>54083</v>
      </c>
      <c r="J68" s="50">
        <v>54180</v>
      </c>
      <c r="K68" s="51">
        <f t="shared" si="0"/>
        <v>97</v>
      </c>
      <c r="L68" s="52">
        <f t="shared" si="1"/>
        <v>0</v>
      </c>
      <c r="M68" s="53" t="str">
        <f t="shared" si="2"/>
        <v>Conforme</v>
      </c>
      <c r="N68" s="49"/>
    </row>
    <row r="69" spans="2:14" ht="18" customHeight="1" x14ac:dyDescent="0.25">
      <c r="B69" s="47">
        <f>IF(C69="","",COUNT($C$7:C69))</f>
        <v>63</v>
      </c>
      <c r="C69" s="48">
        <v>46493</v>
      </c>
      <c r="D69" s="49" t="s">
        <v>105</v>
      </c>
      <c r="E69" s="49" t="s">
        <v>106</v>
      </c>
      <c r="F69" s="49" t="s">
        <v>140</v>
      </c>
      <c r="G69" s="49" t="s">
        <v>141</v>
      </c>
      <c r="H69" s="49" t="s">
        <v>112</v>
      </c>
      <c r="I69" s="50">
        <v>54180</v>
      </c>
      <c r="J69" s="50">
        <v>54305</v>
      </c>
      <c r="K69" s="51">
        <f t="shared" si="0"/>
        <v>125</v>
      </c>
      <c r="L69" s="52">
        <f t="shared" si="1"/>
        <v>0</v>
      </c>
      <c r="M69" s="53" t="str">
        <f t="shared" si="2"/>
        <v>Conforme</v>
      </c>
      <c r="N69" s="49"/>
    </row>
    <row r="70" spans="2:14" ht="18" customHeight="1" x14ac:dyDescent="0.25">
      <c r="B70" s="47">
        <f>IF(C70="","",COUNT($C$7:C70))</f>
        <v>64</v>
      </c>
      <c r="C70" s="48">
        <v>46494</v>
      </c>
      <c r="D70" s="49" t="s">
        <v>133</v>
      </c>
      <c r="E70" s="49" t="s">
        <v>106</v>
      </c>
      <c r="F70" s="49" t="s">
        <v>126</v>
      </c>
      <c r="G70" s="49" t="s">
        <v>127</v>
      </c>
      <c r="H70" s="49" t="s">
        <v>117</v>
      </c>
      <c r="I70" s="50">
        <v>54305</v>
      </c>
      <c r="J70" s="50">
        <v>54321</v>
      </c>
      <c r="K70" s="51">
        <f t="shared" si="0"/>
        <v>16</v>
      </c>
      <c r="L70" s="52">
        <f t="shared" si="1"/>
        <v>0</v>
      </c>
      <c r="M70" s="53" t="str">
        <f t="shared" si="2"/>
        <v>Conforme</v>
      </c>
      <c r="N70" s="49"/>
    </row>
    <row r="71" spans="2:14" ht="18" customHeight="1" x14ac:dyDescent="0.25">
      <c r="B71" s="47">
        <f>IF(C71="","",COUNT($C$7:C71))</f>
        <v>65</v>
      </c>
      <c r="C71" s="48">
        <v>46496</v>
      </c>
      <c r="D71" s="49" t="s">
        <v>105</v>
      </c>
      <c r="E71" s="49" t="s">
        <v>106</v>
      </c>
      <c r="F71" s="49" t="s">
        <v>107</v>
      </c>
      <c r="G71" s="49" t="s">
        <v>108</v>
      </c>
      <c r="H71" s="49" t="s">
        <v>109</v>
      </c>
      <c r="I71" s="50">
        <v>54321</v>
      </c>
      <c r="J71" s="50">
        <v>54355</v>
      </c>
      <c r="K71" s="51">
        <f t="shared" ref="K71:K134" si="3">IF(OR(I71="",J71=""),"",J71-I71)</f>
        <v>34</v>
      </c>
      <c r="L71" s="52">
        <f t="shared" si="1"/>
        <v>0</v>
      </c>
      <c r="M71" s="53" t="str">
        <f t="shared" si="2"/>
        <v>Conforme</v>
      </c>
      <c r="N71" s="49"/>
    </row>
    <row r="72" spans="2:14" ht="18" customHeight="1" x14ac:dyDescent="0.25">
      <c r="B72" s="47">
        <f>IF(C72="","",COUNT($C$7:C72))</f>
        <v>66</v>
      </c>
      <c r="C72" s="48">
        <v>46497</v>
      </c>
      <c r="D72" s="49" t="s">
        <v>105</v>
      </c>
      <c r="E72" s="49" t="s">
        <v>106</v>
      </c>
      <c r="F72" s="49" t="s">
        <v>120</v>
      </c>
      <c r="G72" s="49" t="s">
        <v>132</v>
      </c>
      <c r="H72" s="49" t="s">
        <v>112</v>
      </c>
      <c r="I72" s="50">
        <v>54355</v>
      </c>
      <c r="J72" s="50">
        <v>54528</v>
      </c>
      <c r="K72" s="51">
        <f t="shared" si="3"/>
        <v>173</v>
      </c>
      <c r="L72" s="52">
        <f t="shared" ref="L72:L135" si="4">IF(OR(C72="",I72="",J71=""),"",I72-J71)</f>
        <v>0</v>
      </c>
      <c r="M72" s="53" t="str">
        <f t="shared" ref="M72:M135" si="5">IF(C72="","",IF(OR(D72="",E72="",F72="",H72="",I72="",J72="",AND(H72="Professionnel",G72="")),"Incomplet",IF(AND(ISNUMBER(C71),C72&lt;C71),"Ordre des dates",IF(J72&lt;I72,"Compteur incohérent",IF(AND(ISNUMBER(L72),L72&gt;ToleranceKm),"Km non enregistrés",IF(AND(ISNUMBER(L72),L72&lt;-ToleranceKm),"Chevauchement","Conforme"))))))</f>
        <v>Conforme</v>
      </c>
      <c r="N72" s="49"/>
    </row>
    <row r="73" spans="2:14" ht="18" customHeight="1" x14ac:dyDescent="0.25">
      <c r="B73" s="47">
        <f>IF(C73="","",COUNT($C$7:C73))</f>
        <v>67</v>
      </c>
      <c r="C73" s="48">
        <v>46498</v>
      </c>
      <c r="D73" s="49" t="s">
        <v>105</v>
      </c>
      <c r="E73" s="49" t="s">
        <v>106</v>
      </c>
      <c r="F73" s="49" t="s">
        <v>138</v>
      </c>
      <c r="G73" s="49" t="s">
        <v>139</v>
      </c>
      <c r="H73" s="49" t="s">
        <v>112</v>
      </c>
      <c r="I73" s="50">
        <v>54528</v>
      </c>
      <c r="J73" s="50">
        <v>54670</v>
      </c>
      <c r="K73" s="51">
        <f t="shared" si="3"/>
        <v>142</v>
      </c>
      <c r="L73" s="52">
        <f t="shared" si="4"/>
        <v>0</v>
      </c>
      <c r="M73" s="53" t="str">
        <f t="shared" si="5"/>
        <v>Conforme</v>
      </c>
      <c r="N73" s="49"/>
    </row>
    <row r="74" spans="2:14" ht="18" customHeight="1" x14ac:dyDescent="0.25">
      <c r="B74" s="47">
        <f>IF(C74="","",COUNT($C$7:C74))</f>
        <v>68</v>
      </c>
      <c r="C74" s="48">
        <v>46500</v>
      </c>
      <c r="D74" s="49" t="s">
        <v>105</v>
      </c>
      <c r="E74" s="49" t="s">
        <v>106</v>
      </c>
      <c r="F74" s="49" t="s">
        <v>110</v>
      </c>
      <c r="G74" s="49" t="s">
        <v>111</v>
      </c>
      <c r="H74" s="49" t="s">
        <v>112</v>
      </c>
      <c r="I74" s="50">
        <v>54670</v>
      </c>
      <c r="J74" s="50">
        <v>54765</v>
      </c>
      <c r="K74" s="51">
        <f t="shared" si="3"/>
        <v>95</v>
      </c>
      <c r="L74" s="52">
        <f t="shared" si="4"/>
        <v>0</v>
      </c>
      <c r="M74" s="53" t="str">
        <f t="shared" si="5"/>
        <v>Conforme</v>
      </c>
      <c r="N74" s="49"/>
    </row>
    <row r="75" spans="2:14" ht="18" customHeight="1" x14ac:dyDescent="0.25">
      <c r="B75" s="47">
        <f>IF(C75="","",COUNT($C$7:C75))</f>
        <v>69</v>
      </c>
      <c r="C75" s="48">
        <v>46501</v>
      </c>
      <c r="D75" s="49" t="s">
        <v>105</v>
      </c>
      <c r="E75" s="49" t="s">
        <v>106</v>
      </c>
      <c r="F75" s="49" t="s">
        <v>136</v>
      </c>
      <c r="G75" s="49" t="s">
        <v>137</v>
      </c>
      <c r="H75" s="49" t="s">
        <v>117</v>
      </c>
      <c r="I75" s="50">
        <v>54765</v>
      </c>
      <c r="J75" s="50">
        <v>54862</v>
      </c>
      <c r="K75" s="51">
        <f t="shared" si="3"/>
        <v>97</v>
      </c>
      <c r="L75" s="52">
        <f t="shared" si="4"/>
        <v>0</v>
      </c>
      <c r="M75" s="53" t="str">
        <f t="shared" si="5"/>
        <v>Conforme</v>
      </c>
      <c r="N75" s="49"/>
    </row>
    <row r="76" spans="2:14" ht="18" customHeight="1" x14ac:dyDescent="0.25">
      <c r="B76" s="47">
        <f>IF(C76="","",COUNT($C$7:C76))</f>
        <v>70</v>
      </c>
      <c r="C76" s="48">
        <v>46503</v>
      </c>
      <c r="D76" s="49" t="s">
        <v>105</v>
      </c>
      <c r="E76" s="49" t="s">
        <v>106</v>
      </c>
      <c r="F76" s="49" t="s">
        <v>107</v>
      </c>
      <c r="G76" s="49" t="s">
        <v>108</v>
      </c>
      <c r="H76" s="49" t="s">
        <v>109</v>
      </c>
      <c r="I76" s="50">
        <v>54862</v>
      </c>
      <c r="J76" s="50">
        <v>54896</v>
      </c>
      <c r="K76" s="51">
        <f t="shared" si="3"/>
        <v>34</v>
      </c>
      <c r="L76" s="52">
        <f t="shared" si="4"/>
        <v>0</v>
      </c>
      <c r="M76" s="53" t="str">
        <f t="shared" si="5"/>
        <v>Conforme</v>
      </c>
      <c r="N76" s="49"/>
    </row>
    <row r="77" spans="2:14" ht="18" customHeight="1" x14ac:dyDescent="0.25">
      <c r="B77" s="47">
        <f>IF(C77="","",COUNT($C$7:C77))</f>
        <v>71</v>
      </c>
      <c r="C77" s="48">
        <v>46504</v>
      </c>
      <c r="D77" s="49" t="s">
        <v>105</v>
      </c>
      <c r="E77" s="49" t="s">
        <v>106</v>
      </c>
      <c r="F77" s="49" t="s">
        <v>120</v>
      </c>
      <c r="G77" s="49" t="s">
        <v>132</v>
      </c>
      <c r="H77" s="49" t="s">
        <v>112</v>
      </c>
      <c r="I77" s="50">
        <v>54896</v>
      </c>
      <c r="J77" s="50">
        <v>55073</v>
      </c>
      <c r="K77" s="51">
        <f t="shared" si="3"/>
        <v>177</v>
      </c>
      <c r="L77" s="52">
        <f t="shared" si="4"/>
        <v>0</v>
      </c>
      <c r="M77" s="53" t="str">
        <f t="shared" si="5"/>
        <v>Conforme</v>
      </c>
      <c r="N77" s="49"/>
    </row>
    <row r="78" spans="2:14" ht="18" customHeight="1" x14ac:dyDescent="0.25">
      <c r="B78" s="47">
        <f>IF(C78="","",COUNT($C$7:C78))</f>
        <v>72</v>
      </c>
      <c r="C78" s="48">
        <v>46506</v>
      </c>
      <c r="D78" s="49" t="s">
        <v>105</v>
      </c>
      <c r="E78" s="49" t="s">
        <v>106</v>
      </c>
      <c r="F78" s="49" t="s">
        <v>140</v>
      </c>
      <c r="G78" s="49" t="s">
        <v>141</v>
      </c>
      <c r="H78" s="49" t="s">
        <v>112</v>
      </c>
      <c r="I78" s="50">
        <v>55073</v>
      </c>
      <c r="J78" s="50">
        <v>55201</v>
      </c>
      <c r="K78" s="51">
        <f t="shared" si="3"/>
        <v>128</v>
      </c>
      <c r="L78" s="52">
        <f t="shared" si="4"/>
        <v>0</v>
      </c>
      <c r="M78" s="53" t="str">
        <f t="shared" si="5"/>
        <v>Conforme</v>
      </c>
      <c r="N78" s="49"/>
    </row>
    <row r="79" spans="2:14" ht="18" customHeight="1" x14ac:dyDescent="0.25">
      <c r="B79" s="47">
        <f>IF(C79="","",COUNT($C$7:C79))</f>
        <v>73</v>
      </c>
      <c r="C79" s="48">
        <v>46508</v>
      </c>
      <c r="D79" s="49" t="s">
        <v>105</v>
      </c>
      <c r="E79" s="49" t="s">
        <v>106</v>
      </c>
      <c r="F79" s="49" t="s">
        <v>130</v>
      </c>
      <c r="G79" s="49" t="s">
        <v>131</v>
      </c>
      <c r="H79" s="49" t="s">
        <v>117</v>
      </c>
      <c r="I79" s="50">
        <v>55201</v>
      </c>
      <c r="J79" s="50">
        <v>55225</v>
      </c>
      <c r="K79" s="51">
        <f t="shared" si="3"/>
        <v>24</v>
      </c>
      <c r="L79" s="52">
        <f t="shared" si="4"/>
        <v>0</v>
      </c>
      <c r="M79" s="53" t="str">
        <f t="shared" si="5"/>
        <v>Conforme</v>
      </c>
      <c r="N79" s="49"/>
    </row>
    <row r="80" spans="2:14" ht="18" customHeight="1" x14ac:dyDescent="0.25">
      <c r="B80" s="47">
        <f>IF(C80="","",COUNT($C$7:C80))</f>
        <v>74</v>
      </c>
      <c r="C80" s="48">
        <v>46510</v>
      </c>
      <c r="D80" s="49" t="s">
        <v>105</v>
      </c>
      <c r="E80" s="49" t="s">
        <v>106</v>
      </c>
      <c r="F80" s="49" t="s">
        <v>107</v>
      </c>
      <c r="G80" s="49" t="s">
        <v>108</v>
      </c>
      <c r="H80" s="49" t="s">
        <v>109</v>
      </c>
      <c r="I80" s="50">
        <v>55225</v>
      </c>
      <c r="J80" s="50">
        <v>55259</v>
      </c>
      <c r="K80" s="51">
        <f t="shared" si="3"/>
        <v>34</v>
      </c>
      <c r="L80" s="52">
        <f t="shared" si="4"/>
        <v>0</v>
      </c>
      <c r="M80" s="53" t="str">
        <f t="shared" si="5"/>
        <v>Conforme</v>
      </c>
      <c r="N80" s="49"/>
    </row>
    <row r="81" spans="2:14" ht="18" customHeight="1" x14ac:dyDescent="0.25">
      <c r="B81" s="47">
        <f>IF(C81="","",COUNT($C$7:C81))</f>
        <v>75</v>
      </c>
      <c r="C81" s="48">
        <v>46511</v>
      </c>
      <c r="D81" s="49" t="s">
        <v>105</v>
      </c>
      <c r="E81" s="49" t="s">
        <v>106</v>
      </c>
      <c r="F81" s="49" t="s">
        <v>124</v>
      </c>
      <c r="G81" s="49" t="s">
        <v>125</v>
      </c>
      <c r="H81" s="49" t="s">
        <v>112</v>
      </c>
      <c r="I81" s="50">
        <v>55259</v>
      </c>
      <c r="J81" s="50">
        <v>55373</v>
      </c>
      <c r="K81" s="51">
        <f t="shared" si="3"/>
        <v>114</v>
      </c>
      <c r="L81" s="52">
        <f t="shared" si="4"/>
        <v>0</v>
      </c>
      <c r="M81" s="53" t="str">
        <f t="shared" si="5"/>
        <v>Conforme</v>
      </c>
      <c r="N81" s="49"/>
    </row>
    <row r="82" spans="2:14" ht="18" customHeight="1" x14ac:dyDescent="0.25">
      <c r="B82" s="47">
        <f>IF(C82="","",COUNT($C$7:C82))</f>
        <v>76</v>
      </c>
      <c r="C82" s="48">
        <v>46513</v>
      </c>
      <c r="D82" s="49" t="s">
        <v>105</v>
      </c>
      <c r="E82" s="49" t="s">
        <v>106</v>
      </c>
      <c r="F82" s="49" t="s">
        <v>124</v>
      </c>
      <c r="G82" s="49" t="s">
        <v>125</v>
      </c>
      <c r="H82" s="49" t="s">
        <v>112</v>
      </c>
      <c r="I82" s="50">
        <v>55373</v>
      </c>
      <c r="J82" s="50">
        <v>55489</v>
      </c>
      <c r="K82" s="51">
        <f t="shared" si="3"/>
        <v>116</v>
      </c>
      <c r="L82" s="52">
        <f t="shared" si="4"/>
        <v>0</v>
      </c>
      <c r="M82" s="53" t="str">
        <f t="shared" si="5"/>
        <v>Conforme</v>
      </c>
      <c r="N82" s="49"/>
    </row>
    <row r="83" spans="2:14" ht="18" customHeight="1" x14ac:dyDescent="0.25">
      <c r="B83" s="47">
        <f>IF(C83="","",COUNT($C$7:C83))</f>
        <v>77</v>
      </c>
      <c r="C83" s="48">
        <v>46515</v>
      </c>
      <c r="D83" s="49" t="s">
        <v>105</v>
      </c>
      <c r="E83" s="49" t="s">
        <v>106</v>
      </c>
      <c r="F83" s="49" t="s">
        <v>126</v>
      </c>
      <c r="G83" s="49" t="s">
        <v>127</v>
      </c>
      <c r="H83" s="49" t="s">
        <v>117</v>
      </c>
      <c r="I83" s="50">
        <v>55489</v>
      </c>
      <c r="J83" s="50">
        <v>55507</v>
      </c>
      <c r="K83" s="51">
        <f t="shared" si="3"/>
        <v>18</v>
      </c>
      <c r="L83" s="52">
        <f t="shared" si="4"/>
        <v>0</v>
      </c>
      <c r="M83" s="53" t="str">
        <f t="shared" si="5"/>
        <v>Conforme</v>
      </c>
      <c r="N83" s="49"/>
    </row>
    <row r="84" spans="2:14" ht="18" customHeight="1" x14ac:dyDescent="0.25">
      <c r="B84" s="47">
        <f>IF(C84="","",COUNT($C$7:C84))</f>
        <v>78</v>
      </c>
      <c r="C84" s="48">
        <v>46517</v>
      </c>
      <c r="D84" s="49" t="s">
        <v>105</v>
      </c>
      <c r="E84" s="49" t="s">
        <v>106</v>
      </c>
      <c r="F84" s="49" t="s">
        <v>107</v>
      </c>
      <c r="G84" s="49" t="s">
        <v>108</v>
      </c>
      <c r="H84" s="49" t="s">
        <v>109</v>
      </c>
      <c r="I84" s="50">
        <v>55507</v>
      </c>
      <c r="J84" s="50">
        <v>55541</v>
      </c>
      <c r="K84" s="51">
        <f t="shared" si="3"/>
        <v>34</v>
      </c>
      <c r="L84" s="52">
        <f t="shared" si="4"/>
        <v>0</v>
      </c>
      <c r="M84" s="53" t="str">
        <f t="shared" si="5"/>
        <v>Conforme</v>
      </c>
      <c r="N84" s="49"/>
    </row>
    <row r="85" spans="2:14" ht="18" customHeight="1" x14ac:dyDescent="0.25">
      <c r="B85" s="47">
        <f>IF(C85="","",COUNT($C$7:C85))</f>
        <v>79</v>
      </c>
      <c r="C85" s="48">
        <v>46518</v>
      </c>
      <c r="D85" s="49" t="s">
        <v>105</v>
      </c>
      <c r="E85" s="49" t="s">
        <v>106</v>
      </c>
      <c r="F85" s="49" t="s">
        <v>124</v>
      </c>
      <c r="G85" s="49" t="s">
        <v>125</v>
      </c>
      <c r="H85" s="49" t="s">
        <v>112</v>
      </c>
      <c r="I85" s="50">
        <v>55541</v>
      </c>
      <c r="J85" s="50">
        <v>55658</v>
      </c>
      <c r="K85" s="51">
        <f t="shared" si="3"/>
        <v>117</v>
      </c>
      <c r="L85" s="52">
        <f t="shared" si="4"/>
        <v>0</v>
      </c>
      <c r="M85" s="53" t="str">
        <f t="shared" si="5"/>
        <v>Conforme</v>
      </c>
      <c r="N85" s="49"/>
    </row>
    <row r="86" spans="2:14" ht="18" customHeight="1" x14ac:dyDescent="0.25">
      <c r="B86" s="47">
        <f>IF(C86="","",COUNT($C$7:C86))</f>
        <v>80</v>
      </c>
      <c r="C86" s="48">
        <v>46520</v>
      </c>
      <c r="D86" s="49" t="s">
        <v>105</v>
      </c>
      <c r="E86" s="49" t="s">
        <v>106</v>
      </c>
      <c r="F86" s="49" t="s">
        <v>110</v>
      </c>
      <c r="G86" s="49" t="s">
        <v>111</v>
      </c>
      <c r="H86" s="49" t="s">
        <v>112</v>
      </c>
      <c r="I86" s="50">
        <v>55658</v>
      </c>
      <c r="J86" s="50">
        <v>55760</v>
      </c>
      <c r="K86" s="51">
        <f t="shared" si="3"/>
        <v>102</v>
      </c>
      <c r="L86" s="52">
        <f t="shared" si="4"/>
        <v>0</v>
      </c>
      <c r="M86" s="53" t="str">
        <f t="shared" si="5"/>
        <v>Conforme</v>
      </c>
      <c r="N86" s="49"/>
    </row>
    <row r="87" spans="2:14" ht="18" customHeight="1" x14ac:dyDescent="0.25">
      <c r="B87" s="47">
        <f>IF(C87="","",COUNT($C$7:C87))</f>
        <v>81</v>
      </c>
      <c r="C87" s="48">
        <v>46522</v>
      </c>
      <c r="D87" s="49" t="s">
        <v>133</v>
      </c>
      <c r="E87" s="49" t="s">
        <v>106</v>
      </c>
      <c r="F87" s="49" t="s">
        <v>122</v>
      </c>
      <c r="G87" s="49" t="s">
        <v>123</v>
      </c>
      <c r="H87" s="49" t="s">
        <v>117</v>
      </c>
      <c r="I87" s="50">
        <v>55760</v>
      </c>
      <c r="J87" s="50">
        <v>55822</v>
      </c>
      <c r="K87" s="51">
        <f t="shared" si="3"/>
        <v>62</v>
      </c>
      <c r="L87" s="52">
        <f t="shared" si="4"/>
        <v>0</v>
      </c>
      <c r="M87" s="53" t="str">
        <f t="shared" si="5"/>
        <v>Conforme</v>
      </c>
      <c r="N87" s="49"/>
    </row>
    <row r="88" spans="2:14" ht="18" customHeight="1" x14ac:dyDescent="0.25">
      <c r="B88" s="47">
        <f>IF(C88="","",COUNT($C$7:C88))</f>
        <v>82</v>
      </c>
      <c r="C88" s="48">
        <v>46524</v>
      </c>
      <c r="D88" s="49" t="s">
        <v>105</v>
      </c>
      <c r="E88" s="49" t="s">
        <v>106</v>
      </c>
      <c r="F88" s="49" t="s">
        <v>107</v>
      </c>
      <c r="G88" s="49" t="s">
        <v>108</v>
      </c>
      <c r="H88" s="49" t="s">
        <v>109</v>
      </c>
      <c r="I88" s="50">
        <v>55822</v>
      </c>
      <c r="J88" s="50">
        <v>55856</v>
      </c>
      <c r="K88" s="51">
        <f t="shared" si="3"/>
        <v>34</v>
      </c>
      <c r="L88" s="52">
        <f t="shared" si="4"/>
        <v>0</v>
      </c>
      <c r="M88" s="53" t="str">
        <f t="shared" si="5"/>
        <v>Conforme</v>
      </c>
      <c r="N88" s="49"/>
    </row>
    <row r="89" spans="2:14" ht="18" customHeight="1" x14ac:dyDescent="0.25">
      <c r="B89" s="47">
        <f>IF(C89="","",COUNT($C$7:C89))</f>
        <v>83</v>
      </c>
      <c r="C89" s="48">
        <v>46525</v>
      </c>
      <c r="D89" s="49" t="s">
        <v>105</v>
      </c>
      <c r="E89" s="49" t="s">
        <v>106</v>
      </c>
      <c r="F89" s="49" t="s">
        <v>120</v>
      </c>
      <c r="G89" s="49" t="s">
        <v>121</v>
      </c>
      <c r="H89" s="49" t="s">
        <v>112</v>
      </c>
      <c r="I89" s="50">
        <v>55856</v>
      </c>
      <c r="J89" s="50">
        <v>56024</v>
      </c>
      <c r="K89" s="51">
        <f t="shared" si="3"/>
        <v>168</v>
      </c>
      <c r="L89" s="52">
        <f t="shared" si="4"/>
        <v>0</v>
      </c>
      <c r="M89" s="53" t="str">
        <f t="shared" si="5"/>
        <v>Conforme</v>
      </c>
      <c r="N89" s="49"/>
    </row>
    <row r="90" spans="2:14" ht="18" customHeight="1" x14ac:dyDescent="0.25">
      <c r="B90" s="47">
        <f>IF(C90="","",COUNT($C$7:C90))</f>
        <v>84</v>
      </c>
      <c r="C90" s="48">
        <v>46526</v>
      </c>
      <c r="D90" s="49" t="s">
        <v>105</v>
      </c>
      <c r="E90" s="49" t="s">
        <v>106</v>
      </c>
      <c r="F90" s="49" t="s">
        <v>124</v>
      </c>
      <c r="G90" s="49" t="s">
        <v>125</v>
      </c>
      <c r="H90" s="49" t="s">
        <v>112</v>
      </c>
      <c r="I90" s="50">
        <v>56024</v>
      </c>
      <c r="J90" s="50">
        <v>56138</v>
      </c>
      <c r="K90" s="51">
        <f t="shared" si="3"/>
        <v>114</v>
      </c>
      <c r="L90" s="52">
        <f t="shared" si="4"/>
        <v>0</v>
      </c>
      <c r="M90" s="53" t="str">
        <f t="shared" si="5"/>
        <v>Conforme</v>
      </c>
      <c r="N90" s="49"/>
    </row>
    <row r="91" spans="2:14" ht="18" customHeight="1" x14ac:dyDescent="0.25">
      <c r="B91" s="47">
        <f>IF(C91="","",COUNT($C$7:C91))</f>
        <v>85</v>
      </c>
      <c r="C91" s="48">
        <v>46528</v>
      </c>
      <c r="D91" s="49" t="s">
        <v>105</v>
      </c>
      <c r="E91" s="49" t="s">
        <v>106</v>
      </c>
      <c r="F91" s="49" t="s">
        <v>113</v>
      </c>
      <c r="G91" s="49" t="s">
        <v>114</v>
      </c>
      <c r="H91" s="49" t="s">
        <v>112</v>
      </c>
      <c r="I91" s="50">
        <v>56138</v>
      </c>
      <c r="J91" s="50">
        <v>56349</v>
      </c>
      <c r="K91" s="51">
        <f t="shared" si="3"/>
        <v>211</v>
      </c>
      <c r="L91" s="52">
        <f t="shared" si="4"/>
        <v>0</v>
      </c>
      <c r="M91" s="53" t="str">
        <f t="shared" si="5"/>
        <v>Conforme</v>
      </c>
      <c r="N91" s="49"/>
    </row>
    <row r="92" spans="2:14" ht="18" customHeight="1" x14ac:dyDescent="0.25">
      <c r="B92" s="47">
        <f>IF(C92="","",COUNT($C$7:C92))</f>
        <v>86</v>
      </c>
      <c r="C92" s="48">
        <v>46529</v>
      </c>
      <c r="D92" s="49" t="s">
        <v>133</v>
      </c>
      <c r="E92" s="49" t="s">
        <v>106</v>
      </c>
      <c r="F92" s="49" t="s">
        <v>143</v>
      </c>
      <c r="G92" s="49" t="s">
        <v>144</v>
      </c>
      <c r="H92" s="49" t="s">
        <v>117</v>
      </c>
      <c r="I92" s="50">
        <v>56349</v>
      </c>
      <c r="J92" s="50">
        <v>56370</v>
      </c>
      <c r="K92" s="51">
        <f t="shared" si="3"/>
        <v>21</v>
      </c>
      <c r="L92" s="52">
        <f t="shared" si="4"/>
        <v>0</v>
      </c>
      <c r="M92" s="53" t="str">
        <f t="shared" si="5"/>
        <v>Conforme</v>
      </c>
      <c r="N92" s="49"/>
    </row>
    <row r="93" spans="2:14" ht="18" customHeight="1" x14ac:dyDescent="0.25">
      <c r="B93" s="47">
        <f>IF(C93="","",COUNT($C$7:C93))</f>
        <v>87</v>
      </c>
      <c r="C93" s="48">
        <v>46531</v>
      </c>
      <c r="D93" s="49" t="s">
        <v>105</v>
      </c>
      <c r="E93" s="49" t="s">
        <v>106</v>
      </c>
      <c r="F93" s="49" t="s">
        <v>107</v>
      </c>
      <c r="G93" s="49" t="s">
        <v>108</v>
      </c>
      <c r="H93" s="49" t="s">
        <v>109</v>
      </c>
      <c r="I93" s="50">
        <v>56370</v>
      </c>
      <c r="J93" s="50">
        <v>56404</v>
      </c>
      <c r="K93" s="51">
        <f t="shared" si="3"/>
        <v>34</v>
      </c>
      <c r="L93" s="52">
        <f t="shared" si="4"/>
        <v>0</v>
      </c>
      <c r="M93" s="53" t="str">
        <f t="shared" si="5"/>
        <v>Conforme</v>
      </c>
      <c r="N93" s="49"/>
    </row>
    <row r="94" spans="2:14" ht="18" customHeight="1" x14ac:dyDescent="0.25">
      <c r="B94" s="47">
        <f>IF(C94="","",COUNT($C$7:C94))</f>
        <v>88</v>
      </c>
      <c r="C94" s="48">
        <v>46532</v>
      </c>
      <c r="D94" s="49" t="s">
        <v>105</v>
      </c>
      <c r="E94" s="49" t="s">
        <v>106</v>
      </c>
      <c r="F94" s="49" t="s">
        <v>145</v>
      </c>
      <c r="G94" s="49" t="s">
        <v>146</v>
      </c>
      <c r="H94" s="49" t="s">
        <v>112</v>
      </c>
      <c r="I94" s="50">
        <v>56404</v>
      </c>
      <c r="J94" s="50">
        <v>56624</v>
      </c>
      <c r="K94" s="51">
        <f t="shared" si="3"/>
        <v>220</v>
      </c>
      <c r="L94" s="52">
        <f t="shared" si="4"/>
        <v>0</v>
      </c>
      <c r="M94" s="53" t="str">
        <f t="shared" si="5"/>
        <v>Conforme</v>
      </c>
      <c r="N94" s="49"/>
    </row>
    <row r="95" spans="2:14" ht="18" customHeight="1" x14ac:dyDescent="0.25">
      <c r="B95" s="47">
        <f>IF(C95="","",COUNT($C$7:C95))</f>
        <v>89</v>
      </c>
      <c r="C95" s="48">
        <v>46533</v>
      </c>
      <c r="D95" s="49" t="s">
        <v>105</v>
      </c>
      <c r="E95" s="49" t="s">
        <v>106</v>
      </c>
      <c r="F95" s="49" t="s">
        <v>118</v>
      </c>
      <c r="G95" s="49" t="s">
        <v>119</v>
      </c>
      <c r="H95" s="49" t="s">
        <v>112</v>
      </c>
      <c r="I95" s="50">
        <v>56624</v>
      </c>
      <c r="J95" s="50">
        <v>56775</v>
      </c>
      <c r="K95" s="51">
        <f t="shared" si="3"/>
        <v>151</v>
      </c>
      <c r="L95" s="52">
        <f t="shared" si="4"/>
        <v>0</v>
      </c>
      <c r="M95" s="53" t="str">
        <f t="shared" si="5"/>
        <v>Conforme</v>
      </c>
      <c r="N95" s="49"/>
    </row>
    <row r="96" spans="2:14" ht="18" customHeight="1" x14ac:dyDescent="0.25">
      <c r="B96" s="47">
        <f>IF(C96="","",COUNT($C$7:C96))</f>
        <v>90</v>
      </c>
      <c r="C96" s="48">
        <v>46535</v>
      </c>
      <c r="D96" s="49" t="s">
        <v>105</v>
      </c>
      <c r="E96" s="49" t="s">
        <v>106</v>
      </c>
      <c r="F96" s="49" t="s">
        <v>145</v>
      </c>
      <c r="G96" s="49" t="s">
        <v>146</v>
      </c>
      <c r="H96" s="49" t="s">
        <v>112</v>
      </c>
      <c r="I96" s="50">
        <v>56775</v>
      </c>
      <c r="J96" s="50">
        <v>56995</v>
      </c>
      <c r="K96" s="51">
        <f t="shared" si="3"/>
        <v>220</v>
      </c>
      <c r="L96" s="52">
        <f t="shared" si="4"/>
        <v>0</v>
      </c>
      <c r="M96" s="53" t="str">
        <f t="shared" si="5"/>
        <v>Conforme</v>
      </c>
      <c r="N96" s="49"/>
    </row>
    <row r="97" spans="2:14" ht="18" customHeight="1" x14ac:dyDescent="0.25">
      <c r="B97" s="47">
        <f>IF(C97="","",COUNT($C$7:C97))</f>
        <v>91</v>
      </c>
      <c r="C97" s="48">
        <v>46536</v>
      </c>
      <c r="D97" s="49" t="s">
        <v>133</v>
      </c>
      <c r="E97" s="49" t="s">
        <v>106</v>
      </c>
      <c r="F97" s="49" t="s">
        <v>115</v>
      </c>
      <c r="G97" s="49" t="s">
        <v>116</v>
      </c>
      <c r="H97" s="49" t="s">
        <v>117</v>
      </c>
      <c r="I97" s="50">
        <v>56995</v>
      </c>
      <c r="J97" s="50">
        <v>57005</v>
      </c>
      <c r="K97" s="51">
        <f t="shared" si="3"/>
        <v>10</v>
      </c>
      <c r="L97" s="52">
        <f t="shared" si="4"/>
        <v>0</v>
      </c>
      <c r="M97" s="53" t="str">
        <f t="shared" si="5"/>
        <v>Conforme</v>
      </c>
      <c r="N97" s="49"/>
    </row>
    <row r="98" spans="2:14" ht="18" customHeight="1" x14ac:dyDescent="0.25">
      <c r="B98" s="47">
        <f>IF(C98="","",COUNT($C$7:C98))</f>
        <v>92</v>
      </c>
      <c r="C98" s="48">
        <v>46538</v>
      </c>
      <c r="D98" s="49" t="s">
        <v>105</v>
      </c>
      <c r="E98" s="49" t="s">
        <v>106</v>
      </c>
      <c r="F98" s="49" t="s">
        <v>107</v>
      </c>
      <c r="G98" s="49" t="s">
        <v>108</v>
      </c>
      <c r="H98" s="49" t="s">
        <v>109</v>
      </c>
      <c r="I98" s="50">
        <v>57005</v>
      </c>
      <c r="J98" s="50">
        <v>57039</v>
      </c>
      <c r="K98" s="51">
        <f t="shared" si="3"/>
        <v>34</v>
      </c>
      <c r="L98" s="52">
        <f t="shared" si="4"/>
        <v>0</v>
      </c>
      <c r="M98" s="53" t="str">
        <f t="shared" si="5"/>
        <v>Conforme</v>
      </c>
      <c r="N98" s="49"/>
    </row>
    <row r="99" spans="2:14" ht="18" customHeight="1" x14ac:dyDescent="0.25">
      <c r="B99" s="47">
        <f>IF(C99="","",COUNT($C$7:C99))</f>
        <v>93</v>
      </c>
      <c r="C99" s="48">
        <v>46539</v>
      </c>
      <c r="D99" s="49" t="s">
        <v>105</v>
      </c>
      <c r="E99" s="49" t="s">
        <v>106</v>
      </c>
      <c r="F99" s="49" t="s">
        <v>134</v>
      </c>
      <c r="G99" s="49" t="s">
        <v>135</v>
      </c>
      <c r="H99" s="49" t="s">
        <v>112</v>
      </c>
      <c r="I99" s="50">
        <v>57039</v>
      </c>
      <c r="J99" s="50">
        <v>57236</v>
      </c>
      <c r="K99" s="51">
        <f t="shared" si="3"/>
        <v>197</v>
      </c>
      <c r="L99" s="52">
        <f t="shared" si="4"/>
        <v>0</v>
      </c>
      <c r="M99" s="53" t="str">
        <f t="shared" si="5"/>
        <v>Conforme</v>
      </c>
      <c r="N99" s="49"/>
    </row>
    <row r="100" spans="2:14" ht="18" customHeight="1" x14ac:dyDescent="0.25">
      <c r="B100" s="47">
        <f>IF(C100="","",COUNT($C$7:C100))</f>
        <v>94</v>
      </c>
      <c r="C100" s="48">
        <v>46541</v>
      </c>
      <c r="D100" s="49" t="s">
        <v>105</v>
      </c>
      <c r="E100" s="49" t="s">
        <v>106</v>
      </c>
      <c r="F100" s="49" t="s">
        <v>140</v>
      </c>
      <c r="G100" s="49" t="s">
        <v>141</v>
      </c>
      <c r="H100" s="49" t="s">
        <v>112</v>
      </c>
      <c r="I100" s="50">
        <v>57236</v>
      </c>
      <c r="J100" s="50">
        <v>57364</v>
      </c>
      <c r="K100" s="51">
        <f t="shared" si="3"/>
        <v>128</v>
      </c>
      <c r="L100" s="52">
        <f t="shared" si="4"/>
        <v>0</v>
      </c>
      <c r="M100" s="53" t="str">
        <f t="shared" si="5"/>
        <v>Conforme</v>
      </c>
      <c r="N100" s="49"/>
    </row>
    <row r="101" spans="2:14" ht="18" customHeight="1" x14ac:dyDescent="0.25">
      <c r="B101" s="47">
        <f>IF(C101="","",COUNT($C$7:C101))</f>
        <v>95</v>
      </c>
      <c r="C101" s="48">
        <v>46543</v>
      </c>
      <c r="D101" s="49" t="s">
        <v>105</v>
      </c>
      <c r="E101" s="49" t="s">
        <v>106</v>
      </c>
      <c r="F101" s="49" t="s">
        <v>115</v>
      </c>
      <c r="G101" s="49" t="s">
        <v>116</v>
      </c>
      <c r="H101" s="49" t="s">
        <v>117</v>
      </c>
      <c r="I101" s="50">
        <v>57364</v>
      </c>
      <c r="J101" s="50">
        <v>57376</v>
      </c>
      <c r="K101" s="51">
        <f t="shared" si="3"/>
        <v>12</v>
      </c>
      <c r="L101" s="52">
        <f t="shared" si="4"/>
        <v>0</v>
      </c>
      <c r="M101" s="53" t="str">
        <f t="shared" si="5"/>
        <v>Conforme</v>
      </c>
      <c r="N101" s="49"/>
    </row>
    <row r="102" spans="2:14" ht="18" customHeight="1" x14ac:dyDescent="0.25">
      <c r="B102" s="47">
        <f>IF(C102="","",COUNT($C$7:C102))</f>
        <v>96</v>
      </c>
      <c r="C102" s="48">
        <v>46545</v>
      </c>
      <c r="D102" s="49" t="s">
        <v>105</v>
      </c>
      <c r="E102" s="49" t="s">
        <v>106</v>
      </c>
      <c r="F102" s="49" t="s">
        <v>107</v>
      </c>
      <c r="G102" s="49" t="s">
        <v>108</v>
      </c>
      <c r="H102" s="49" t="s">
        <v>109</v>
      </c>
      <c r="I102" s="50">
        <v>57376</v>
      </c>
      <c r="J102" s="50">
        <v>57410</v>
      </c>
      <c r="K102" s="51">
        <f t="shared" si="3"/>
        <v>34</v>
      </c>
      <c r="L102" s="52">
        <f t="shared" si="4"/>
        <v>0</v>
      </c>
      <c r="M102" s="53" t="str">
        <f t="shared" si="5"/>
        <v>Conforme</v>
      </c>
      <c r="N102" s="49"/>
    </row>
    <row r="103" spans="2:14" ht="18" customHeight="1" x14ac:dyDescent="0.25">
      <c r="B103" s="47">
        <f>IF(C103="","",COUNT($C$7:C103))</f>
        <v>97</v>
      </c>
      <c r="C103" s="48">
        <v>46546</v>
      </c>
      <c r="D103" s="49" t="s">
        <v>105</v>
      </c>
      <c r="E103" s="49" t="s">
        <v>106</v>
      </c>
      <c r="F103" s="49" t="s">
        <v>128</v>
      </c>
      <c r="G103" s="49" t="s">
        <v>129</v>
      </c>
      <c r="H103" s="49" t="s">
        <v>112</v>
      </c>
      <c r="I103" s="50">
        <v>57410</v>
      </c>
      <c r="J103" s="50">
        <v>57496</v>
      </c>
      <c r="K103" s="51">
        <f t="shared" si="3"/>
        <v>86</v>
      </c>
      <c r="L103" s="52">
        <f t="shared" si="4"/>
        <v>0</v>
      </c>
      <c r="M103" s="53" t="str">
        <f t="shared" si="5"/>
        <v>Conforme</v>
      </c>
      <c r="N103" s="49"/>
    </row>
    <row r="104" spans="2:14" ht="18" customHeight="1" x14ac:dyDescent="0.25">
      <c r="B104" s="47">
        <f>IF(C104="","",COUNT($C$7:C104))</f>
        <v>98</v>
      </c>
      <c r="C104" s="48">
        <v>46548</v>
      </c>
      <c r="D104" s="49" t="s">
        <v>105</v>
      </c>
      <c r="E104" s="49" t="s">
        <v>106</v>
      </c>
      <c r="F104" s="49" t="s">
        <v>120</v>
      </c>
      <c r="G104" s="49" t="s">
        <v>132</v>
      </c>
      <c r="H104" s="49" t="s">
        <v>112</v>
      </c>
      <c r="I104" s="50">
        <v>57496</v>
      </c>
      <c r="J104" s="50">
        <v>57665</v>
      </c>
      <c r="K104" s="51">
        <f t="shared" si="3"/>
        <v>169</v>
      </c>
      <c r="L104" s="52">
        <f t="shared" si="4"/>
        <v>0</v>
      </c>
      <c r="M104" s="53" t="str">
        <f t="shared" si="5"/>
        <v>Conforme</v>
      </c>
      <c r="N104" s="49"/>
    </row>
    <row r="105" spans="2:14" ht="18" customHeight="1" x14ac:dyDescent="0.25">
      <c r="B105" s="47">
        <f>IF(C105="","",COUNT($C$7:C105))</f>
        <v>99</v>
      </c>
      <c r="C105" s="48">
        <v>46550</v>
      </c>
      <c r="D105" s="49" t="s">
        <v>133</v>
      </c>
      <c r="E105" s="49" t="s">
        <v>106</v>
      </c>
      <c r="F105" s="49" t="s">
        <v>115</v>
      </c>
      <c r="G105" s="49" t="s">
        <v>116</v>
      </c>
      <c r="H105" s="49" t="s">
        <v>117</v>
      </c>
      <c r="I105" s="50">
        <v>57665</v>
      </c>
      <c r="J105" s="50">
        <v>57681</v>
      </c>
      <c r="K105" s="51">
        <f t="shared" si="3"/>
        <v>16</v>
      </c>
      <c r="L105" s="52">
        <f t="shared" si="4"/>
        <v>0</v>
      </c>
      <c r="M105" s="53" t="str">
        <f t="shared" si="5"/>
        <v>Conforme</v>
      </c>
      <c r="N105" s="49"/>
    </row>
    <row r="106" spans="2:14" ht="18" customHeight="1" x14ac:dyDescent="0.25">
      <c r="B106" s="47">
        <f>IF(C106="","",COUNT($C$7:C106))</f>
        <v>100</v>
      </c>
      <c r="C106" s="48">
        <v>46552</v>
      </c>
      <c r="D106" s="49" t="s">
        <v>105</v>
      </c>
      <c r="E106" s="49" t="s">
        <v>106</v>
      </c>
      <c r="F106" s="49" t="s">
        <v>107</v>
      </c>
      <c r="G106" s="49" t="s">
        <v>108</v>
      </c>
      <c r="H106" s="49" t="s">
        <v>109</v>
      </c>
      <c r="I106" s="50">
        <v>57681</v>
      </c>
      <c r="J106" s="50">
        <v>57715</v>
      </c>
      <c r="K106" s="51">
        <f t="shared" si="3"/>
        <v>34</v>
      </c>
      <c r="L106" s="52">
        <f t="shared" si="4"/>
        <v>0</v>
      </c>
      <c r="M106" s="53" t="str">
        <f t="shared" si="5"/>
        <v>Conforme</v>
      </c>
      <c r="N106" s="49"/>
    </row>
    <row r="107" spans="2:14" ht="18" customHeight="1" x14ac:dyDescent="0.25">
      <c r="B107" s="47">
        <f>IF(C107="","",COUNT($C$7:C107))</f>
        <v>101</v>
      </c>
      <c r="C107" s="48">
        <v>46553</v>
      </c>
      <c r="D107" s="49" t="s">
        <v>105</v>
      </c>
      <c r="E107" s="49" t="s">
        <v>106</v>
      </c>
      <c r="F107" s="49" t="s">
        <v>134</v>
      </c>
      <c r="G107" s="49" t="s">
        <v>135</v>
      </c>
      <c r="H107" s="49" t="s">
        <v>112</v>
      </c>
      <c r="I107" s="50">
        <v>57715</v>
      </c>
      <c r="J107" s="50">
        <v>57917</v>
      </c>
      <c r="K107" s="51">
        <f t="shared" si="3"/>
        <v>202</v>
      </c>
      <c r="L107" s="52">
        <f t="shared" si="4"/>
        <v>0</v>
      </c>
      <c r="M107" s="53" t="str">
        <f t="shared" si="5"/>
        <v>Conforme</v>
      </c>
      <c r="N107" s="49"/>
    </row>
    <row r="108" spans="2:14" ht="18" customHeight="1" x14ac:dyDescent="0.25">
      <c r="B108" s="47">
        <f>IF(C108="","",COUNT($C$7:C108))</f>
        <v>102</v>
      </c>
      <c r="C108" s="48">
        <v>46555</v>
      </c>
      <c r="D108" s="49" t="s">
        <v>105</v>
      </c>
      <c r="E108" s="49" t="s">
        <v>106</v>
      </c>
      <c r="F108" s="49" t="s">
        <v>124</v>
      </c>
      <c r="G108" s="49" t="s">
        <v>125</v>
      </c>
      <c r="H108" s="49" t="s">
        <v>112</v>
      </c>
      <c r="I108" s="50">
        <v>57917</v>
      </c>
      <c r="J108" s="50">
        <v>58032</v>
      </c>
      <c r="K108" s="51">
        <f t="shared" si="3"/>
        <v>115</v>
      </c>
      <c r="L108" s="52">
        <f t="shared" si="4"/>
        <v>0</v>
      </c>
      <c r="M108" s="53" t="str">
        <f t="shared" si="5"/>
        <v>Conforme</v>
      </c>
      <c r="N108" s="49"/>
    </row>
    <row r="109" spans="2:14" ht="18" customHeight="1" x14ac:dyDescent="0.25">
      <c r="B109" s="47">
        <f>IF(C109="","",COUNT($C$7:C109))</f>
        <v>103</v>
      </c>
      <c r="C109" s="48">
        <v>46557</v>
      </c>
      <c r="D109" s="49" t="s">
        <v>133</v>
      </c>
      <c r="E109" s="49" t="s">
        <v>106</v>
      </c>
      <c r="F109" s="49" t="s">
        <v>136</v>
      </c>
      <c r="G109" s="49" t="s">
        <v>137</v>
      </c>
      <c r="H109" s="49" t="s">
        <v>117</v>
      </c>
      <c r="I109" s="50">
        <v>58032</v>
      </c>
      <c r="J109" s="50">
        <v>58129</v>
      </c>
      <c r="K109" s="51">
        <f t="shared" si="3"/>
        <v>97</v>
      </c>
      <c r="L109" s="52">
        <f t="shared" si="4"/>
        <v>0</v>
      </c>
      <c r="M109" s="53" t="str">
        <f t="shared" si="5"/>
        <v>Conforme</v>
      </c>
      <c r="N109" s="49"/>
    </row>
    <row r="110" spans="2:14" ht="18" customHeight="1" x14ac:dyDescent="0.25">
      <c r="B110" s="47">
        <f>IF(C110="","",COUNT($C$7:C110))</f>
        <v>104</v>
      </c>
      <c r="C110" s="48">
        <v>46559</v>
      </c>
      <c r="D110" s="49" t="s">
        <v>105</v>
      </c>
      <c r="E110" s="49" t="s">
        <v>106</v>
      </c>
      <c r="F110" s="49" t="s">
        <v>107</v>
      </c>
      <c r="G110" s="49" t="s">
        <v>108</v>
      </c>
      <c r="H110" s="49" t="s">
        <v>109</v>
      </c>
      <c r="I110" s="50">
        <v>58129</v>
      </c>
      <c r="J110" s="50">
        <v>58163</v>
      </c>
      <c r="K110" s="51">
        <f t="shared" si="3"/>
        <v>34</v>
      </c>
      <c r="L110" s="52">
        <f t="shared" si="4"/>
        <v>0</v>
      </c>
      <c r="M110" s="53" t="str">
        <f t="shared" si="5"/>
        <v>Conforme</v>
      </c>
      <c r="N110" s="49"/>
    </row>
    <row r="111" spans="2:14" ht="18" customHeight="1" x14ac:dyDescent="0.25">
      <c r="B111" s="47">
        <f>IF(C111="","",COUNT($C$7:C111))</f>
        <v>105</v>
      </c>
      <c r="C111" s="48">
        <v>46560</v>
      </c>
      <c r="D111" s="49" t="s">
        <v>105</v>
      </c>
      <c r="E111" s="49" t="s">
        <v>106</v>
      </c>
      <c r="F111" s="49" t="s">
        <v>113</v>
      </c>
      <c r="G111" s="49" t="s">
        <v>114</v>
      </c>
      <c r="H111" s="49" t="s">
        <v>112</v>
      </c>
      <c r="I111" s="50">
        <v>58163</v>
      </c>
      <c r="J111" s="50">
        <v>58371</v>
      </c>
      <c r="K111" s="51">
        <f t="shared" si="3"/>
        <v>208</v>
      </c>
      <c r="L111" s="52">
        <f t="shared" si="4"/>
        <v>0</v>
      </c>
      <c r="M111" s="53" t="str">
        <f t="shared" si="5"/>
        <v>Conforme</v>
      </c>
      <c r="N111" s="49"/>
    </row>
    <row r="112" spans="2:14" ht="18" customHeight="1" x14ac:dyDescent="0.25">
      <c r="B112" s="47">
        <f>IF(C112="","",COUNT($C$7:C112))</f>
        <v>106</v>
      </c>
      <c r="C112" s="48">
        <v>46562</v>
      </c>
      <c r="D112" s="49" t="s">
        <v>105</v>
      </c>
      <c r="E112" s="49" t="s">
        <v>106</v>
      </c>
      <c r="F112" s="49" t="s">
        <v>110</v>
      </c>
      <c r="G112" s="49" t="s">
        <v>111</v>
      </c>
      <c r="H112" s="49" t="s">
        <v>112</v>
      </c>
      <c r="I112" s="50">
        <v>58371</v>
      </c>
      <c r="J112" s="50">
        <v>58469</v>
      </c>
      <c r="K112" s="51">
        <f t="shared" si="3"/>
        <v>98</v>
      </c>
      <c r="L112" s="52">
        <f t="shared" si="4"/>
        <v>0</v>
      </c>
      <c r="M112" s="53" t="str">
        <f t="shared" si="5"/>
        <v>Conforme</v>
      </c>
      <c r="N112" s="49"/>
    </row>
    <row r="113" spans="2:14" ht="18" customHeight="1" x14ac:dyDescent="0.25">
      <c r="B113" s="47">
        <f>IF(C113="","",COUNT($C$7:C113))</f>
        <v>107</v>
      </c>
      <c r="C113" s="48">
        <v>46564</v>
      </c>
      <c r="D113" s="49" t="s">
        <v>133</v>
      </c>
      <c r="E113" s="49" t="s">
        <v>106</v>
      </c>
      <c r="F113" s="49" t="s">
        <v>136</v>
      </c>
      <c r="G113" s="49" t="s">
        <v>137</v>
      </c>
      <c r="H113" s="49" t="s">
        <v>117</v>
      </c>
      <c r="I113" s="50">
        <v>58469</v>
      </c>
      <c r="J113" s="50">
        <v>58568</v>
      </c>
      <c r="K113" s="51">
        <f t="shared" si="3"/>
        <v>99</v>
      </c>
      <c r="L113" s="52">
        <f t="shared" si="4"/>
        <v>0</v>
      </c>
      <c r="M113" s="53" t="str">
        <f t="shared" si="5"/>
        <v>Conforme</v>
      </c>
      <c r="N113" s="49"/>
    </row>
    <row r="114" spans="2:14" ht="18" customHeight="1" x14ac:dyDescent="0.25">
      <c r="B114" s="47">
        <f>IF(C114="","",COUNT($C$7:C114))</f>
        <v>108</v>
      </c>
      <c r="C114" s="48">
        <v>46566</v>
      </c>
      <c r="D114" s="49" t="s">
        <v>105</v>
      </c>
      <c r="E114" s="49" t="s">
        <v>106</v>
      </c>
      <c r="F114" s="49" t="s">
        <v>107</v>
      </c>
      <c r="G114" s="49" t="s">
        <v>108</v>
      </c>
      <c r="H114" s="49" t="s">
        <v>109</v>
      </c>
      <c r="I114" s="50">
        <v>58568</v>
      </c>
      <c r="J114" s="50">
        <v>58602</v>
      </c>
      <c r="K114" s="51">
        <f t="shared" si="3"/>
        <v>34</v>
      </c>
      <c r="L114" s="52">
        <f t="shared" si="4"/>
        <v>0</v>
      </c>
      <c r="M114" s="53" t="str">
        <f t="shared" si="5"/>
        <v>Conforme</v>
      </c>
      <c r="N114" s="49"/>
    </row>
    <row r="115" spans="2:14" ht="18" customHeight="1" x14ac:dyDescent="0.25">
      <c r="B115" s="47">
        <f>IF(C115="","",COUNT($C$7:C115))</f>
        <v>109</v>
      </c>
      <c r="C115" s="48">
        <v>46567</v>
      </c>
      <c r="D115" s="49" t="s">
        <v>105</v>
      </c>
      <c r="E115" s="49" t="s">
        <v>106</v>
      </c>
      <c r="F115" s="49" t="s">
        <v>120</v>
      </c>
      <c r="G115" s="49" t="s">
        <v>121</v>
      </c>
      <c r="H115" s="49" t="s">
        <v>112</v>
      </c>
      <c r="I115" s="50">
        <v>58602</v>
      </c>
      <c r="J115" s="50">
        <v>58776</v>
      </c>
      <c r="K115" s="51">
        <f t="shared" si="3"/>
        <v>174</v>
      </c>
      <c r="L115" s="52">
        <f t="shared" si="4"/>
        <v>0</v>
      </c>
      <c r="M115" s="53" t="str">
        <f t="shared" si="5"/>
        <v>Conforme</v>
      </c>
      <c r="N115" s="49"/>
    </row>
    <row r="116" spans="2:14" ht="18" customHeight="1" x14ac:dyDescent="0.25">
      <c r="B116" s="47">
        <f>IF(C116="","",COUNT($C$7:C116))</f>
        <v>110</v>
      </c>
      <c r="C116" s="48">
        <v>46569</v>
      </c>
      <c r="D116" s="49" t="s">
        <v>105</v>
      </c>
      <c r="E116" s="49" t="s">
        <v>106</v>
      </c>
      <c r="F116" s="49" t="s">
        <v>124</v>
      </c>
      <c r="G116" s="49" t="s">
        <v>125</v>
      </c>
      <c r="H116" s="49" t="s">
        <v>112</v>
      </c>
      <c r="I116" s="50">
        <v>58776</v>
      </c>
      <c r="J116" s="50">
        <v>58891</v>
      </c>
      <c r="K116" s="51">
        <f t="shared" si="3"/>
        <v>115</v>
      </c>
      <c r="L116" s="52">
        <f t="shared" si="4"/>
        <v>0</v>
      </c>
      <c r="M116" s="53" t="str">
        <f t="shared" si="5"/>
        <v>Conforme</v>
      </c>
      <c r="N116" s="49"/>
    </row>
    <row r="117" spans="2:14" ht="18" customHeight="1" x14ac:dyDescent="0.25">
      <c r="B117" s="47">
        <f>IF(C117="","",COUNT($C$7:C117))</f>
        <v>111</v>
      </c>
      <c r="C117" s="48">
        <v>46571</v>
      </c>
      <c r="D117" s="49" t="s">
        <v>105</v>
      </c>
      <c r="E117" s="49" t="s">
        <v>106</v>
      </c>
      <c r="F117" s="49" t="s">
        <v>126</v>
      </c>
      <c r="G117" s="49" t="s">
        <v>127</v>
      </c>
      <c r="H117" s="49" t="s">
        <v>117</v>
      </c>
      <c r="I117" s="50">
        <v>58891</v>
      </c>
      <c r="J117" s="50">
        <v>58909</v>
      </c>
      <c r="K117" s="51">
        <f t="shared" si="3"/>
        <v>18</v>
      </c>
      <c r="L117" s="52">
        <f t="shared" si="4"/>
        <v>0</v>
      </c>
      <c r="M117" s="53" t="str">
        <f t="shared" si="5"/>
        <v>Conforme</v>
      </c>
      <c r="N117" s="49"/>
    </row>
    <row r="118" spans="2:14" ht="18" customHeight="1" x14ac:dyDescent="0.25">
      <c r="B118" s="47">
        <f>IF(C118="","",COUNT($C$7:C118))</f>
        <v>112</v>
      </c>
      <c r="C118" s="48">
        <v>46573</v>
      </c>
      <c r="D118" s="49" t="s">
        <v>105</v>
      </c>
      <c r="E118" s="49" t="s">
        <v>106</v>
      </c>
      <c r="F118" s="49" t="s">
        <v>107</v>
      </c>
      <c r="G118" s="49" t="s">
        <v>108</v>
      </c>
      <c r="H118" s="49" t="s">
        <v>109</v>
      </c>
      <c r="I118" s="50">
        <v>58909</v>
      </c>
      <c r="J118" s="50">
        <v>58943</v>
      </c>
      <c r="K118" s="51">
        <f t="shared" si="3"/>
        <v>34</v>
      </c>
      <c r="L118" s="52">
        <f t="shared" si="4"/>
        <v>0</v>
      </c>
      <c r="M118" s="53" t="str">
        <f t="shared" si="5"/>
        <v>Conforme</v>
      </c>
      <c r="N118" s="49"/>
    </row>
    <row r="119" spans="2:14" ht="18" customHeight="1" x14ac:dyDescent="0.25">
      <c r="B119" s="47">
        <f>IF(C119="","",COUNT($C$7:C119))</f>
        <v>113</v>
      </c>
      <c r="C119" s="48">
        <v>46574</v>
      </c>
      <c r="D119" s="49" t="s">
        <v>105</v>
      </c>
      <c r="E119" s="49" t="s">
        <v>106</v>
      </c>
      <c r="F119" s="49" t="s">
        <v>113</v>
      </c>
      <c r="G119" s="49" t="s">
        <v>114</v>
      </c>
      <c r="H119" s="49" t="s">
        <v>112</v>
      </c>
      <c r="I119" s="50">
        <v>58943</v>
      </c>
      <c r="J119" s="50">
        <v>59151</v>
      </c>
      <c r="K119" s="51">
        <f t="shared" si="3"/>
        <v>208</v>
      </c>
      <c r="L119" s="52">
        <f t="shared" si="4"/>
        <v>0</v>
      </c>
      <c r="M119" s="53" t="str">
        <f t="shared" si="5"/>
        <v>Conforme</v>
      </c>
      <c r="N119" s="49"/>
    </row>
    <row r="120" spans="2:14" ht="18" customHeight="1" x14ac:dyDescent="0.25">
      <c r="B120" s="47">
        <f>IF(C120="","",COUNT($C$7:C120))</f>
        <v>114</v>
      </c>
      <c r="C120" s="48">
        <v>46576</v>
      </c>
      <c r="D120" s="49" t="s">
        <v>105</v>
      </c>
      <c r="E120" s="49" t="s">
        <v>106</v>
      </c>
      <c r="F120" s="49" t="s">
        <v>140</v>
      </c>
      <c r="G120" s="49" t="s">
        <v>141</v>
      </c>
      <c r="H120" s="49" t="s">
        <v>112</v>
      </c>
      <c r="I120" s="50">
        <v>59151</v>
      </c>
      <c r="J120" s="50">
        <v>59277</v>
      </c>
      <c r="K120" s="51">
        <f t="shared" si="3"/>
        <v>126</v>
      </c>
      <c r="L120" s="52">
        <f t="shared" si="4"/>
        <v>0</v>
      </c>
      <c r="M120" s="53" t="str">
        <f t="shared" si="5"/>
        <v>Conforme</v>
      </c>
      <c r="N120" s="49"/>
    </row>
    <row r="121" spans="2:14" ht="18" customHeight="1" x14ac:dyDescent="0.25">
      <c r="B121" s="47">
        <f>IF(C121="","",COUNT($C$7:C121))</f>
        <v>115</v>
      </c>
      <c r="C121" s="48">
        <v>46578</v>
      </c>
      <c r="D121" s="49" t="s">
        <v>133</v>
      </c>
      <c r="E121" s="49" t="s">
        <v>106</v>
      </c>
      <c r="F121" s="49" t="s">
        <v>115</v>
      </c>
      <c r="G121" s="49" t="s">
        <v>116</v>
      </c>
      <c r="H121" s="49" t="s">
        <v>117</v>
      </c>
      <c r="I121" s="50">
        <v>59277</v>
      </c>
      <c r="J121" s="50">
        <v>59288</v>
      </c>
      <c r="K121" s="51">
        <f t="shared" si="3"/>
        <v>11</v>
      </c>
      <c r="L121" s="52">
        <f t="shared" si="4"/>
        <v>0</v>
      </c>
      <c r="M121" s="53" t="str">
        <f t="shared" si="5"/>
        <v>Conforme</v>
      </c>
      <c r="N121" s="49"/>
    </row>
    <row r="122" spans="2:14" ht="18" customHeight="1" x14ac:dyDescent="0.25">
      <c r="B122" s="47">
        <f>IF(C122="","",COUNT($C$7:C122))</f>
        <v>116</v>
      </c>
      <c r="C122" s="48">
        <v>46580</v>
      </c>
      <c r="D122" s="49" t="s">
        <v>105</v>
      </c>
      <c r="E122" s="49" t="s">
        <v>106</v>
      </c>
      <c r="F122" s="49" t="s">
        <v>107</v>
      </c>
      <c r="G122" s="49" t="s">
        <v>108</v>
      </c>
      <c r="H122" s="49" t="s">
        <v>109</v>
      </c>
      <c r="I122" s="50">
        <v>59288</v>
      </c>
      <c r="J122" s="50">
        <v>59322</v>
      </c>
      <c r="K122" s="51">
        <f t="shared" si="3"/>
        <v>34</v>
      </c>
      <c r="L122" s="52">
        <f t="shared" si="4"/>
        <v>0</v>
      </c>
      <c r="M122" s="53" t="str">
        <f t="shared" si="5"/>
        <v>Conforme</v>
      </c>
      <c r="N122" s="49"/>
    </row>
    <row r="123" spans="2:14" ht="18" customHeight="1" x14ac:dyDescent="0.25">
      <c r="B123" s="47">
        <f>IF(C123="","",COUNT($C$7:C123))</f>
        <v>117</v>
      </c>
      <c r="C123" s="48">
        <v>46581</v>
      </c>
      <c r="D123" s="49" t="s">
        <v>105</v>
      </c>
      <c r="E123" s="49" t="s">
        <v>106</v>
      </c>
      <c r="F123" s="49" t="s">
        <v>124</v>
      </c>
      <c r="G123" s="49" t="s">
        <v>125</v>
      </c>
      <c r="H123" s="49" t="s">
        <v>112</v>
      </c>
      <c r="I123" s="50">
        <v>59322</v>
      </c>
      <c r="J123" s="50">
        <v>59440</v>
      </c>
      <c r="K123" s="51">
        <f t="shared" si="3"/>
        <v>118</v>
      </c>
      <c r="L123" s="52">
        <f t="shared" si="4"/>
        <v>0</v>
      </c>
      <c r="M123" s="53" t="str">
        <f t="shared" si="5"/>
        <v>Conforme</v>
      </c>
      <c r="N123" s="49"/>
    </row>
    <row r="124" spans="2:14" ht="18" customHeight="1" x14ac:dyDescent="0.25">
      <c r="B124" s="47">
        <f>IF(C124="","",COUNT($C$7:C124))</f>
        <v>118</v>
      </c>
      <c r="C124" s="48">
        <v>46583</v>
      </c>
      <c r="D124" s="49" t="s">
        <v>105</v>
      </c>
      <c r="E124" s="49" t="s">
        <v>106</v>
      </c>
      <c r="F124" s="49" t="s">
        <v>124</v>
      </c>
      <c r="G124" s="49" t="s">
        <v>125</v>
      </c>
      <c r="H124" s="49" t="s">
        <v>112</v>
      </c>
      <c r="I124" s="50">
        <v>59440</v>
      </c>
      <c r="J124" s="50">
        <v>59549</v>
      </c>
      <c r="K124" s="51">
        <f t="shared" si="3"/>
        <v>109</v>
      </c>
      <c r="L124" s="52">
        <f t="shared" si="4"/>
        <v>0</v>
      </c>
      <c r="M124" s="53" t="str">
        <f t="shared" si="5"/>
        <v>Conforme</v>
      </c>
      <c r="N124" s="49"/>
    </row>
    <row r="125" spans="2:14" ht="18" customHeight="1" x14ac:dyDescent="0.25">
      <c r="B125" s="47">
        <f>IF(C125="","",COUNT($C$7:C125))</f>
        <v>119</v>
      </c>
      <c r="C125" s="48">
        <v>46585</v>
      </c>
      <c r="D125" s="49" t="s">
        <v>133</v>
      </c>
      <c r="E125" s="49" t="s">
        <v>106</v>
      </c>
      <c r="F125" s="49" t="s">
        <v>115</v>
      </c>
      <c r="G125" s="49" t="s">
        <v>116</v>
      </c>
      <c r="H125" s="49" t="s">
        <v>117</v>
      </c>
      <c r="I125" s="50">
        <v>59549</v>
      </c>
      <c r="J125" s="50">
        <v>59565</v>
      </c>
      <c r="K125" s="51">
        <f t="shared" si="3"/>
        <v>16</v>
      </c>
      <c r="L125" s="52">
        <f t="shared" si="4"/>
        <v>0</v>
      </c>
      <c r="M125" s="53" t="str">
        <f t="shared" si="5"/>
        <v>Conforme</v>
      </c>
      <c r="N125" s="49"/>
    </row>
    <row r="126" spans="2:14" ht="18" customHeight="1" x14ac:dyDescent="0.25">
      <c r="B126" s="47">
        <f>IF(C126="","",COUNT($C$7:C126))</f>
        <v>120</v>
      </c>
      <c r="C126" s="48">
        <v>46587</v>
      </c>
      <c r="D126" s="49" t="s">
        <v>105</v>
      </c>
      <c r="E126" s="49" t="s">
        <v>106</v>
      </c>
      <c r="F126" s="49" t="s">
        <v>107</v>
      </c>
      <c r="G126" s="49" t="s">
        <v>108</v>
      </c>
      <c r="H126" s="49" t="s">
        <v>109</v>
      </c>
      <c r="I126" s="50">
        <v>59565</v>
      </c>
      <c r="J126" s="50">
        <v>59599</v>
      </c>
      <c r="K126" s="51">
        <f t="shared" si="3"/>
        <v>34</v>
      </c>
      <c r="L126" s="52">
        <f t="shared" si="4"/>
        <v>0</v>
      </c>
      <c r="M126" s="53" t="str">
        <f t="shared" si="5"/>
        <v>Conforme</v>
      </c>
      <c r="N126" s="49"/>
    </row>
    <row r="127" spans="2:14" ht="18" customHeight="1" x14ac:dyDescent="0.25">
      <c r="B127" s="47">
        <f>IF(C127="","",COUNT($C$7:C127))</f>
        <v>121</v>
      </c>
      <c r="C127" s="48">
        <v>46588</v>
      </c>
      <c r="D127" s="49" t="s">
        <v>105</v>
      </c>
      <c r="E127" s="49" t="s">
        <v>106</v>
      </c>
      <c r="F127" s="49" t="s">
        <v>124</v>
      </c>
      <c r="G127" s="49" t="s">
        <v>125</v>
      </c>
      <c r="H127" s="49" t="s">
        <v>112</v>
      </c>
      <c r="I127" s="50">
        <v>59599</v>
      </c>
      <c r="J127" s="50">
        <v>59716</v>
      </c>
      <c r="K127" s="51">
        <f t="shared" si="3"/>
        <v>117</v>
      </c>
      <c r="L127" s="52">
        <f t="shared" si="4"/>
        <v>0</v>
      </c>
      <c r="M127" s="53" t="str">
        <f t="shared" si="5"/>
        <v>Conforme</v>
      </c>
      <c r="N127" s="49"/>
    </row>
    <row r="128" spans="2:14" ht="18" customHeight="1" x14ac:dyDescent="0.25">
      <c r="B128" s="47">
        <f>IF(C128="","",COUNT($C$7:C128))</f>
        <v>122</v>
      </c>
      <c r="C128" s="48">
        <v>46590</v>
      </c>
      <c r="D128" s="49" t="s">
        <v>105</v>
      </c>
      <c r="E128" s="49" t="s">
        <v>106</v>
      </c>
      <c r="F128" s="49" t="s">
        <v>145</v>
      </c>
      <c r="G128" s="49" t="s">
        <v>146</v>
      </c>
      <c r="H128" s="49" t="s">
        <v>112</v>
      </c>
      <c r="I128" s="50">
        <v>59716</v>
      </c>
      <c r="J128" s="50">
        <v>59931</v>
      </c>
      <c r="K128" s="51">
        <f t="shared" si="3"/>
        <v>215</v>
      </c>
      <c r="L128" s="52">
        <f t="shared" si="4"/>
        <v>0</v>
      </c>
      <c r="M128" s="53" t="str">
        <f t="shared" si="5"/>
        <v>Conforme</v>
      </c>
      <c r="N128" s="49"/>
    </row>
    <row r="129" spans="2:14" ht="18" customHeight="1" x14ac:dyDescent="0.25">
      <c r="B129" s="47">
        <f>IF(C129="","",COUNT($C$7:C129))</f>
        <v>123</v>
      </c>
      <c r="C129" s="48">
        <v>46592</v>
      </c>
      <c r="D129" s="49" t="s">
        <v>133</v>
      </c>
      <c r="E129" s="49" t="s">
        <v>106</v>
      </c>
      <c r="F129" s="49" t="s">
        <v>130</v>
      </c>
      <c r="G129" s="49" t="s">
        <v>131</v>
      </c>
      <c r="H129" s="49" t="s">
        <v>117</v>
      </c>
      <c r="I129" s="50">
        <v>59931</v>
      </c>
      <c r="J129" s="50">
        <v>59955</v>
      </c>
      <c r="K129" s="51">
        <f t="shared" si="3"/>
        <v>24</v>
      </c>
      <c r="L129" s="52">
        <f t="shared" si="4"/>
        <v>0</v>
      </c>
      <c r="M129" s="53" t="str">
        <f t="shared" si="5"/>
        <v>Conforme</v>
      </c>
      <c r="N129" s="49"/>
    </row>
    <row r="130" spans="2:14" ht="18" customHeight="1" x14ac:dyDescent="0.25">
      <c r="B130" s="47">
        <f>IF(C130="","",COUNT($C$7:C130))</f>
        <v>124</v>
      </c>
      <c r="C130" s="48">
        <v>46594</v>
      </c>
      <c r="D130" s="49" t="s">
        <v>105</v>
      </c>
      <c r="E130" s="49" t="s">
        <v>106</v>
      </c>
      <c r="F130" s="49" t="s">
        <v>107</v>
      </c>
      <c r="G130" s="49" t="s">
        <v>108</v>
      </c>
      <c r="H130" s="49" t="s">
        <v>109</v>
      </c>
      <c r="I130" s="50">
        <v>59955</v>
      </c>
      <c r="J130" s="50">
        <v>59989</v>
      </c>
      <c r="K130" s="51">
        <f t="shared" si="3"/>
        <v>34</v>
      </c>
      <c r="L130" s="52">
        <f t="shared" si="4"/>
        <v>0</v>
      </c>
      <c r="M130" s="53" t="str">
        <f t="shared" si="5"/>
        <v>Conforme</v>
      </c>
      <c r="N130" s="49"/>
    </row>
    <row r="131" spans="2:14" ht="18" customHeight="1" x14ac:dyDescent="0.25">
      <c r="B131" s="47">
        <f>IF(C131="","",COUNT($C$7:C131))</f>
        <v>125</v>
      </c>
      <c r="C131" s="48">
        <v>46595</v>
      </c>
      <c r="D131" s="49" t="s">
        <v>105</v>
      </c>
      <c r="E131" s="49" t="s">
        <v>106</v>
      </c>
      <c r="F131" s="49" t="s">
        <v>120</v>
      </c>
      <c r="G131" s="49" t="s">
        <v>121</v>
      </c>
      <c r="H131" s="49" t="s">
        <v>112</v>
      </c>
      <c r="I131" s="50">
        <v>59989</v>
      </c>
      <c r="J131" s="50">
        <v>60166</v>
      </c>
      <c r="K131" s="51">
        <f t="shared" si="3"/>
        <v>177</v>
      </c>
      <c r="L131" s="52">
        <f t="shared" si="4"/>
        <v>0</v>
      </c>
      <c r="M131" s="53" t="str">
        <f t="shared" si="5"/>
        <v>Conforme</v>
      </c>
      <c r="N131" s="49"/>
    </row>
    <row r="132" spans="2:14" ht="18" customHeight="1" x14ac:dyDescent="0.25">
      <c r="B132" s="47">
        <f>IF(C132="","",COUNT($C$7:C132))</f>
        <v>126</v>
      </c>
      <c r="C132" s="48">
        <v>46597</v>
      </c>
      <c r="D132" s="49" t="s">
        <v>105</v>
      </c>
      <c r="E132" s="49" t="s">
        <v>106</v>
      </c>
      <c r="F132" s="49" t="s">
        <v>128</v>
      </c>
      <c r="G132" s="49" t="s">
        <v>129</v>
      </c>
      <c r="H132" s="49" t="s">
        <v>112</v>
      </c>
      <c r="I132" s="50">
        <v>60166</v>
      </c>
      <c r="J132" s="50">
        <v>60259</v>
      </c>
      <c r="K132" s="51">
        <f t="shared" si="3"/>
        <v>93</v>
      </c>
      <c r="L132" s="52">
        <f t="shared" si="4"/>
        <v>0</v>
      </c>
      <c r="M132" s="53" t="str">
        <f t="shared" si="5"/>
        <v>Conforme</v>
      </c>
      <c r="N132" s="49"/>
    </row>
    <row r="133" spans="2:14" ht="18" customHeight="1" x14ac:dyDescent="0.25">
      <c r="B133" s="47">
        <f>IF(C133="","",COUNT($C$7:C133))</f>
        <v>127</v>
      </c>
      <c r="C133" s="48">
        <v>46599</v>
      </c>
      <c r="D133" s="49" t="s">
        <v>105</v>
      </c>
      <c r="E133" s="49" t="s">
        <v>106</v>
      </c>
      <c r="F133" s="49" t="s">
        <v>143</v>
      </c>
      <c r="G133" s="49" t="s">
        <v>144</v>
      </c>
      <c r="H133" s="49" t="s">
        <v>117</v>
      </c>
      <c r="I133" s="50">
        <v>60259</v>
      </c>
      <c r="J133" s="50">
        <v>60278</v>
      </c>
      <c r="K133" s="51">
        <f t="shared" si="3"/>
        <v>19</v>
      </c>
      <c r="L133" s="52">
        <f t="shared" si="4"/>
        <v>0</v>
      </c>
      <c r="M133" s="53" t="str">
        <f t="shared" si="5"/>
        <v>Conforme</v>
      </c>
      <c r="N133" s="49"/>
    </row>
    <row r="134" spans="2:14" ht="18" customHeight="1" x14ac:dyDescent="0.25">
      <c r="B134" s="47">
        <f>IF(C134="","",COUNT($C$7:C134))</f>
        <v>128</v>
      </c>
      <c r="C134" s="48">
        <v>46606</v>
      </c>
      <c r="D134" s="49" t="s">
        <v>105</v>
      </c>
      <c r="E134" s="49" t="s">
        <v>106</v>
      </c>
      <c r="F134" s="49" t="s">
        <v>147</v>
      </c>
      <c r="G134" s="49" t="s">
        <v>148</v>
      </c>
      <c r="H134" s="49" t="s">
        <v>117</v>
      </c>
      <c r="I134" s="50">
        <v>60278</v>
      </c>
      <c r="J134" s="50">
        <v>60609</v>
      </c>
      <c r="K134" s="51">
        <f t="shared" si="3"/>
        <v>331</v>
      </c>
      <c r="L134" s="52">
        <f t="shared" si="4"/>
        <v>0</v>
      </c>
      <c r="M134" s="53" t="str">
        <f t="shared" si="5"/>
        <v>Conforme</v>
      </c>
      <c r="N134" s="49"/>
    </row>
    <row r="135" spans="2:14" ht="18" customHeight="1" x14ac:dyDescent="0.25">
      <c r="B135" s="47">
        <f>IF(C135="","",COUNT($C$7:C135))</f>
        <v>129</v>
      </c>
      <c r="C135" s="48">
        <v>46610</v>
      </c>
      <c r="D135" s="49" t="s">
        <v>133</v>
      </c>
      <c r="E135" s="49" t="s">
        <v>147</v>
      </c>
      <c r="F135" s="49" t="s">
        <v>149</v>
      </c>
      <c r="G135" s="49" t="s">
        <v>150</v>
      </c>
      <c r="H135" s="49" t="s">
        <v>117</v>
      </c>
      <c r="I135" s="50">
        <v>60609</v>
      </c>
      <c r="J135" s="50">
        <v>60667</v>
      </c>
      <c r="K135" s="51">
        <f t="shared" ref="K135:K198" si="6">IF(OR(I135="",J135=""),"",J135-I135)</f>
        <v>58</v>
      </c>
      <c r="L135" s="52">
        <f t="shared" si="4"/>
        <v>0</v>
      </c>
      <c r="M135" s="53" t="str">
        <f t="shared" si="5"/>
        <v>Conforme</v>
      </c>
      <c r="N135" s="49"/>
    </row>
    <row r="136" spans="2:14" ht="18" customHeight="1" x14ac:dyDescent="0.25">
      <c r="B136" s="47">
        <f>IF(C136="","",COUNT($C$7:C136))</f>
        <v>130</v>
      </c>
      <c r="C136" s="48">
        <v>46620</v>
      </c>
      <c r="D136" s="49" t="s">
        <v>105</v>
      </c>
      <c r="E136" s="49" t="s">
        <v>147</v>
      </c>
      <c r="F136" s="49" t="s">
        <v>106</v>
      </c>
      <c r="G136" s="49" t="s">
        <v>151</v>
      </c>
      <c r="H136" s="49" t="s">
        <v>117</v>
      </c>
      <c r="I136" s="50">
        <v>60667</v>
      </c>
      <c r="J136" s="50">
        <v>61001</v>
      </c>
      <c r="K136" s="51">
        <f t="shared" si="6"/>
        <v>334</v>
      </c>
      <c r="L136" s="52">
        <f t="shared" ref="L136:L199" si="7">IF(OR(C136="",I136="",J135=""),"",I136-J135)</f>
        <v>0</v>
      </c>
      <c r="M136" s="53" t="str">
        <f t="shared" ref="M136:M199" si="8">IF(C136="","",IF(OR(D136="",E136="",F136="",H136="",I136="",J136="",AND(H136="Professionnel",G136="")),"Incomplet",IF(AND(ISNUMBER(C135),C136&lt;C135),"Ordre des dates",IF(J136&lt;I136,"Compteur incohérent",IF(AND(ISNUMBER(L136),L136&gt;ToleranceKm),"Km non enregistrés",IF(AND(ISNUMBER(L136),L136&lt;-ToleranceKm),"Chevauchement","Conforme"))))))</f>
        <v>Conforme</v>
      </c>
      <c r="N136" s="49"/>
    </row>
    <row r="137" spans="2:14" ht="18" customHeight="1" x14ac:dyDescent="0.25">
      <c r="B137" s="47">
        <f>IF(C137="","",COUNT($C$7:C137))</f>
        <v>131</v>
      </c>
      <c r="C137" s="48">
        <v>46622</v>
      </c>
      <c r="D137" s="49" t="s">
        <v>105</v>
      </c>
      <c r="E137" s="49" t="s">
        <v>106</v>
      </c>
      <c r="F137" s="49" t="s">
        <v>107</v>
      </c>
      <c r="G137" s="49" t="s">
        <v>108</v>
      </c>
      <c r="H137" s="49" t="s">
        <v>109</v>
      </c>
      <c r="I137" s="50">
        <v>61001</v>
      </c>
      <c r="J137" s="50">
        <v>61035</v>
      </c>
      <c r="K137" s="51">
        <f t="shared" si="6"/>
        <v>34</v>
      </c>
      <c r="L137" s="52">
        <f t="shared" si="7"/>
        <v>0</v>
      </c>
      <c r="M137" s="53" t="str">
        <f t="shared" si="8"/>
        <v>Conforme</v>
      </c>
      <c r="N137" s="49"/>
    </row>
    <row r="138" spans="2:14" ht="18" customHeight="1" x14ac:dyDescent="0.25">
      <c r="B138" s="47">
        <f>IF(C138="","",COUNT($C$7:C138))</f>
        <v>132</v>
      </c>
      <c r="C138" s="48">
        <v>46623</v>
      </c>
      <c r="D138" s="49" t="s">
        <v>105</v>
      </c>
      <c r="E138" s="49" t="s">
        <v>106</v>
      </c>
      <c r="F138" s="49" t="s">
        <v>134</v>
      </c>
      <c r="G138" s="49" t="s">
        <v>135</v>
      </c>
      <c r="H138" s="49" t="s">
        <v>112</v>
      </c>
      <c r="I138" s="50">
        <v>61035</v>
      </c>
      <c r="J138" s="50">
        <v>61237</v>
      </c>
      <c r="K138" s="51">
        <f t="shared" si="6"/>
        <v>202</v>
      </c>
      <c r="L138" s="52">
        <f t="shared" si="7"/>
        <v>0</v>
      </c>
      <c r="M138" s="53" t="str">
        <f t="shared" si="8"/>
        <v>Conforme</v>
      </c>
      <c r="N138" s="49"/>
    </row>
    <row r="139" spans="2:14" ht="18" customHeight="1" x14ac:dyDescent="0.25">
      <c r="B139" s="47">
        <f>IF(C139="","",COUNT($C$7:C139))</f>
        <v>133</v>
      </c>
      <c r="C139" s="48">
        <v>46624</v>
      </c>
      <c r="D139" s="49" t="s">
        <v>105</v>
      </c>
      <c r="E139" s="49" t="s">
        <v>106</v>
      </c>
      <c r="F139" s="49" t="s">
        <v>110</v>
      </c>
      <c r="G139" s="49" t="s">
        <v>111</v>
      </c>
      <c r="H139" s="49" t="s">
        <v>112</v>
      </c>
      <c r="I139" s="50">
        <v>61237</v>
      </c>
      <c r="J139" s="50">
        <v>61338</v>
      </c>
      <c r="K139" s="51">
        <f t="shared" si="6"/>
        <v>101</v>
      </c>
      <c r="L139" s="52">
        <f t="shared" si="7"/>
        <v>0</v>
      </c>
      <c r="M139" s="53" t="str">
        <f t="shared" si="8"/>
        <v>Conforme</v>
      </c>
      <c r="N139" s="49"/>
    </row>
    <row r="140" spans="2:14" ht="18" customHeight="1" x14ac:dyDescent="0.25">
      <c r="B140" s="47">
        <f>IF(C140="","",COUNT($C$7:C140))</f>
        <v>134</v>
      </c>
      <c r="C140" s="48">
        <v>46626</v>
      </c>
      <c r="D140" s="49" t="s">
        <v>105</v>
      </c>
      <c r="E140" s="49" t="s">
        <v>106</v>
      </c>
      <c r="F140" s="49" t="s">
        <v>134</v>
      </c>
      <c r="G140" s="49" t="s">
        <v>135</v>
      </c>
      <c r="H140" s="49" t="s">
        <v>112</v>
      </c>
      <c r="I140" s="50">
        <v>61338</v>
      </c>
      <c r="J140" s="50">
        <v>61532</v>
      </c>
      <c r="K140" s="51">
        <f t="shared" si="6"/>
        <v>194</v>
      </c>
      <c r="L140" s="52">
        <f t="shared" si="7"/>
        <v>0</v>
      </c>
      <c r="M140" s="53" t="str">
        <f t="shared" si="8"/>
        <v>Conforme</v>
      </c>
      <c r="N140" s="49"/>
    </row>
    <row r="141" spans="2:14" ht="18" customHeight="1" x14ac:dyDescent="0.25">
      <c r="B141" s="47">
        <f>IF(C141="","",COUNT($C$7:C141))</f>
        <v>135</v>
      </c>
      <c r="C141" s="48">
        <v>46627</v>
      </c>
      <c r="D141" s="49" t="s">
        <v>133</v>
      </c>
      <c r="E141" s="49" t="s">
        <v>106</v>
      </c>
      <c r="F141" s="49" t="s">
        <v>122</v>
      </c>
      <c r="G141" s="49" t="s">
        <v>123</v>
      </c>
      <c r="H141" s="49" t="s">
        <v>117</v>
      </c>
      <c r="I141" s="50">
        <v>61532</v>
      </c>
      <c r="J141" s="50">
        <v>61596</v>
      </c>
      <c r="K141" s="51">
        <f t="shared" si="6"/>
        <v>64</v>
      </c>
      <c r="L141" s="52">
        <f t="shared" si="7"/>
        <v>0</v>
      </c>
      <c r="M141" s="53" t="str">
        <f t="shared" si="8"/>
        <v>Conforme</v>
      </c>
      <c r="N141" s="49"/>
    </row>
    <row r="142" spans="2:14" ht="18" customHeight="1" x14ac:dyDescent="0.25">
      <c r="B142" s="47">
        <f>IF(C142="","",COUNT($C$7:C142))</f>
        <v>136</v>
      </c>
      <c r="C142" s="48">
        <v>46629</v>
      </c>
      <c r="D142" s="49" t="s">
        <v>105</v>
      </c>
      <c r="E142" s="49" t="s">
        <v>106</v>
      </c>
      <c r="F142" s="49" t="s">
        <v>107</v>
      </c>
      <c r="G142" s="49" t="s">
        <v>108</v>
      </c>
      <c r="H142" s="49" t="s">
        <v>109</v>
      </c>
      <c r="I142" s="50">
        <v>61596</v>
      </c>
      <c r="J142" s="50">
        <v>61630</v>
      </c>
      <c r="K142" s="51">
        <f t="shared" si="6"/>
        <v>34</v>
      </c>
      <c r="L142" s="52">
        <f t="shared" si="7"/>
        <v>0</v>
      </c>
      <c r="M142" s="53" t="str">
        <f t="shared" si="8"/>
        <v>Conforme</v>
      </c>
      <c r="N142" s="49"/>
    </row>
    <row r="143" spans="2:14" ht="18" customHeight="1" x14ac:dyDescent="0.25">
      <c r="B143" s="47">
        <f>IF(C143="","",COUNT($C$7:C143))</f>
        <v>137</v>
      </c>
      <c r="C143" s="48">
        <v>46630</v>
      </c>
      <c r="D143" s="49" t="s">
        <v>105</v>
      </c>
      <c r="E143" s="49" t="s">
        <v>106</v>
      </c>
      <c r="F143" s="49" t="s">
        <v>138</v>
      </c>
      <c r="G143" s="49" t="s">
        <v>139</v>
      </c>
      <c r="H143" s="49" t="s">
        <v>112</v>
      </c>
      <c r="I143" s="50">
        <v>61630</v>
      </c>
      <c r="J143" s="50">
        <v>61780</v>
      </c>
      <c r="K143" s="51">
        <f t="shared" si="6"/>
        <v>150</v>
      </c>
      <c r="L143" s="52">
        <f t="shared" si="7"/>
        <v>0</v>
      </c>
      <c r="M143" s="53" t="str">
        <f t="shared" si="8"/>
        <v>Conforme</v>
      </c>
      <c r="N143" s="49"/>
    </row>
    <row r="144" spans="2:14" ht="18" customHeight="1" x14ac:dyDescent="0.25">
      <c r="B144" s="47">
        <f>IF(C144="","",COUNT($C$7:C144))</f>
        <v>138</v>
      </c>
      <c r="C144" s="48">
        <v>46632</v>
      </c>
      <c r="D144" s="49" t="s">
        <v>105</v>
      </c>
      <c r="E144" s="49" t="s">
        <v>106</v>
      </c>
      <c r="F144" s="49" t="s">
        <v>134</v>
      </c>
      <c r="G144" s="49" t="s">
        <v>135</v>
      </c>
      <c r="H144" s="49" t="s">
        <v>112</v>
      </c>
      <c r="I144" s="50">
        <v>61780</v>
      </c>
      <c r="J144" s="50">
        <v>61976</v>
      </c>
      <c r="K144" s="51">
        <f t="shared" si="6"/>
        <v>196</v>
      </c>
      <c r="L144" s="52">
        <f t="shared" si="7"/>
        <v>0</v>
      </c>
      <c r="M144" s="53" t="str">
        <f t="shared" si="8"/>
        <v>Conforme</v>
      </c>
      <c r="N144" s="49"/>
    </row>
    <row r="145" spans="2:14" ht="18" customHeight="1" x14ac:dyDescent="0.25">
      <c r="B145" s="47">
        <f>IF(C145="","",COUNT($C$7:C145))</f>
        <v>139</v>
      </c>
      <c r="C145" s="48">
        <v>46634</v>
      </c>
      <c r="D145" s="49" t="s">
        <v>105</v>
      </c>
      <c r="E145" s="49" t="s">
        <v>106</v>
      </c>
      <c r="F145" s="49" t="s">
        <v>136</v>
      </c>
      <c r="G145" s="49" t="s">
        <v>137</v>
      </c>
      <c r="H145" s="49" t="s">
        <v>117</v>
      </c>
      <c r="I145" s="50">
        <v>61976</v>
      </c>
      <c r="J145" s="50">
        <v>62070</v>
      </c>
      <c r="K145" s="51">
        <f t="shared" si="6"/>
        <v>94</v>
      </c>
      <c r="L145" s="52">
        <f t="shared" si="7"/>
        <v>0</v>
      </c>
      <c r="M145" s="53" t="str">
        <f t="shared" si="8"/>
        <v>Conforme</v>
      </c>
      <c r="N145" s="49"/>
    </row>
    <row r="146" spans="2:14" ht="18" customHeight="1" x14ac:dyDescent="0.25">
      <c r="B146" s="47">
        <f>IF(C146="","",COUNT($C$7:C146))</f>
        <v>140</v>
      </c>
      <c r="C146" s="48">
        <v>46636</v>
      </c>
      <c r="D146" s="49" t="s">
        <v>105</v>
      </c>
      <c r="E146" s="49" t="s">
        <v>106</v>
      </c>
      <c r="F146" s="49" t="s">
        <v>107</v>
      </c>
      <c r="G146" s="49" t="s">
        <v>108</v>
      </c>
      <c r="H146" s="49" t="s">
        <v>109</v>
      </c>
      <c r="I146" s="50">
        <v>62070</v>
      </c>
      <c r="J146" s="50">
        <v>62104</v>
      </c>
      <c r="K146" s="51">
        <f t="shared" si="6"/>
        <v>34</v>
      </c>
      <c r="L146" s="52">
        <f t="shared" si="7"/>
        <v>0</v>
      </c>
      <c r="M146" s="53" t="str">
        <f t="shared" si="8"/>
        <v>Conforme</v>
      </c>
      <c r="N146" s="49"/>
    </row>
    <row r="147" spans="2:14" ht="18" customHeight="1" x14ac:dyDescent="0.25">
      <c r="B147" s="47">
        <f>IF(C147="","",COUNT($C$7:C147))</f>
        <v>141</v>
      </c>
      <c r="C147" s="48">
        <v>46637</v>
      </c>
      <c r="D147" s="49" t="s">
        <v>105</v>
      </c>
      <c r="E147" s="49" t="s">
        <v>106</v>
      </c>
      <c r="F147" s="49" t="s">
        <v>120</v>
      </c>
      <c r="G147" s="49" t="s">
        <v>121</v>
      </c>
      <c r="H147" s="49" t="s">
        <v>112</v>
      </c>
      <c r="I147" s="50">
        <v>62104</v>
      </c>
      <c r="J147" s="50">
        <v>62280</v>
      </c>
      <c r="K147" s="51">
        <f t="shared" si="6"/>
        <v>176</v>
      </c>
      <c r="L147" s="52">
        <f t="shared" si="7"/>
        <v>0</v>
      </c>
      <c r="M147" s="53" t="str">
        <f t="shared" si="8"/>
        <v>Conforme</v>
      </c>
      <c r="N147" s="49"/>
    </row>
    <row r="148" spans="2:14" ht="18" customHeight="1" x14ac:dyDescent="0.25">
      <c r="B148" s="47">
        <f>IF(C148="","",COUNT($C$7:C148))</f>
        <v>142</v>
      </c>
      <c r="C148" s="48">
        <v>46639</v>
      </c>
      <c r="D148" s="49" t="s">
        <v>105</v>
      </c>
      <c r="E148" s="49" t="s">
        <v>106</v>
      </c>
      <c r="F148" s="49" t="s">
        <v>134</v>
      </c>
      <c r="G148" s="49" t="s">
        <v>135</v>
      </c>
      <c r="H148" s="49" t="s">
        <v>112</v>
      </c>
      <c r="I148" s="50">
        <v>62280</v>
      </c>
      <c r="J148" s="50">
        <v>62480</v>
      </c>
      <c r="K148" s="51">
        <f t="shared" si="6"/>
        <v>200</v>
      </c>
      <c r="L148" s="52">
        <f t="shared" si="7"/>
        <v>0</v>
      </c>
      <c r="M148" s="53" t="str">
        <f t="shared" si="8"/>
        <v>Conforme</v>
      </c>
      <c r="N148" s="49"/>
    </row>
    <row r="149" spans="2:14" ht="18" customHeight="1" x14ac:dyDescent="0.25">
      <c r="B149" s="47">
        <f>IF(C149="","",COUNT($C$7:C149))</f>
        <v>143</v>
      </c>
      <c r="C149" s="48">
        <v>46641</v>
      </c>
      <c r="D149" s="49" t="s">
        <v>133</v>
      </c>
      <c r="E149" s="49" t="s">
        <v>106</v>
      </c>
      <c r="F149" s="49" t="s">
        <v>126</v>
      </c>
      <c r="G149" s="49" t="s">
        <v>127</v>
      </c>
      <c r="H149" s="49" t="s">
        <v>117</v>
      </c>
      <c r="I149" s="50">
        <v>62480</v>
      </c>
      <c r="J149" s="50">
        <v>62494</v>
      </c>
      <c r="K149" s="51">
        <f t="shared" si="6"/>
        <v>14</v>
      </c>
      <c r="L149" s="52">
        <f t="shared" si="7"/>
        <v>0</v>
      </c>
      <c r="M149" s="53" t="str">
        <f t="shared" si="8"/>
        <v>Conforme</v>
      </c>
      <c r="N149" s="49"/>
    </row>
    <row r="150" spans="2:14" ht="18" customHeight="1" x14ac:dyDescent="0.25">
      <c r="B150" s="47">
        <f>IF(C150="","",COUNT($C$7:C150))</f>
        <v>144</v>
      </c>
      <c r="C150" s="48">
        <v>46643</v>
      </c>
      <c r="D150" s="49" t="s">
        <v>105</v>
      </c>
      <c r="E150" s="49" t="s">
        <v>106</v>
      </c>
      <c r="F150" s="49" t="s">
        <v>107</v>
      </c>
      <c r="G150" s="49" t="s">
        <v>108</v>
      </c>
      <c r="H150" s="49" t="s">
        <v>109</v>
      </c>
      <c r="I150" s="50">
        <v>62494</v>
      </c>
      <c r="J150" s="50">
        <v>62528</v>
      </c>
      <c r="K150" s="51">
        <f t="shared" si="6"/>
        <v>34</v>
      </c>
      <c r="L150" s="52">
        <f t="shared" si="7"/>
        <v>0</v>
      </c>
      <c r="M150" s="53" t="str">
        <f t="shared" si="8"/>
        <v>Conforme</v>
      </c>
      <c r="N150" s="49"/>
    </row>
    <row r="151" spans="2:14" ht="18" customHeight="1" x14ac:dyDescent="0.25">
      <c r="B151" s="47">
        <f>IF(C151="","",COUNT($C$7:C151))</f>
        <v>145</v>
      </c>
      <c r="C151" s="48">
        <v>46644</v>
      </c>
      <c r="D151" s="49" t="s">
        <v>105</v>
      </c>
      <c r="E151" s="49" t="s">
        <v>106</v>
      </c>
      <c r="F151" s="49" t="s">
        <v>110</v>
      </c>
      <c r="G151" s="49" t="s">
        <v>111</v>
      </c>
      <c r="H151" s="49" t="s">
        <v>112</v>
      </c>
      <c r="I151" s="50">
        <v>62528</v>
      </c>
      <c r="J151" s="50">
        <v>62625</v>
      </c>
      <c r="K151" s="51">
        <f t="shared" si="6"/>
        <v>97</v>
      </c>
      <c r="L151" s="52">
        <f t="shared" si="7"/>
        <v>0</v>
      </c>
      <c r="M151" s="53" t="str">
        <f t="shared" si="8"/>
        <v>Conforme</v>
      </c>
      <c r="N151" s="49"/>
    </row>
    <row r="152" spans="2:14" ht="18" customHeight="1" x14ac:dyDescent="0.25">
      <c r="B152" s="47">
        <f>IF(C152="","",COUNT($C$7:C152))</f>
        <v>146</v>
      </c>
      <c r="C152" s="48">
        <v>46646</v>
      </c>
      <c r="D152" s="49" t="s">
        <v>105</v>
      </c>
      <c r="E152" s="49" t="s">
        <v>106</v>
      </c>
      <c r="F152" s="49" t="s">
        <v>110</v>
      </c>
      <c r="G152" s="49" t="s">
        <v>111</v>
      </c>
      <c r="H152" s="49" t="s">
        <v>112</v>
      </c>
      <c r="I152" s="50">
        <v>62625</v>
      </c>
      <c r="J152" s="50">
        <v>62723</v>
      </c>
      <c r="K152" s="51">
        <f t="shared" si="6"/>
        <v>98</v>
      </c>
      <c r="L152" s="52">
        <f t="shared" si="7"/>
        <v>0</v>
      </c>
      <c r="M152" s="53" t="str">
        <f t="shared" si="8"/>
        <v>Conforme</v>
      </c>
      <c r="N152" s="49"/>
    </row>
    <row r="153" spans="2:14" ht="18" customHeight="1" x14ac:dyDescent="0.25">
      <c r="B153" s="47">
        <f>IF(C153="","",COUNT($C$7:C153))</f>
        <v>147</v>
      </c>
      <c r="C153" s="48">
        <v>46648</v>
      </c>
      <c r="D153" s="49" t="s">
        <v>133</v>
      </c>
      <c r="E153" s="49" t="s">
        <v>106</v>
      </c>
      <c r="F153" s="49" t="s">
        <v>130</v>
      </c>
      <c r="G153" s="49" t="s">
        <v>131</v>
      </c>
      <c r="H153" s="49" t="s">
        <v>117</v>
      </c>
      <c r="I153" s="50">
        <v>62723</v>
      </c>
      <c r="J153" s="50">
        <v>62747</v>
      </c>
      <c r="K153" s="51">
        <f t="shared" si="6"/>
        <v>24</v>
      </c>
      <c r="L153" s="52">
        <f t="shared" si="7"/>
        <v>0</v>
      </c>
      <c r="M153" s="53" t="str">
        <f t="shared" si="8"/>
        <v>Conforme</v>
      </c>
      <c r="N153" s="49"/>
    </row>
    <row r="154" spans="2:14" ht="18" customHeight="1" x14ac:dyDescent="0.25">
      <c r="B154" s="47">
        <f>IF(C154="","",COUNT($C$7:C154))</f>
        <v>148</v>
      </c>
      <c r="C154" s="48">
        <v>46650</v>
      </c>
      <c r="D154" s="49" t="s">
        <v>105</v>
      </c>
      <c r="E154" s="49" t="s">
        <v>106</v>
      </c>
      <c r="F154" s="49" t="s">
        <v>107</v>
      </c>
      <c r="G154" s="49" t="s">
        <v>108</v>
      </c>
      <c r="H154" s="49" t="s">
        <v>109</v>
      </c>
      <c r="I154" s="50">
        <v>62747</v>
      </c>
      <c r="J154" s="50">
        <v>62781</v>
      </c>
      <c r="K154" s="51">
        <f t="shared" si="6"/>
        <v>34</v>
      </c>
      <c r="L154" s="52">
        <f t="shared" si="7"/>
        <v>0</v>
      </c>
      <c r="M154" s="53" t="str">
        <f t="shared" si="8"/>
        <v>Conforme</v>
      </c>
      <c r="N154" s="49"/>
    </row>
    <row r="155" spans="2:14" ht="18" customHeight="1" x14ac:dyDescent="0.25">
      <c r="B155" s="47">
        <f>IF(C155="","",COUNT($C$7:C155))</f>
        <v>149</v>
      </c>
      <c r="C155" s="48">
        <v>46651</v>
      </c>
      <c r="D155" s="49" t="s">
        <v>105</v>
      </c>
      <c r="E155" s="49" t="s">
        <v>106</v>
      </c>
      <c r="F155" s="49" t="s">
        <v>118</v>
      </c>
      <c r="G155" s="49" t="s">
        <v>119</v>
      </c>
      <c r="H155" s="49" t="s">
        <v>112</v>
      </c>
      <c r="I155" s="50">
        <v>62781</v>
      </c>
      <c r="J155" s="50">
        <v>62936</v>
      </c>
      <c r="K155" s="51">
        <f t="shared" si="6"/>
        <v>155</v>
      </c>
      <c r="L155" s="52">
        <f t="shared" si="7"/>
        <v>0</v>
      </c>
      <c r="M155" s="53" t="str">
        <f t="shared" si="8"/>
        <v>Conforme</v>
      </c>
      <c r="N155" s="49"/>
    </row>
    <row r="156" spans="2:14" ht="18" customHeight="1" x14ac:dyDescent="0.25">
      <c r="B156" s="47">
        <f>IF(C156="","",COUNT($C$7:C156))</f>
        <v>150</v>
      </c>
      <c r="C156" s="48">
        <v>46653</v>
      </c>
      <c r="D156" s="49" t="s">
        <v>105</v>
      </c>
      <c r="E156" s="49" t="s">
        <v>106</v>
      </c>
      <c r="F156" s="49" t="s">
        <v>120</v>
      </c>
      <c r="G156" s="49" t="s">
        <v>132</v>
      </c>
      <c r="H156" s="49" t="s">
        <v>112</v>
      </c>
      <c r="I156" s="50">
        <v>62936</v>
      </c>
      <c r="J156" s="50">
        <v>63104</v>
      </c>
      <c r="K156" s="51">
        <f t="shared" si="6"/>
        <v>168</v>
      </c>
      <c r="L156" s="52">
        <f t="shared" si="7"/>
        <v>0</v>
      </c>
      <c r="M156" s="53" t="str">
        <f t="shared" si="8"/>
        <v>Conforme</v>
      </c>
      <c r="N156" s="49"/>
    </row>
    <row r="157" spans="2:14" ht="18" customHeight="1" x14ac:dyDescent="0.25">
      <c r="B157" s="47">
        <f>IF(C157="","",COUNT($C$7:C157))</f>
        <v>151</v>
      </c>
      <c r="C157" s="48">
        <v>46655</v>
      </c>
      <c r="D157" s="49" t="s">
        <v>133</v>
      </c>
      <c r="E157" s="49" t="s">
        <v>106</v>
      </c>
      <c r="F157" s="49" t="s">
        <v>136</v>
      </c>
      <c r="G157" s="49" t="s">
        <v>137</v>
      </c>
      <c r="H157" s="49" t="s">
        <v>117</v>
      </c>
      <c r="I157" s="50">
        <v>63104</v>
      </c>
      <c r="J157" s="50">
        <v>63198</v>
      </c>
      <c r="K157" s="51">
        <f t="shared" si="6"/>
        <v>94</v>
      </c>
      <c r="L157" s="52">
        <f t="shared" si="7"/>
        <v>0</v>
      </c>
      <c r="M157" s="53" t="str">
        <f t="shared" si="8"/>
        <v>Conforme</v>
      </c>
      <c r="N157" s="49"/>
    </row>
    <row r="158" spans="2:14" ht="18" customHeight="1" x14ac:dyDescent="0.25">
      <c r="B158" s="47">
        <f>IF(C158="","",COUNT($C$7:C158))</f>
        <v>152</v>
      </c>
      <c r="C158" s="48">
        <v>46657</v>
      </c>
      <c r="D158" s="49" t="s">
        <v>105</v>
      </c>
      <c r="E158" s="49" t="s">
        <v>106</v>
      </c>
      <c r="F158" s="49" t="s">
        <v>107</v>
      </c>
      <c r="G158" s="49" t="s">
        <v>108</v>
      </c>
      <c r="H158" s="49" t="s">
        <v>109</v>
      </c>
      <c r="I158" s="50">
        <v>63198</v>
      </c>
      <c r="J158" s="50">
        <v>63232</v>
      </c>
      <c r="K158" s="51">
        <f t="shared" si="6"/>
        <v>34</v>
      </c>
      <c r="L158" s="52">
        <f t="shared" si="7"/>
        <v>0</v>
      </c>
      <c r="M158" s="53" t="str">
        <f t="shared" si="8"/>
        <v>Conforme</v>
      </c>
      <c r="N158" s="49"/>
    </row>
    <row r="159" spans="2:14" ht="18" customHeight="1" x14ac:dyDescent="0.25">
      <c r="B159" s="47">
        <f>IF(C159="","",COUNT($C$7:C159))</f>
        <v>153</v>
      </c>
      <c r="C159" s="48">
        <v>46658</v>
      </c>
      <c r="D159" s="49" t="s">
        <v>105</v>
      </c>
      <c r="E159" s="49" t="s">
        <v>106</v>
      </c>
      <c r="F159" s="49" t="s">
        <v>145</v>
      </c>
      <c r="G159" s="49" t="s">
        <v>146</v>
      </c>
      <c r="H159" s="49" t="s">
        <v>112</v>
      </c>
      <c r="I159" s="50">
        <v>63232</v>
      </c>
      <c r="J159" s="50">
        <v>63444</v>
      </c>
      <c r="K159" s="51">
        <f t="shared" si="6"/>
        <v>212</v>
      </c>
      <c r="L159" s="52">
        <f t="shared" si="7"/>
        <v>0</v>
      </c>
      <c r="M159" s="53" t="str">
        <f t="shared" si="8"/>
        <v>Conforme</v>
      </c>
      <c r="N159" s="49"/>
    </row>
    <row r="160" spans="2:14" ht="18" customHeight="1" x14ac:dyDescent="0.25">
      <c r="B160" s="47">
        <f>IF(C160="","",COUNT($C$7:C160))</f>
        <v>154</v>
      </c>
      <c r="C160" s="48">
        <v>46660</v>
      </c>
      <c r="D160" s="49" t="s">
        <v>105</v>
      </c>
      <c r="E160" s="49" t="s">
        <v>106</v>
      </c>
      <c r="F160" s="49" t="s">
        <v>128</v>
      </c>
      <c r="G160" s="49" t="s">
        <v>129</v>
      </c>
      <c r="H160" s="49" t="s">
        <v>112</v>
      </c>
      <c r="I160" s="50">
        <v>63444</v>
      </c>
      <c r="J160" s="50">
        <v>63528</v>
      </c>
      <c r="K160" s="51">
        <f t="shared" si="6"/>
        <v>84</v>
      </c>
      <c r="L160" s="52">
        <f t="shared" si="7"/>
        <v>0</v>
      </c>
      <c r="M160" s="53" t="str">
        <f t="shared" si="8"/>
        <v>Conforme</v>
      </c>
      <c r="N160" s="49"/>
    </row>
    <row r="161" spans="2:14" ht="18" customHeight="1" x14ac:dyDescent="0.25">
      <c r="B161" s="47">
        <f>IF(C161="","",COUNT($C$7:C161))</f>
        <v>155</v>
      </c>
      <c r="C161" s="48">
        <v>46662</v>
      </c>
      <c r="D161" s="49" t="s">
        <v>105</v>
      </c>
      <c r="E161" s="49" t="s">
        <v>106</v>
      </c>
      <c r="F161" s="49" t="s">
        <v>143</v>
      </c>
      <c r="G161" s="49" t="s">
        <v>144</v>
      </c>
      <c r="H161" s="49" t="s">
        <v>117</v>
      </c>
      <c r="I161" s="50">
        <v>63528</v>
      </c>
      <c r="J161" s="50">
        <v>63547</v>
      </c>
      <c r="K161" s="51">
        <f t="shared" si="6"/>
        <v>19</v>
      </c>
      <c r="L161" s="52">
        <f t="shared" si="7"/>
        <v>0</v>
      </c>
      <c r="M161" s="53" t="str">
        <f t="shared" si="8"/>
        <v>Conforme</v>
      </c>
      <c r="N161" s="49"/>
    </row>
    <row r="162" spans="2:14" ht="18" customHeight="1" x14ac:dyDescent="0.25">
      <c r="B162" s="47">
        <f>IF(C162="","",COUNT($C$7:C162))</f>
        <v>156</v>
      </c>
      <c r="C162" s="48">
        <v>46664</v>
      </c>
      <c r="D162" s="49" t="s">
        <v>105</v>
      </c>
      <c r="E162" s="49" t="s">
        <v>106</v>
      </c>
      <c r="F162" s="49" t="s">
        <v>107</v>
      </c>
      <c r="G162" s="49" t="s">
        <v>108</v>
      </c>
      <c r="H162" s="49" t="s">
        <v>109</v>
      </c>
      <c r="I162" s="50">
        <v>63547</v>
      </c>
      <c r="J162" s="50">
        <v>63581</v>
      </c>
      <c r="K162" s="51">
        <f t="shared" si="6"/>
        <v>34</v>
      </c>
      <c r="L162" s="52">
        <f t="shared" si="7"/>
        <v>0</v>
      </c>
      <c r="M162" s="53" t="str">
        <f t="shared" si="8"/>
        <v>Conforme</v>
      </c>
      <c r="N162" s="49"/>
    </row>
    <row r="163" spans="2:14" ht="18" customHeight="1" x14ac:dyDescent="0.25">
      <c r="B163" s="47">
        <f>IF(C163="","",COUNT($C$7:C163))</f>
        <v>157</v>
      </c>
      <c r="C163" s="48">
        <v>46665</v>
      </c>
      <c r="D163" s="49" t="s">
        <v>105</v>
      </c>
      <c r="E163" s="49" t="s">
        <v>106</v>
      </c>
      <c r="F163" s="49" t="s">
        <v>118</v>
      </c>
      <c r="G163" s="49" t="s">
        <v>119</v>
      </c>
      <c r="H163" s="49" t="s">
        <v>112</v>
      </c>
      <c r="I163" s="50">
        <v>63581</v>
      </c>
      <c r="J163" s="50">
        <v>63730</v>
      </c>
      <c r="K163" s="51">
        <f t="shared" si="6"/>
        <v>149</v>
      </c>
      <c r="L163" s="52">
        <f t="shared" si="7"/>
        <v>0</v>
      </c>
      <c r="M163" s="53" t="str">
        <f t="shared" si="8"/>
        <v>Conforme</v>
      </c>
      <c r="N163" s="49"/>
    </row>
    <row r="164" spans="2:14" ht="18" customHeight="1" x14ac:dyDescent="0.25">
      <c r="B164" s="47">
        <f>IF(C164="","",COUNT($C$7:C164))</f>
        <v>158</v>
      </c>
      <c r="C164" s="48">
        <v>46666</v>
      </c>
      <c r="D164" s="49" t="s">
        <v>105</v>
      </c>
      <c r="E164" s="49" t="s">
        <v>106</v>
      </c>
      <c r="F164" s="49" t="s">
        <v>120</v>
      </c>
      <c r="G164" s="49" t="s">
        <v>132</v>
      </c>
      <c r="H164" s="49" t="s">
        <v>112</v>
      </c>
      <c r="I164" s="50">
        <v>63730</v>
      </c>
      <c r="J164" s="50">
        <v>63899</v>
      </c>
      <c r="K164" s="51">
        <f t="shared" si="6"/>
        <v>169</v>
      </c>
      <c r="L164" s="52">
        <f t="shared" si="7"/>
        <v>0</v>
      </c>
      <c r="M164" s="53" t="str">
        <f t="shared" si="8"/>
        <v>Conforme</v>
      </c>
      <c r="N164" s="49"/>
    </row>
    <row r="165" spans="2:14" ht="18" customHeight="1" x14ac:dyDescent="0.25">
      <c r="B165" s="47">
        <f>IF(C165="","",COUNT($C$7:C165))</f>
        <v>159</v>
      </c>
      <c r="C165" s="48">
        <v>46668</v>
      </c>
      <c r="D165" s="49" t="s">
        <v>105</v>
      </c>
      <c r="E165" s="49" t="s">
        <v>106</v>
      </c>
      <c r="F165" s="49" t="s">
        <v>145</v>
      </c>
      <c r="G165" s="49" t="s">
        <v>146</v>
      </c>
      <c r="H165" s="49" t="s">
        <v>112</v>
      </c>
      <c r="I165" s="50">
        <v>63899</v>
      </c>
      <c r="J165" s="50">
        <v>64112</v>
      </c>
      <c r="K165" s="51">
        <f t="shared" si="6"/>
        <v>213</v>
      </c>
      <c r="L165" s="52">
        <f t="shared" si="7"/>
        <v>0</v>
      </c>
      <c r="M165" s="53" t="str">
        <f t="shared" si="8"/>
        <v>Conforme</v>
      </c>
      <c r="N165" s="49"/>
    </row>
    <row r="166" spans="2:14" ht="18" customHeight="1" x14ac:dyDescent="0.25">
      <c r="B166" s="47">
        <f>IF(C166="","",COUNT($C$7:C166))</f>
        <v>160</v>
      </c>
      <c r="C166" s="48">
        <v>46669</v>
      </c>
      <c r="D166" s="49" t="s">
        <v>133</v>
      </c>
      <c r="E166" s="49" t="s">
        <v>106</v>
      </c>
      <c r="F166" s="49" t="s">
        <v>143</v>
      </c>
      <c r="G166" s="49" t="s">
        <v>144</v>
      </c>
      <c r="H166" s="49" t="s">
        <v>117</v>
      </c>
      <c r="I166" s="50">
        <v>64112</v>
      </c>
      <c r="J166" s="50">
        <v>64133</v>
      </c>
      <c r="K166" s="51">
        <f t="shared" si="6"/>
        <v>21</v>
      </c>
      <c r="L166" s="52">
        <f t="shared" si="7"/>
        <v>0</v>
      </c>
      <c r="M166" s="53" t="str">
        <f t="shared" si="8"/>
        <v>Conforme</v>
      </c>
      <c r="N166" s="49"/>
    </row>
    <row r="167" spans="2:14" ht="18" customHeight="1" x14ac:dyDescent="0.25">
      <c r="B167" s="47">
        <f>IF(C167="","",COUNT($C$7:C167))</f>
        <v>161</v>
      </c>
      <c r="C167" s="48">
        <v>46671</v>
      </c>
      <c r="D167" s="49" t="s">
        <v>105</v>
      </c>
      <c r="E167" s="49" t="s">
        <v>106</v>
      </c>
      <c r="F167" s="49" t="s">
        <v>107</v>
      </c>
      <c r="G167" s="49" t="s">
        <v>108</v>
      </c>
      <c r="H167" s="49" t="s">
        <v>109</v>
      </c>
      <c r="I167" s="50">
        <v>64133</v>
      </c>
      <c r="J167" s="50">
        <v>64167</v>
      </c>
      <c r="K167" s="51">
        <f t="shared" si="6"/>
        <v>34</v>
      </c>
      <c r="L167" s="52">
        <f t="shared" si="7"/>
        <v>0</v>
      </c>
      <c r="M167" s="53" t="str">
        <f t="shared" si="8"/>
        <v>Conforme</v>
      </c>
      <c r="N167" s="49"/>
    </row>
    <row r="168" spans="2:14" ht="18" customHeight="1" x14ac:dyDescent="0.25">
      <c r="B168" s="47">
        <f>IF(C168="","",COUNT($C$7:C168))</f>
        <v>162</v>
      </c>
      <c r="C168" s="48">
        <v>46672</v>
      </c>
      <c r="D168" s="49" t="s">
        <v>105</v>
      </c>
      <c r="E168" s="49" t="s">
        <v>106</v>
      </c>
      <c r="F168" s="49" t="s">
        <v>110</v>
      </c>
      <c r="G168" s="49" t="s">
        <v>111</v>
      </c>
      <c r="H168" s="49" t="s">
        <v>112</v>
      </c>
      <c r="I168" s="50">
        <v>64167</v>
      </c>
      <c r="J168" s="50">
        <v>64268</v>
      </c>
      <c r="K168" s="51">
        <f t="shared" si="6"/>
        <v>101</v>
      </c>
      <c r="L168" s="52">
        <f t="shared" si="7"/>
        <v>0</v>
      </c>
      <c r="M168" s="53" t="str">
        <f t="shared" si="8"/>
        <v>Conforme</v>
      </c>
      <c r="N168" s="49"/>
    </row>
    <row r="169" spans="2:14" ht="18" customHeight="1" x14ac:dyDescent="0.25">
      <c r="B169" s="47">
        <f>IF(C169="","",COUNT($C$7:C169))</f>
        <v>163</v>
      </c>
      <c r="C169" s="48">
        <v>46674</v>
      </c>
      <c r="D169" s="49" t="s">
        <v>105</v>
      </c>
      <c r="E169" s="49" t="s">
        <v>106</v>
      </c>
      <c r="F169" s="49" t="s">
        <v>118</v>
      </c>
      <c r="G169" s="49" t="s">
        <v>119</v>
      </c>
      <c r="H169" s="49" t="s">
        <v>112</v>
      </c>
      <c r="I169" s="50">
        <v>64268</v>
      </c>
      <c r="J169" s="50">
        <v>64415</v>
      </c>
      <c r="K169" s="51">
        <f t="shared" si="6"/>
        <v>147</v>
      </c>
      <c r="L169" s="52">
        <f t="shared" si="7"/>
        <v>0</v>
      </c>
      <c r="M169" s="53" t="str">
        <f t="shared" si="8"/>
        <v>Conforme</v>
      </c>
      <c r="N169" s="49"/>
    </row>
    <row r="170" spans="2:14" ht="18" customHeight="1" x14ac:dyDescent="0.25">
      <c r="B170" s="47">
        <f>IF(C170="","",COUNT($C$7:C170))</f>
        <v>164</v>
      </c>
      <c r="C170" s="48">
        <v>46676</v>
      </c>
      <c r="D170" s="49" t="s">
        <v>133</v>
      </c>
      <c r="E170" s="49" t="s">
        <v>106</v>
      </c>
      <c r="F170" s="49" t="s">
        <v>130</v>
      </c>
      <c r="G170" s="49" t="s">
        <v>131</v>
      </c>
      <c r="H170" s="49" t="s">
        <v>117</v>
      </c>
      <c r="I170" s="50">
        <v>64415</v>
      </c>
      <c r="J170" s="50">
        <v>64439</v>
      </c>
      <c r="K170" s="51">
        <f t="shared" si="6"/>
        <v>24</v>
      </c>
      <c r="L170" s="52">
        <f t="shared" si="7"/>
        <v>0</v>
      </c>
      <c r="M170" s="53" t="str">
        <f t="shared" si="8"/>
        <v>Conforme</v>
      </c>
      <c r="N170" s="49"/>
    </row>
    <row r="171" spans="2:14" ht="18" customHeight="1" x14ac:dyDescent="0.25">
      <c r="B171" s="47">
        <f>IF(C171="","",COUNT($C$7:C171))</f>
        <v>165</v>
      </c>
      <c r="C171" s="48">
        <v>46678</v>
      </c>
      <c r="D171" s="49" t="s">
        <v>105</v>
      </c>
      <c r="E171" s="49" t="s">
        <v>106</v>
      </c>
      <c r="F171" s="49" t="s">
        <v>107</v>
      </c>
      <c r="G171" s="49" t="s">
        <v>108</v>
      </c>
      <c r="H171" s="49" t="s">
        <v>109</v>
      </c>
      <c r="I171" s="50">
        <v>64439</v>
      </c>
      <c r="J171" s="50">
        <v>64473</v>
      </c>
      <c r="K171" s="51">
        <f t="shared" si="6"/>
        <v>34</v>
      </c>
      <c r="L171" s="52">
        <f t="shared" si="7"/>
        <v>0</v>
      </c>
      <c r="M171" s="53" t="str">
        <f t="shared" si="8"/>
        <v>Conforme</v>
      </c>
      <c r="N171" s="49"/>
    </row>
    <row r="172" spans="2:14" ht="18" customHeight="1" x14ac:dyDescent="0.25">
      <c r="B172" s="47">
        <f>IF(C172="","",COUNT($C$7:C172))</f>
        <v>166</v>
      </c>
      <c r="C172" s="48">
        <v>46679</v>
      </c>
      <c r="D172" s="49" t="s">
        <v>105</v>
      </c>
      <c r="E172" s="49" t="s">
        <v>106</v>
      </c>
      <c r="F172" s="49" t="s">
        <v>113</v>
      </c>
      <c r="G172" s="49" t="s">
        <v>114</v>
      </c>
      <c r="H172" s="49" t="s">
        <v>112</v>
      </c>
      <c r="I172" s="50">
        <v>64473</v>
      </c>
      <c r="J172" s="50">
        <v>64687</v>
      </c>
      <c r="K172" s="51">
        <f t="shared" si="6"/>
        <v>214</v>
      </c>
      <c r="L172" s="52">
        <f t="shared" si="7"/>
        <v>0</v>
      </c>
      <c r="M172" s="53" t="str">
        <f t="shared" si="8"/>
        <v>Conforme</v>
      </c>
      <c r="N172" s="49"/>
    </row>
    <row r="173" spans="2:14" ht="18" customHeight="1" x14ac:dyDescent="0.25">
      <c r="B173" s="47">
        <f>IF(C173="","",COUNT($C$7:C173))</f>
        <v>167</v>
      </c>
      <c r="C173" s="48">
        <v>46680</v>
      </c>
      <c r="D173" s="49" t="s">
        <v>105</v>
      </c>
      <c r="E173" s="49" t="s">
        <v>106</v>
      </c>
      <c r="F173" s="49" t="s">
        <v>134</v>
      </c>
      <c r="G173" s="49" t="s">
        <v>135</v>
      </c>
      <c r="H173" s="49" t="s">
        <v>112</v>
      </c>
      <c r="I173" s="50">
        <v>64687</v>
      </c>
      <c r="J173" s="50">
        <v>64882</v>
      </c>
      <c r="K173" s="51">
        <f t="shared" si="6"/>
        <v>195</v>
      </c>
      <c r="L173" s="52">
        <f t="shared" si="7"/>
        <v>0</v>
      </c>
      <c r="M173" s="53" t="str">
        <f t="shared" si="8"/>
        <v>Conforme</v>
      </c>
      <c r="N173" s="49"/>
    </row>
    <row r="174" spans="2:14" ht="18" customHeight="1" x14ac:dyDescent="0.25">
      <c r="B174" s="47">
        <f>IF(C174="","",COUNT($C$7:C174))</f>
        <v>168</v>
      </c>
      <c r="C174" s="48">
        <v>46682</v>
      </c>
      <c r="D174" s="49" t="s">
        <v>105</v>
      </c>
      <c r="E174" s="49" t="s">
        <v>106</v>
      </c>
      <c r="F174" s="49" t="s">
        <v>140</v>
      </c>
      <c r="G174" s="49" t="s">
        <v>142</v>
      </c>
      <c r="H174" s="49" t="s">
        <v>112</v>
      </c>
      <c r="I174" s="50">
        <v>64882</v>
      </c>
      <c r="J174" s="50">
        <v>65009</v>
      </c>
      <c r="K174" s="51">
        <f t="shared" si="6"/>
        <v>127</v>
      </c>
      <c r="L174" s="52">
        <f t="shared" si="7"/>
        <v>0</v>
      </c>
      <c r="M174" s="53" t="str">
        <f t="shared" si="8"/>
        <v>Conforme</v>
      </c>
      <c r="N174" s="49"/>
    </row>
    <row r="175" spans="2:14" ht="18" customHeight="1" x14ac:dyDescent="0.25">
      <c r="B175" s="47">
        <f>IF(C175="","",COUNT($C$7:C175))</f>
        <v>169</v>
      </c>
      <c r="C175" s="48">
        <v>46683</v>
      </c>
      <c r="D175" s="49" t="s">
        <v>105</v>
      </c>
      <c r="E175" s="49" t="s">
        <v>106</v>
      </c>
      <c r="F175" s="49" t="s">
        <v>143</v>
      </c>
      <c r="G175" s="49" t="s">
        <v>144</v>
      </c>
      <c r="H175" s="49" t="s">
        <v>117</v>
      </c>
      <c r="I175" s="50">
        <v>65009</v>
      </c>
      <c r="J175" s="50">
        <v>65027</v>
      </c>
      <c r="K175" s="51">
        <f t="shared" si="6"/>
        <v>18</v>
      </c>
      <c r="L175" s="52">
        <f t="shared" si="7"/>
        <v>0</v>
      </c>
      <c r="M175" s="53" t="str">
        <f t="shared" si="8"/>
        <v>Conforme</v>
      </c>
      <c r="N175" s="49"/>
    </row>
    <row r="176" spans="2:14" ht="18" customHeight="1" x14ac:dyDescent="0.25">
      <c r="B176" s="47">
        <f>IF(C176="","",COUNT($C$7:C176))</f>
        <v>170</v>
      </c>
      <c r="C176" s="48">
        <v>46685</v>
      </c>
      <c r="D176" s="49" t="s">
        <v>105</v>
      </c>
      <c r="E176" s="49" t="s">
        <v>106</v>
      </c>
      <c r="F176" s="49" t="s">
        <v>107</v>
      </c>
      <c r="G176" s="49" t="s">
        <v>108</v>
      </c>
      <c r="H176" s="49" t="s">
        <v>109</v>
      </c>
      <c r="I176" s="50">
        <v>65027</v>
      </c>
      <c r="J176" s="50">
        <v>65061</v>
      </c>
      <c r="K176" s="51">
        <f t="shared" si="6"/>
        <v>34</v>
      </c>
      <c r="L176" s="52">
        <f t="shared" si="7"/>
        <v>0</v>
      </c>
      <c r="M176" s="53" t="str">
        <f t="shared" si="8"/>
        <v>Conforme</v>
      </c>
      <c r="N176" s="49"/>
    </row>
    <row r="177" spans="2:14" ht="18" customHeight="1" x14ac:dyDescent="0.25">
      <c r="B177" s="47">
        <f>IF(C177="","",COUNT($C$7:C177))</f>
        <v>171</v>
      </c>
      <c r="C177" s="48">
        <v>46686</v>
      </c>
      <c r="D177" s="49" t="s">
        <v>105</v>
      </c>
      <c r="E177" s="49" t="s">
        <v>106</v>
      </c>
      <c r="F177" s="49" t="s">
        <v>113</v>
      </c>
      <c r="G177" s="49" t="s">
        <v>114</v>
      </c>
      <c r="H177" s="49" t="s">
        <v>112</v>
      </c>
      <c r="I177" s="50">
        <v>65061</v>
      </c>
      <c r="J177" s="50">
        <v>65272</v>
      </c>
      <c r="K177" s="51">
        <f t="shared" si="6"/>
        <v>211</v>
      </c>
      <c r="L177" s="52">
        <f t="shared" si="7"/>
        <v>0</v>
      </c>
      <c r="M177" s="53" t="str">
        <f t="shared" si="8"/>
        <v>Conforme</v>
      </c>
      <c r="N177" s="49"/>
    </row>
    <row r="178" spans="2:14" ht="18" customHeight="1" x14ac:dyDescent="0.25">
      <c r="B178" s="47">
        <f>IF(C178="","",COUNT($C$7:C178))</f>
        <v>172</v>
      </c>
      <c r="C178" s="48">
        <v>46688</v>
      </c>
      <c r="D178" s="49" t="s">
        <v>105</v>
      </c>
      <c r="E178" s="49" t="s">
        <v>106</v>
      </c>
      <c r="F178" s="49" t="s">
        <v>140</v>
      </c>
      <c r="G178" s="49" t="s">
        <v>142</v>
      </c>
      <c r="H178" s="49" t="s">
        <v>112</v>
      </c>
      <c r="I178" s="50">
        <v>65272</v>
      </c>
      <c r="J178" s="50">
        <v>65394</v>
      </c>
      <c r="K178" s="51">
        <f t="shared" si="6"/>
        <v>122</v>
      </c>
      <c r="L178" s="52">
        <f t="shared" si="7"/>
        <v>0</v>
      </c>
      <c r="M178" s="53" t="str">
        <f t="shared" si="8"/>
        <v>Conforme</v>
      </c>
      <c r="N178" s="49"/>
    </row>
    <row r="179" spans="2:14" ht="18" customHeight="1" x14ac:dyDescent="0.25">
      <c r="B179" s="47">
        <f>IF(C179="","",COUNT($C$7:C179))</f>
        <v>173</v>
      </c>
      <c r="C179" s="48">
        <v>46690</v>
      </c>
      <c r="D179" s="49" t="s">
        <v>133</v>
      </c>
      <c r="E179" s="49" t="s">
        <v>106</v>
      </c>
      <c r="F179" s="49" t="s">
        <v>122</v>
      </c>
      <c r="G179" s="49" t="s">
        <v>123</v>
      </c>
      <c r="H179" s="49" t="s">
        <v>117</v>
      </c>
      <c r="I179" s="50">
        <v>65394</v>
      </c>
      <c r="J179" s="50">
        <v>65459</v>
      </c>
      <c r="K179" s="51">
        <f t="shared" si="6"/>
        <v>65</v>
      </c>
      <c r="L179" s="52">
        <f t="shared" si="7"/>
        <v>0</v>
      </c>
      <c r="M179" s="53" t="str">
        <f t="shared" si="8"/>
        <v>Conforme</v>
      </c>
      <c r="N179" s="49"/>
    </row>
    <row r="180" spans="2:14" ht="18" customHeight="1" x14ac:dyDescent="0.25">
      <c r="B180" s="47">
        <f>IF(C180="","",COUNT($C$7:C180))</f>
        <v>174</v>
      </c>
      <c r="C180" s="48">
        <v>46692</v>
      </c>
      <c r="D180" s="49" t="s">
        <v>105</v>
      </c>
      <c r="E180" s="49" t="s">
        <v>106</v>
      </c>
      <c r="F180" s="49" t="s">
        <v>107</v>
      </c>
      <c r="G180" s="49" t="s">
        <v>108</v>
      </c>
      <c r="H180" s="49" t="s">
        <v>109</v>
      </c>
      <c r="I180" s="50">
        <v>65459</v>
      </c>
      <c r="J180" s="50">
        <v>65493</v>
      </c>
      <c r="K180" s="51">
        <f t="shared" si="6"/>
        <v>34</v>
      </c>
      <c r="L180" s="52">
        <f t="shared" si="7"/>
        <v>0</v>
      </c>
      <c r="M180" s="53" t="str">
        <f t="shared" si="8"/>
        <v>Conforme</v>
      </c>
      <c r="N180" s="49"/>
    </row>
    <row r="181" spans="2:14" ht="18" customHeight="1" x14ac:dyDescent="0.25">
      <c r="B181" s="47">
        <f>IF(C181="","",COUNT($C$7:C181))</f>
        <v>175</v>
      </c>
      <c r="C181" s="48">
        <v>46693</v>
      </c>
      <c r="D181" s="49" t="s">
        <v>105</v>
      </c>
      <c r="E181" s="49" t="s">
        <v>106</v>
      </c>
      <c r="F181" s="49" t="s">
        <v>110</v>
      </c>
      <c r="G181" s="49" t="s">
        <v>111</v>
      </c>
      <c r="H181" s="49" t="s">
        <v>112</v>
      </c>
      <c r="I181" s="50">
        <v>65493</v>
      </c>
      <c r="J181" s="50">
        <v>65591</v>
      </c>
      <c r="K181" s="51">
        <f t="shared" si="6"/>
        <v>98</v>
      </c>
      <c r="L181" s="52">
        <f t="shared" si="7"/>
        <v>0</v>
      </c>
      <c r="M181" s="53" t="str">
        <f t="shared" si="8"/>
        <v>Conforme</v>
      </c>
      <c r="N181" s="49"/>
    </row>
    <row r="182" spans="2:14" ht="18" customHeight="1" x14ac:dyDescent="0.25">
      <c r="B182" s="47">
        <f>IF(C182="","",COUNT($C$7:C182))</f>
        <v>176</v>
      </c>
      <c r="C182" s="48">
        <v>46695</v>
      </c>
      <c r="D182" s="49" t="s">
        <v>105</v>
      </c>
      <c r="E182" s="49" t="s">
        <v>106</v>
      </c>
      <c r="F182" s="49" t="s">
        <v>128</v>
      </c>
      <c r="G182" s="49" t="s">
        <v>129</v>
      </c>
      <c r="H182" s="49" t="s">
        <v>112</v>
      </c>
      <c r="I182" s="50">
        <v>65591</v>
      </c>
      <c r="J182" s="50">
        <v>65677</v>
      </c>
      <c r="K182" s="51">
        <f t="shared" si="6"/>
        <v>86</v>
      </c>
      <c r="L182" s="52">
        <f t="shared" si="7"/>
        <v>0</v>
      </c>
      <c r="M182" s="53" t="str">
        <f t="shared" si="8"/>
        <v>Conforme</v>
      </c>
      <c r="N182" s="49"/>
    </row>
    <row r="183" spans="2:14" ht="18" customHeight="1" x14ac:dyDescent="0.25">
      <c r="B183" s="47">
        <f>IF(C183="","",COUNT($C$7:C183))</f>
        <v>177</v>
      </c>
      <c r="C183" s="48">
        <v>46697</v>
      </c>
      <c r="D183" s="49" t="s">
        <v>133</v>
      </c>
      <c r="E183" s="49" t="s">
        <v>106</v>
      </c>
      <c r="F183" s="49" t="s">
        <v>122</v>
      </c>
      <c r="G183" s="49" t="s">
        <v>123</v>
      </c>
      <c r="H183" s="49" t="s">
        <v>117</v>
      </c>
      <c r="I183" s="50">
        <v>65677</v>
      </c>
      <c r="J183" s="50">
        <v>65739</v>
      </c>
      <c r="K183" s="51">
        <f t="shared" si="6"/>
        <v>62</v>
      </c>
      <c r="L183" s="52">
        <f t="shared" si="7"/>
        <v>0</v>
      </c>
      <c r="M183" s="53" t="str">
        <f t="shared" si="8"/>
        <v>Conforme</v>
      </c>
      <c r="N183" s="49"/>
    </row>
    <row r="184" spans="2:14" ht="18" customHeight="1" x14ac:dyDescent="0.25">
      <c r="B184" s="47">
        <f>IF(C184="","",COUNT($C$7:C184))</f>
        <v>178</v>
      </c>
      <c r="C184" s="48">
        <v>46699</v>
      </c>
      <c r="D184" s="49" t="s">
        <v>105</v>
      </c>
      <c r="E184" s="49" t="s">
        <v>106</v>
      </c>
      <c r="F184" s="49" t="s">
        <v>107</v>
      </c>
      <c r="G184" s="49" t="s">
        <v>108</v>
      </c>
      <c r="H184" s="49" t="s">
        <v>109</v>
      </c>
      <c r="I184" s="50">
        <v>65739</v>
      </c>
      <c r="J184" s="50">
        <v>65773</v>
      </c>
      <c r="K184" s="51">
        <f t="shared" si="6"/>
        <v>34</v>
      </c>
      <c r="L184" s="52">
        <f t="shared" si="7"/>
        <v>0</v>
      </c>
      <c r="M184" s="53" t="str">
        <f t="shared" si="8"/>
        <v>Conforme</v>
      </c>
      <c r="N184" s="49"/>
    </row>
    <row r="185" spans="2:14" ht="18" customHeight="1" x14ac:dyDescent="0.25">
      <c r="B185" s="47">
        <f>IF(C185="","",COUNT($C$7:C185))</f>
        <v>179</v>
      </c>
      <c r="C185" s="48">
        <v>46700</v>
      </c>
      <c r="D185" s="49" t="s">
        <v>105</v>
      </c>
      <c r="E185" s="49" t="s">
        <v>106</v>
      </c>
      <c r="F185" s="49" t="s">
        <v>120</v>
      </c>
      <c r="G185" s="49" t="s">
        <v>121</v>
      </c>
      <c r="H185" s="49" t="s">
        <v>112</v>
      </c>
      <c r="I185" s="50">
        <v>65773</v>
      </c>
      <c r="J185" s="50">
        <v>65951</v>
      </c>
      <c r="K185" s="51">
        <f t="shared" si="6"/>
        <v>178</v>
      </c>
      <c r="L185" s="52">
        <f t="shared" si="7"/>
        <v>0</v>
      </c>
      <c r="M185" s="53" t="str">
        <f t="shared" si="8"/>
        <v>Conforme</v>
      </c>
      <c r="N185" s="49"/>
    </row>
    <row r="186" spans="2:14" ht="18" customHeight="1" x14ac:dyDescent="0.25">
      <c r="B186" s="47">
        <f>IF(C186="","",COUNT($C$7:C186))</f>
        <v>180</v>
      </c>
      <c r="C186" s="48">
        <v>46701</v>
      </c>
      <c r="D186" s="49" t="s">
        <v>105</v>
      </c>
      <c r="E186" s="49" t="s">
        <v>106</v>
      </c>
      <c r="F186" s="49" t="s">
        <v>134</v>
      </c>
      <c r="G186" s="49" t="s">
        <v>135</v>
      </c>
      <c r="H186" s="49" t="s">
        <v>112</v>
      </c>
      <c r="I186" s="50">
        <v>65951</v>
      </c>
      <c r="J186" s="50">
        <v>66147</v>
      </c>
      <c r="K186" s="51">
        <f t="shared" si="6"/>
        <v>196</v>
      </c>
      <c r="L186" s="52">
        <f t="shared" si="7"/>
        <v>0</v>
      </c>
      <c r="M186" s="53" t="str">
        <f t="shared" si="8"/>
        <v>Conforme</v>
      </c>
      <c r="N186" s="49"/>
    </row>
    <row r="187" spans="2:14" ht="18" customHeight="1" x14ac:dyDescent="0.25">
      <c r="B187" s="47">
        <f>IF(C187="","",COUNT($C$7:C187))</f>
        <v>181</v>
      </c>
      <c r="C187" s="48">
        <v>46703</v>
      </c>
      <c r="D187" s="49" t="s">
        <v>105</v>
      </c>
      <c r="E187" s="49" t="s">
        <v>106</v>
      </c>
      <c r="F187" s="49" t="s">
        <v>145</v>
      </c>
      <c r="G187" s="49" t="s">
        <v>146</v>
      </c>
      <c r="H187" s="49" t="s">
        <v>112</v>
      </c>
      <c r="I187" s="50">
        <v>66147</v>
      </c>
      <c r="J187" s="50">
        <v>66361</v>
      </c>
      <c r="K187" s="51">
        <f t="shared" si="6"/>
        <v>214</v>
      </c>
      <c r="L187" s="52">
        <f t="shared" si="7"/>
        <v>0</v>
      </c>
      <c r="M187" s="53" t="str">
        <f t="shared" si="8"/>
        <v>Conforme</v>
      </c>
      <c r="N187" s="49"/>
    </row>
    <row r="188" spans="2:14" ht="18" customHeight="1" x14ac:dyDescent="0.25">
      <c r="B188" s="47">
        <f>IF(C188="","",COUNT($C$7:C188))</f>
        <v>182</v>
      </c>
      <c r="C188" s="48">
        <v>46704</v>
      </c>
      <c r="D188" s="49" t="s">
        <v>105</v>
      </c>
      <c r="E188" s="49" t="s">
        <v>106</v>
      </c>
      <c r="F188" s="49" t="s">
        <v>122</v>
      </c>
      <c r="G188" s="49" t="s">
        <v>123</v>
      </c>
      <c r="H188" s="49" t="s">
        <v>117</v>
      </c>
      <c r="I188" s="50">
        <v>66361</v>
      </c>
      <c r="J188" s="50">
        <v>66429</v>
      </c>
      <c r="K188" s="51">
        <f t="shared" si="6"/>
        <v>68</v>
      </c>
      <c r="L188" s="52">
        <f t="shared" si="7"/>
        <v>0</v>
      </c>
      <c r="M188" s="53" t="str">
        <f t="shared" si="8"/>
        <v>Conforme</v>
      </c>
      <c r="N188" s="49"/>
    </row>
    <row r="189" spans="2:14" ht="18" customHeight="1" x14ac:dyDescent="0.25">
      <c r="B189" s="47">
        <f>IF(C189="","",COUNT($C$7:C189))</f>
        <v>183</v>
      </c>
      <c r="C189" s="48">
        <v>46706</v>
      </c>
      <c r="D189" s="49" t="s">
        <v>105</v>
      </c>
      <c r="E189" s="49" t="s">
        <v>106</v>
      </c>
      <c r="F189" s="49" t="s">
        <v>107</v>
      </c>
      <c r="G189" s="49" t="s">
        <v>108</v>
      </c>
      <c r="H189" s="49" t="s">
        <v>109</v>
      </c>
      <c r="I189" s="50">
        <v>66429</v>
      </c>
      <c r="J189" s="50">
        <v>66463</v>
      </c>
      <c r="K189" s="51">
        <f t="shared" si="6"/>
        <v>34</v>
      </c>
      <c r="L189" s="52">
        <f t="shared" si="7"/>
        <v>0</v>
      </c>
      <c r="M189" s="53" t="str">
        <f t="shared" si="8"/>
        <v>Conforme</v>
      </c>
      <c r="N189" s="49"/>
    </row>
    <row r="190" spans="2:14" ht="18" customHeight="1" x14ac:dyDescent="0.25">
      <c r="B190" s="47">
        <f>IF(C190="","",COUNT($C$7:C190))</f>
        <v>184</v>
      </c>
      <c r="C190" s="48">
        <v>46707</v>
      </c>
      <c r="D190" s="49" t="s">
        <v>105</v>
      </c>
      <c r="E190" s="49" t="s">
        <v>106</v>
      </c>
      <c r="F190" s="49" t="s">
        <v>124</v>
      </c>
      <c r="G190" s="49" t="s">
        <v>125</v>
      </c>
      <c r="H190" s="49" t="s">
        <v>112</v>
      </c>
      <c r="I190" s="50">
        <v>66463</v>
      </c>
      <c r="J190" s="50">
        <v>66579</v>
      </c>
      <c r="K190" s="51">
        <f t="shared" si="6"/>
        <v>116</v>
      </c>
      <c r="L190" s="52">
        <f t="shared" si="7"/>
        <v>0</v>
      </c>
      <c r="M190" s="53" t="str">
        <f t="shared" si="8"/>
        <v>Conforme</v>
      </c>
      <c r="N190" s="49"/>
    </row>
    <row r="191" spans="2:14" ht="18" customHeight="1" x14ac:dyDescent="0.25">
      <c r="B191" s="47">
        <f>IF(C191="","",COUNT($C$7:C191))</f>
        <v>185</v>
      </c>
      <c r="C191" s="48">
        <v>46709</v>
      </c>
      <c r="D191" s="49" t="s">
        <v>105</v>
      </c>
      <c r="E191" s="49" t="s">
        <v>106</v>
      </c>
      <c r="F191" s="49" t="s">
        <v>118</v>
      </c>
      <c r="G191" s="49" t="s">
        <v>119</v>
      </c>
      <c r="H191" s="49" t="s">
        <v>112</v>
      </c>
      <c r="I191" s="50">
        <v>66579</v>
      </c>
      <c r="J191" s="50">
        <v>66727</v>
      </c>
      <c r="K191" s="51">
        <f t="shared" si="6"/>
        <v>148</v>
      </c>
      <c r="L191" s="52">
        <f t="shared" si="7"/>
        <v>0</v>
      </c>
      <c r="M191" s="53" t="str">
        <f t="shared" si="8"/>
        <v>Conforme</v>
      </c>
      <c r="N191" s="49"/>
    </row>
    <row r="192" spans="2:14" ht="18" customHeight="1" x14ac:dyDescent="0.25">
      <c r="B192" s="47">
        <f>IF(C192="","",COUNT($C$7:C192))</f>
        <v>186</v>
      </c>
      <c r="C192" s="48">
        <v>46711</v>
      </c>
      <c r="D192" s="49" t="s">
        <v>105</v>
      </c>
      <c r="E192" s="49" t="s">
        <v>106</v>
      </c>
      <c r="F192" s="49" t="s">
        <v>136</v>
      </c>
      <c r="G192" s="49" t="s">
        <v>137</v>
      </c>
      <c r="H192" s="49" t="s">
        <v>117</v>
      </c>
      <c r="I192" s="50">
        <v>66727</v>
      </c>
      <c r="J192" s="50">
        <v>66822</v>
      </c>
      <c r="K192" s="51">
        <f t="shared" si="6"/>
        <v>95</v>
      </c>
      <c r="L192" s="52">
        <f t="shared" si="7"/>
        <v>0</v>
      </c>
      <c r="M192" s="53" t="str">
        <f t="shared" si="8"/>
        <v>Conforme</v>
      </c>
      <c r="N192" s="49"/>
    </row>
    <row r="193" spans="2:14" ht="18" customHeight="1" x14ac:dyDescent="0.25">
      <c r="B193" s="47">
        <f>IF(C193="","",COUNT($C$7:C193))</f>
        <v>187</v>
      </c>
      <c r="C193" s="48">
        <v>46713</v>
      </c>
      <c r="D193" s="49" t="s">
        <v>105</v>
      </c>
      <c r="E193" s="49" t="s">
        <v>106</v>
      </c>
      <c r="F193" s="49" t="s">
        <v>107</v>
      </c>
      <c r="G193" s="49" t="s">
        <v>108</v>
      </c>
      <c r="H193" s="49" t="s">
        <v>109</v>
      </c>
      <c r="I193" s="50">
        <v>66822</v>
      </c>
      <c r="J193" s="50">
        <v>66856</v>
      </c>
      <c r="K193" s="51">
        <f t="shared" si="6"/>
        <v>34</v>
      </c>
      <c r="L193" s="52">
        <f t="shared" si="7"/>
        <v>0</v>
      </c>
      <c r="M193" s="53" t="str">
        <f t="shared" si="8"/>
        <v>Conforme</v>
      </c>
      <c r="N193" s="49"/>
    </row>
    <row r="194" spans="2:14" ht="18" customHeight="1" x14ac:dyDescent="0.25">
      <c r="B194" s="47">
        <f>IF(C194="","",COUNT($C$7:C194))</f>
        <v>188</v>
      </c>
      <c r="C194" s="48">
        <v>46714</v>
      </c>
      <c r="D194" s="49" t="s">
        <v>105</v>
      </c>
      <c r="E194" s="49" t="s">
        <v>106</v>
      </c>
      <c r="F194" s="49" t="s">
        <v>120</v>
      </c>
      <c r="G194" s="49" t="s">
        <v>132</v>
      </c>
      <c r="H194" s="49" t="s">
        <v>112</v>
      </c>
      <c r="I194" s="50">
        <v>66856</v>
      </c>
      <c r="J194" s="50">
        <v>67026</v>
      </c>
      <c r="K194" s="51">
        <f t="shared" si="6"/>
        <v>170</v>
      </c>
      <c r="L194" s="52">
        <f t="shared" si="7"/>
        <v>0</v>
      </c>
      <c r="M194" s="53" t="str">
        <f t="shared" si="8"/>
        <v>Conforme</v>
      </c>
      <c r="N194" s="49"/>
    </row>
    <row r="195" spans="2:14" ht="18" customHeight="1" x14ac:dyDescent="0.25">
      <c r="B195" s="47">
        <f>IF(C195="","",COUNT($C$7:C195))</f>
        <v>189</v>
      </c>
      <c r="C195" s="48">
        <v>46716</v>
      </c>
      <c r="D195" s="49" t="s">
        <v>105</v>
      </c>
      <c r="E195" s="49" t="s">
        <v>106</v>
      </c>
      <c r="F195" s="49" t="s">
        <v>118</v>
      </c>
      <c r="G195" s="49" t="s">
        <v>119</v>
      </c>
      <c r="H195" s="49" t="s">
        <v>112</v>
      </c>
      <c r="I195" s="50">
        <v>67026</v>
      </c>
      <c r="J195" s="50">
        <v>67181</v>
      </c>
      <c r="K195" s="51">
        <f t="shared" si="6"/>
        <v>155</v>
      </c>
      <c r="L195" s="52">
        <f t="shared" si="7"/>
        <v>0</v>
      </c>
      <c r="M195" s="53" t="str">
        <f t="shared" si="8"/>
        <v>Conforme</v>
      </c>
      <c r="N195" s="49"/>
    </row>
    <row r="196" spans="2:14" ht="18" customHeight="1" x14ac:dyDescent="0.25">
      <c r="B196" s="47">
        <f>IF(C196="","",COUNT($C$7:C196))</f>
        <v>190</v>
      </c>
      <c r="C196" s="48">
        <v>46718</v>
      </c>
      <c r="D196" s="49" t="s">
        <v>133</v>
      </c>
      <c r="E196" s="49" t="s">
        <v>106</v>
      </c>
      <c r="F196" s="49" t="s">
        <v>122</v>
      </c>
      <c r="G196" s="49" t="s">
        <v>123</v>
      </c>
      <c r="H196" s="49" t="s">
        <v>117</v>
      </c>
      <c r="I196" s="50">
        <v>67181</v>
      </c>
      <c r="J196" s="50">
        <v>67243</v>
      </c>
      <c r="K196" s="51">
        <f t="shared" si="6"/>
        <v>62</v>
      </c>
      <c r="L196" s="52">
        <f t="shared" si="7"/>
        <v>0</v>
      </c>
      <c r="M196" s="53" t="str">
        <f t="shared" si="8"/>
        <v>Conforme</v>
      </c>
      <c r="N196" s="49"/>
    </row>
    <row r="197" spans="2:14" ht="18" customHeight="1" x14ac:dyDescent="0.25">
      <c r="B197" s="47">
        <f>IF(C197="","",COUNT($C$7:C197))</f>
        <v>191</v>
      </c>
      <c r="C197" s="48">
        <v>46720</v>
      </c>
      <c r="D197" s="49" t="s">
        <v>105</v>
      </c>
      <c r="E197" s="49" t="s">
        <v>106</v>
      </c>
      <c r="F197" s="49" t="s">
        <v>107</v>
      </c>
      <c r="G197" s="49" t="s">
        <v>108</v>
      </c>
      <c r="H197" s="49" t="s">
        <v>109</v>
      </c>
      <c r="I197" s="50">
        <v>67243</v>
      </c>
      <c r="J197" s="50">
        <v>67277</v>
      </c>
      <c r="K197" s="51">
        <f t="shared" si="6"/>
        <v>34</v>
      </c>
      <c r="L197" s="52">
        <f t="shared" si="7"/>
        <v>0</v>
      </c>
      <c r="M197" s="53" t="str">
        <f t="shared" si="8"/>
        <v>Conforme</v>
      </c>
      <c r="N197" s="49"/>
    </row>
    <row r="198" spans="2:14" ht="18" customHeight="1" x14ac:dyDescent="0.25">
      <c r="B198" s="47">
        <f>IF(C198="","",COUNT($C$7:C198))</f>
        <v>192</v>
      </c>
      <c r="C198" s="48">
        <v>46721</v>
      </c>
      <c r="D198" s="49" t="s">
        <v>105</v>
      </c>
      <c r="E198" s="49" t="s">
        <v>106</v>
      </c>
      <c r="F198" s="49" t="s">
        <v>145</v>
      </c>
      <c r="G198" s="49" t="s">
        <v>146</v>
      </c>
      <c r="H198" s="49" t="s">
        <v>112</v>
      </c>
      <c r="I198" s="50">
        <v>67277</v>
      </c>
      <c r="J198" s="50">
        <v>67496</v>
      </c>
      <c r="K198" s="51">
        <f t="shared" si="6"/>
        <v>219</v>
      </c>
      <c r="L198" s="52">
        <f t="shared" si="7"/>
        <v>0</v>
      </c>
      <c r="M198" s="53" t="str">
        <f t="shared" si="8"/>
        <v>Conforme</v>
      </c>
      <c r="N198" s="49"/>
    </row>
    <row r="199" spans="2:14" ht="18" customHeight="1" x14ac:dyDescent="0.25">
      <c r="B199" s="47">
        <f>IF(C199="","",COUNT($C$7:C199))</f>
        <v>193</v>
      </c>
      <c r="C199" s="48">
        <v>46723</v>
      </c>
      <c r="D199" s="49" t="s">
        <v>105</v>
      </c>
      <c r="E199" s="49" t="s">
        <v>106</v>
      </c>
      <c r="F199" s="49" t="s">
        <v>140</v>
      </c>
      <c r="G199" s="49" t="s">
        <v>142</v>
      </c>
      <c r="H199" s="49" t="s">
        <v>112</v>
      </c>
      <c r="I199" s="50">
        <v>67496</v>
      </c>
      <c r="J199" s="50">
        <v>67617</v>
      </c>
      <c r="K199" s="51">
        <f t="shared" ref="K199:K262" si="9">IF(OR(I199="",J199=""),"",J199-I199)</f>
        <v>121</v>
      </c>
      <c r="L199" s="52">
        <f t="shared" si="7"/>
        <v>0</v>
      </c>
      <c r="M199" s="53" t="str">
        <f t="shared" si="8"/>
        <v>Conforme</v>
      </c>
      <c r="N199" s="49"/>
    </row>
    <row r="200" spans="2:14" ht="18" customHeight="1" x14ac:dyDescent="0.25">
      <c r="B200" s="47">
        <f>IF(C200="","",COUNT($C$7:C200))</f>
        <v>194</v>
      </c>
      <c r="C200" s="48">
        <v>46725</v>
      </c>
      <c r="D200" s="49" t="s">
        <v>105</v>
      </c>
      <c r="E200" s="49" t="s">
        <v>106</v>
      </c>
      <c r="F200" s="49" t="s">
        <v>130</v>
      </c>
      <c r="G200" s="49" t="s">
        <v>131</v>
      </c>
      <c r="H200" s="49" t="s">
        <v>117</v>
      </c>
      <c r="I200" s="50">
        <v>67617</v>
      </c>
      <c r="J200" s="50">
        <v>67639</v>
      </c>
      <c r="K200" s="51">
        <f t="shared" si="9"/>
        <v>22</v>
      </c>
      <c r="L200" s="52">
        <f t="shared" ref="L200:L263" si="10">IF(OR(C200="",I200="",J199=""),"",I200-J199)</f>
        <v>0</v>
      </c>
      <c r="M200" s="53" t="str">
        <f t="shared" ref="M200:M263" si="11">IF(C200="","",IF(OR(D200="",E200="",F200="",H200="",I200="",J200="",AND(H200="Professionnel",G200="")),"Incomplet",IF(AND(ISNUMBER(C199),C200&lt;C199),"Ordre des dates",IF(J200&lt;I200,"Compteur incohérent",IF(AND(ISNUMBER(L200),L200&gt;ToleranceKm),"Km non enregistrés",IF(AND(ISNUMBER(L200),L200&lt;-ToleranceKm),"Chevauchement","Conforme"))))))</f>
        <v>Conforme</v>
      </c>
      <c r="N200" s="49"/>
    </row>
    <row r="201" spans="2:14" ht="18" customHeight="1" x14ac:dyDescent="0.25">
      <c r="B201" s="47">
        <f>IF(C201="","",COUNT($C$7:C201))</f>
        <v>195</v>
      </c>
      <c r="C201" s="48">
        <v>46727</v>
      </c>
      <c r="D201" s="49" t="s">
        <v>105</v>
      </c>
      <c r="E201" s="49" t="s">
        <v>106</v>
      </c>
      <c r="F201" s="49" t="s">
        <v>107</v>
      </c>
      <c r="G201" s="49" t="s">
        <v>108</v>
      </c>
      <c r="H201" s="49" t="s">
        <v>109</v>
      </c>
      <c r="I201" s="50">
        <v>67639</v>
      </c>
      <c r="J201" s="50">
        <v>67673</v>
      </c>
      <c r="K201" s="51">
        <f t="shared" si="9"/>
        <v>34</v>
      </c>
      <c r="L201" s="52">
        <f t="shared" si="10"/>
        <v>0</v>
      </c>
      <c r="M201" s="53" t="str">
        <f t="shared" si="11"/>
        <v>Conforme</v>
      </c>
      <c r="N201" s="49"/>
    </row>
    <row r="202" spans="2:14" ht="18" customHeight="1" x14ac:dyDescent="0.25">
      <c r="B202" s="47">
        <f>IF(C202="","",COUNT($C$7:C202))</f>
        <v>196</v>
      </c>
      <c r="C202" s="48">
        <v>46728</v>
      </c>
      <c r="D202" s="49" t="s">
        <v>105</v>
      </c>
      <c r="E202" s="49" t="s">
        <v>106</v>
      </c>
      <c r="F202" s="49" t="s">
        <v>113</v>
      </c>
      <c r="G202" s="49" t="s">
        <v>114</v>
      </c>
      <c r="H202" s="49" t="s">
        <v>112</v>
      </c>
      <c r="I202" s="50">
        <v>67673</v>
      </c>
      <c r="J202" s="50">
        <v>67889</v>
      </c>
      <c r="K202" s="51">
        <f t="shared" si="9"/>
        <v>216</v>
      </c>
      <c r="L202" s="52">
        <f t="shared" si="10"/>
        <v>0</v>
      </c>
      <c r="M202" s="53" t="str">
        <f t="shared" si="11"/>
        <v>Conforme</v>
      </c>
      <c r="N202" s="49"/>
    </row>
    <row r="203" spans="2:14" ht="18" customHeight="1" x14ac:dyDescent="0.25">
      <c r="B203" s="47">
        <f>IF(C203="","",COUNT($C$7:C203))</f>
        <v>197</v>
      </c>
      <c r="C203" s="48">
        <v>46730</v>
      </c>
      <c r="D203" s="49" t="s">
        <v>105</v>
      </c>
      <c r="E203" s="49" t="s">
        <v>106</v>
      </c>
      <c r="F203" s="49" t="s">
        <v>134</v>
      </c>
      <c r="G203" s="49" t="s">
        <v>135</v>
      </c>
      <c r="H203" s="49" t="s">
        <v>112</v>
      </c>
      <c r="I203" s="50">
        <v>67889</v>
      </c>
      <c r="J203" s="50">
        <v>68081</v>
      </c>
      <c r="K203" s="51">
        <f t="shared" si="9"/>
        <v>192</v>
      </c>
      <c r="L203" s="52">
        <f t="shared" si="10"/>
        <v>0</v>
      </c>
      <c r="M203" s="53" t="str">
        <f t="shared" si="11"/>
        <v>Conforme</v>
      </c>
      <c r="N203" s="49"/>
    </row>
    <row r="204" spans="2:14" ht="18" customHeight="1" x14ac:dyDescent="0.25">
      <c r="B204" s="47">
        <f>IF(C204="","",COUNT($C$7:C204))</f>
        <v>198</v>
      </c>
      <c r="C204" s="48">
        <v>46732</v>
      </c>
      <c r="D204" s="49" t="s">
        <v>105</v>
      </c>
      <c r="E204" s="49" t="s">
        <v>106</v>
      </c>
      <c r="F204" s="49" t="s">
        <v>130</v>
      </c>
      <c r="G204" s="49" t="s">
        <v>131</v>
      </c>
      <c r="H204" s="49" t="s">
        <v>117</v>
      </c>
      <c r="I204" s="50">
        <v>68081</v>
      </c>
      <c r="J204" s="50">
        <v>68104</v>
      </c>
      <c r="K204" s="51">
        <f t="shared" si="9"/>
        <v>23</v>
      </c>
      <c r="L204" s="52">
        <f t="shared" si="10"/>
        <v>0</v>
      </c>
      <c r="M204" s="53" t="str">
        <f t="shared" si="11"/>
        <v>Conforme</v>
      </c>
      <c r="N204" s="49"/>
    </row>
    <row r="205" spans="2:14" ht="18" customHeight="1" x14ac:dyDescent="0.25">
      <c r="B205" s="47">
        <f>IF(C205="","",COUNT($C$7:C205))</f>
        <v>199</v>
      </c>
      <c r="C205" s="48">
        <v>46734</v>
      </c>
      <c r="D205" s="49" t="s">
        <v>105</v>
      </c>
      <c r="E205" s="49" t="s">
        <v>106</v>
      </c>
      <c r="F205" s="49" t="s">
        <v>107</v>
      </c>
      <c r="G205" s="49" t="s">
        <v>108</v>
      </c>
      <c r="H205" s="49" t="s">
        <v>109</v>
      </c>
      <c r="I205" s="50">
        <v>68104</v>
      </c>
      <c r="J205" s="50">
        <v>68138</v>
      </c>
      <c r="K205" s="51">
        <f t="shared" si="9"/>
        <v>34</v>
      </c>
      <c r="L205" s="52">
        <f t="shared" si="10"/>
        <v>0</v>
      </c>
      <c r="M205" s="53" t="str">
        <f t="shared" si="11"/>
        <v>Conforme</v>
      </c>
      <c r="N205" s="49"/>
    </row>
    <row r="206" spans="2:14" ht="18" customHeight="1" x14ac:dyDescent="0.25">
      <c r="B206" s="47">
        <f>IF(C206="","",COUNT($C$7:C206))</f>
        <v>200</v>
      </c>
      <c r="C206" s="48">
        <v>46735</v>
      </c>
      <c r="D206" s="49" t="s">
        <v>105</v>
      </c>
      <c r="E206" s="49" t="s">
        <v>106</v>
      </c>
      <c r="F206" s="49" t="s">
        <v>118</v>
      </c>
      <c r="G206" s="49" t="s">
        <v>119</v>
      </c>
      <c r="H206" s="49" t="s">
        <v>112</v>
      </c>
      <c r="I206" s="50">
        <v>68138</v>
      </c>
      <c r="J206" s="50">
        <v>68292</v>
      </c>
      <c r="K206" s="51">
        <f t="shared" si="9"/>
        <v>154</v>
      </c>
      <c r="L206" s="52">
        <f t="shared" si="10"/>
        <v>0</v>
      </c>
      <c r="M206" s="53" t="str">
        <f t="shared" si="11"/>
        <v>Conforme</v>
      </c>
      <c r="N206" s="49"/>
    </row>
    <row r="207" spans="2:14" ht="18" customHeight="1" x14ac:dyDescent="0.25">
      <c r="B207" s="47">
        <f>IF(C207="","",COUNT($C$7:C207))</f>
        <v>201</v>
      </c>
      <c r="C207" s="48">
        <v>46737</v>
      </c>
      <c r="D207" s="49" t="s">
        <v>105</v>
      </c>
      <c r="E207" s="49" t="s">
        <v>106</v>
      </c>
      <c r="F207" s="49" t="s">
        <v>110</v>
      </c>
      <c r="G207" s="49" t="s">
        <v>111</v>
      </c>
      <c r="H207" s="49" t="s">
        <v>112</v>
      </c>
      <c r="I207" s="50">
        <v>68292</v>
      </c>
      <c r="J207" s="50">
        <v>68387</v>
      </c>
      <c r="K207" s="51">
        <f t="shared" si="9"/>
        <v>95</v>
      </c>
      <c r="L207" s="52">
        <f t="shared" si="10"/>
        <v>0</v>
      </c>
      <c r="M207" s="53" t="str">
        <f t="shared" si="11"/>
        <v>Conforme</v>
      </c>
      <c r="N207" s="49"/>
    </row>
    <row r="208" spans="2:14" ht="18" customHeight="1" x14ac:dyDescent="0.25">
      <c r="B208" s="47" t="str">
        <f>IF(C208="","",COUNT($C$7:C208))</f>
        <v/>
      </c>
      <c r="C208" s="48"/>
      <c r="D208" s="49"/>
      <c r="E208" s="49"/>
      <c r="F208" s="49"/>
      <c r="G208" s="49"/>
      <c r="H208" s="49"/>
      <c r="I208" s="50"/>
      <c r="J208" s="50"/>
      <c r="K208" s="51" t="str">
        <f t="shared" si="9"/>
        <v/>
      </c>
      <c r="L208" s="52" t="str">
        <f t="shared" si="10"/>
        <v/>
      </c>
      <c r="M208" s="53" t="str">
        <f t="shared" si="11"/>
        <v/>
      </c>
      <c r="N208" s="49"/>
    </row>
    <row r="209" spans="2:14" ht="18" customHeight="1" x14ac:dyDescent="0.25">
      <c r="B209" s="47" t="str">
        <f>IF(C209="","",COUNT($C$7:C209))</f>
        <v/>
      </c>
      <c r="C209" s="48"/>
      <c r="D209" s="49"/>
      <c r="E209" s="49"/>
      <c r="F209" s="49"/>
      <c r="G209" s="49"/>
      <c r="H209" s="49"/>
      <c r="I209" s="50"/>
      <c r="J209" s="50"/>
      <c r="K209" s="51" t="str">
        <f t="shared" si="9"/>
        <v/>
      </c>
      <c r="L209" s="52" t="str">
        <f t="shared" si="10"/>
        <v/>
      </c>
      <c r="M209" s="53" t="str">
        <f t="shared" si="11"/>
        <v/>
      </c>
      <c r="N209" s="49"/>
    </row>
    <row r="210" spans="2:14" ht="18" customHeight="1" x14ac:dyDescent="0.25">
      <c r="B210" s="47" t="str">
        <f>IF(C210="","",COUNT($C$7:C210))</f>
        <v/>
      </c>
      <c r="C210" s="48"/>
      <c r="D210" s="49"/>
      <c r="E210" s="49"/>
      <c r="F210" s="49"/>
      <c r="G210" s="49"/>
      <c r="H210" s="49"/>
      <c r="I210" s="50"/>
      <c r="J210" s="50"/>
      <c r="K210" s="51" t="str">
        <f t="shared" si="9"/>
        <v/>
      </c>
      <c r="L210" s="52" t="str">
        <f t="shared" si="10"/>
        <v/>
      </c>
      <c r="M210" s="53" t="str">
        <f t="shared" si="11"/>
        <v/>
      </c>
      <c r="N210" s="49"/>
    </row>
    <row r="211" spans="2:14" ht="18" customHeight="1" x14ac:dyDescent="0.25">
      <c r="B211" s="47" t="str">
        <f>IF(C211="","",COUNT($C$7:C211))</f>
        <v/>
      </c>
      <c r="C211" s="48"/>
      <c r="D211" s="49"/>
      <c r="E211" s="49"/>
      <c r="F211" s="49"/>
      <c r="G211" s="49"/>
      <c r="H211" s="49"/>
      <c r="I211" s="50"/>
      <c r="J211" s="50"/>
      <c r="K211" s="51" t="str">
        <f t="shared" si="9"/>
        <v/>
      </c>
      <c r="L211" s="52" t="str">
        <f t="shared" si="10"/>
        <v/>
      </c>
      <c r="M211" s="53" t="str">
        <f t="shared" si="11"/>
        <v/>
      </c>
      <c r="N211" s="49"/>
    </row>
    <row r="212" spans="2:14" ht="18" customHeight="1" x14ac:dyDescent="0.25">
      <c r="B212" s="47" t="str">
        <f>IF(C212="","",COUNT($C$7:C212))</f>
        <v/>
      </c>
      <c r="C212" s="48"/>
      <c r="D212" s="49"/>
      <c r="E212" s="49"/>
      <c r="F212" s="49"/>
      <c r="G212" s="49"/>
      <c r="H212" s="49"/>
      <c r="I212" s="50"/>
      <c r="J212" s="50"/>
      <c r="K212" s="51" t="str">
        <f t="shared" si="9"/>
        <v/>
      </c>
      <c r="L212" s="52" t="str">
        <f t="shared" si="10"/>
        <v/>
      </c>
      <c r="M212" s="53" t="str">
        <f t="shared" si="11"/>
        <v/>
      </c>
      <c r="N212" s="49"/>
    </row>
    <row r="213" spans="2:14" ht="18" customHeight="1" x14ac:dyDescent="0.25">
      <c r="B213" s="47" t="str">
        <f>IF(C213="","",COUNT($C$7:C213))</f>
        <v/>
      </c>
      <c r="C213" s="48"/>
      <c r="D213" s="49"/>
      <c r="E213" s="49"/>
      <c r="F213" s="49"/>
      <c r="G213" s="49"/>
      <c r="H213" s="49"/>
      <c r="I213" s="50"/>
      <c r="J213" s="50"/>
      <c r="K213" s="51" t="str">
        <f t="shared" si="9"/>
        <v/>
      </c>
      <c r="L213" s="52" t="str">
        <f t="shared" si="10"/>
        <v/>
      </c>
      <c r="M213" s="53" t="str">
        <f t="shared" si="11"/>
        <v/>
      </c>
      <c r="N213" s="49"/>
    </row>
    <row r="214" spans="2:14" ht="18" customHeight="1" x14ac:dyDescent="0.25">
      <c r="B214" s="47" t="str">
        <f>IF(C214="","",COUNT($C$7:C214))</f>
        <v/>
      </c>
      <c r="C214" s="48"/>
      <c r="D214" s="49"/>
      <c r="E214" s="49"/>
      <c r="F214" s="49"/>
      <c r="G214" s="49"/>
      <c r="H214" s="49"/>
      <c r="I214" s="50"/>
      <c r="J214" s="50"/>
      <c r="K214" s="51" t="str">
        <f t="shared" si="9"/>
        <v/>
      </c>
      <c r="L214" s="52" t="str">
        <f t="shared" si="10"/>
        <v/>
      </c>
      <c r="M214" s="53" t="str">
        <f t="shared" si="11"/>
        <v/>
      </c>
      <c r="N214" s="49"/>
    </row>
    <row r="215" spans="2:14" ht="18" customHeight="1" x14ac:dyDescent="0.25">
      <c r="B215" s="47" t="str">
        <f>IF(C215="","",COUNT($C$7:C215))</f>
        <v/>
      </c>
      <c r="C215" s="48"/>
      <c r="D215" s="49"/>
      <c r="E215" s="49"/>
      <c r="F215" s="49"/>
      <c r="G215" s="49"/>
      <c r="H215" s="49"/>
      <c r="I215" s="50"/>
      <c r="J215" s="50"/>
      <c r="K215" s="51" t="str">
        <f t="shared" si="9"/>
        <v/>
      </c>
      <c r="L215" s="52" t="str">
        <f t="shared" si="10"/>
        <v/>
      </c>
      <c r="M215" s="53" t="str">
        <f t="shared" si="11"/>
        <v/>
      </c>
      <c r="N215" s="49"/>
    </row>
    <row r="216" spans="2:14" ht="18" customHeight="1" x14ac:dyDescent="0.25">
      <c r="B216" s="47" t="str">
        <f>IF(C216="","",COUNT($C$7:C216))</f>
        <v/>
      </c>
      <c r="C216" s="48"/>
      <c r="D216" s="49"/>
      <c r="E216" s="49"/>
      <c r="F216" s="49"/>
      <c r="G216" s="49"/>
      <c r="H216" s="49"/>
      <c r="I216" s="50"/>
      <c r="J216" s="50"/>
      <c r="K216" s="51" t="str">
        <f t="shared" si="9"/>
        <v/>
      </c>
      <c r="L216" s="52" t="str">
        <f t="shared" si="10"/>
        <v/>
      </c>
      <c r="M216" s="53" t="str">
        <f t="shared" si="11"/>
        <v/>
      </c>
      <c r="N216" s="49"/>
    </row>
    <row r="217" spans="2:14" ht="18" customHeight="1" x14ac:dyDescent="0.25">
      <c r="B217" s="47" t="str">
        <f>IF(C217="","",COUNT($C$7:C217))</f>
        <v/>
      </c>
      <c r="C217" s="48"/>
      <c r="D217" s="49"/>
      <c r="E217" s="49"/>
      <c r="F217" s="49"/>
      <c r="G217" s="49"/>
      <c r="H217" s="49"/>
      <c r="I217" s="50"/>
      <c r="J217" s="50"/>
      <c r="K217" s="51" t="str">
        <f t="shared" si="9"/>
        <v/>
      </c>
      <c r="L217" s="52" t="str">
        <f t="shared" si="10"/>
        <v/>
      </c>
      <c r="M217" s="53" t="str">
        <f t="shared" si="11"/>
        <v/>
      </c>
      <c r="N217" s="49"/>
    </row>
    <row r="218" spans="2:14" ht="18" customHeight="1" x14ac:dyDescent="0.25">
      <c r="B218" s="47" t="str">
        <f>IF(C218="","",COUNT($C$7:C218))</f>
        <v/>
      </c>
      <c r="C218" s="48"/>
      <c r="D218" s="49"/>
      <c r="E218" s="49"/>
      <c r="F218" s="49"/>
      <c r="G218" s="49"/>
      <c r="H218" s="49"/>
      <c r="I218" s="50"/>
      <c r="J218" s="50"/>
      <c r="K218" s="51" t="str">
        <f t="shared" si="9"/>
        <v/>
      </c>
      <c r="L218" s="52" t="str">
        <f t="shared" si="10"/>
        <v/>
      </c>
      <c r="M218" s="53" t="str">
        <f t="shared" si="11"/>
        <v/>
      </c>
      <c r="N218" s="49"/>
    </row>
    <row r="219" spans="2:14" ht="18" customHeight="1" x14ac:dyDescent="0.25">
      <c r="B219" s="47" t="str">
        <f>IF(C219="","",COUNT($C$7:C219))</f>
        <v/>
      </c>
      <c r="C219" s="48"/>
      <c r="D219" s="49"/>
      <c r="E219" s="49"/>
      <c r="F219" s="49"/>
      <c r="G219" s="49"/>
      <c r="H219" s="49"/>
      <c r="I219" s="50"/>
      <c r="J219" s="50"/>
      <c r="K219" s="51" t="str">
        <f t="shared" si="9"/>
        <v/>
      </c>
      <c r="L219" s="52" t="str">
        <f t="shared" si="10"/>
        <v/>
      </c>
      <c r="M219" s="53" t="str">
        <f t="shared" si="11"/>
        <v/>
      </c>
      <c r="N219" s="49"/>
    </row>
    <row r="220" spans="2:14" ht="18" customHeight="1" x14ac:dyDescent="0.25">
      <c r="B220" s="47" t="str">
        <f>IF(C220="","",COUNT($C$7:C220))</f>
        <v/>
      </c>
      <c r="C220" s="48"/>
      <c r="D220" s="49"/>
      <c r="E220" s="49"/>
      <c r="F220" s="49"/>
      <c r="G220" s="49"/>
      <c r="H220" s="49"/>
      <c r="I220" s="50"/>
      <c r="J220" s="50"/>
      <c r="K220" s="51" t="str">
        <f t="shared" si="9"/>
        <v/>
      </c>
      <c r="L220" s="52" t="str">
        <f t="shared" si="10"/>
        <v/>
      </c>
      <c r="M220" s="53" t="str">
        <f t="shared" si="11"/>
        <v/>
      </c>
      <c r="N220" s="49"/>
    </row>
    <row r="221" spans="2:14" ht="18" customHeight="1" x14ac:dyDescent="0.25">
      <c r="B221" s="47" t="str">
        <f>IF(C221="","",COUNT($C$7:C221))</f>
        <v/>
      </c>
      <c r="C221" s="48"/>
      <c r="D221" s="49"/>
      <c r="E221" s="49"/>
      <c r="F221" s="49"/>
      <c r="G221" s="49"/>
      <c r="H221" s="49"/>
      <c r="I221" s="50"/>
      <c r="J221" s="50"/>
      <c r="K221" s="51" t="str">
        <f t="shared" si="9"/>
        <v/>
      </c>
      <c r="L221" s="52" t="str">
        <f t="shared" si="10"/>
        <v/>
      </c>
      <c r="M221" s="53" t="str">
        <f t="shared" si="11"/>
        <v/>
      </c>
      <c r="N221" s="49"/>
    </row>
    <row r="222" spans="2:14" ht="18" customHeight="1" x14ac:dyDescent="0.25">
      <c r="B222" s="47" t="str">
        <f>IF(C222="","",COUNT($C$7:C222))</f>
        <v/>
      </c>
      <c r="C222" s="48"/>
      <c r="D222" s="49"/>
      <c r="E222" s="49"/>
      <c r="F222" s="49"/>
      <c r="G222" s="49"/>
      <c r="H222" s="49"/>
      <c r="I222" s="50"/>
      <c r="J222" s="50"/>
      <c r="K222" s="51" t="str">
        <f t="shared" si="9"/>
        <v/>
      </c>
      <c r="L222" s="52" t="str">
        <f t="shared" si="10"/>
        <v/>
      </c>
      <c r="M222" s="53" t="str">
        <f t="shared" si="11"/>
        <v/>
      </c>
      <c r="N222" s="49"/>
    </row>
    <row r="223" spans="2:14" ht="18" customHeight="1" x14ac:dyDescent="0.25">
      <c r="B223" s="47" t="str">
        <f>IF(C223="","",COUNT($C$7:C223))</f>
        <v/>
      </c>
      <c r="C223" s="48"/>
      <c r="D223" s="49"/>
      <c r="E223" s="49"/>
      <c r="F223" s="49"/>
      <c r="G223" s="49"/>
      <c r="H223" s="49"/>
      <c r="I223" s="50"/>
      <c r="J223" s="50"/>
      <c r="K223" s="51" t="str">
        <f t="shared" si="9"/>
        <v/>
      </c>
      <c r="L223" s="52" t="str">
        <f t="shared" si="10"/>
        <v/>
      </c>
      <c r="M223" s="53" t="str">
        <f t="shared" si="11"/>
        <v/>
      </c>
      <c r="N223" s="49"/>
    </row>
    <row r="224" spans="2:14" ht="18" customHeight="1" x14ac:dyDescent="0.25">
      <c r="B224" s="47" t="str">
        <f>IF(C224="","",COUNT($C$7:C224))</f>
        <v/>
      </c>
      <c r="C224" s="48"/>
      <c r="D224" s="49"/>
      <c r="E224" s="49"/>
      <c r="F224" s="49"/>
      <c r="G224" s="49"/>
      <c r="H224" s="49"/>
      <c r="I224" s="50"/>
      <c r="J224" s="50"/>
      <c r="K224" s="51" t="str">
        <f t="shared" si="9"/>
        <v/>
      </c>
      <c r="L224" s="52" t="str">
        <f t="shared" si="10"/>
        <v/>
      </c>
      <c r="M224" s="53" t="str">
        <f t="shared" si="11"/>
        <v/>
      </c>
      <c r="N224" s="49"/>
    </row>
    <row r="225" spans="2:14" ht="18" customHeight="1" x14ac:dyDescent="0.25">
      <c r="B225" s="47" t="str">
        <f>IF(C225="","",COUNT($C$7:C225))</f>
        <v/>
      </c>
      <c r="C225" s="48"/>
      <c r="D225" s="49"/>
      <c r="E225" s="49"/>
      <c r="F225" s="49"/>
      <c r="G225" s="49"/>
      <c r="H225" s="49"/>
      <c r="I225" s="50"/>
      <c r="J225" s="50"/>
      <c r="K225" s="51" t="str">
        <f t="shared" si="9"/>
        <v/>
      </c>
      <c r="L225" s="52" t="str">
        <f t="shared" si="10"/>
        <v/>
      </c>
      <c r="M225" s="53" t="str">
        <f t="shared" si="11"/>
        <v/>
      </c>
      <c r="N225" s="49"/>
    </row>
    <row r="226" spans="2:14" ht="18" customHeight="1" x14ac:dyDescent="0.25">
      <c r="B226" s="47" t="str">
        <f>IF(C226="","",COUNT($C$7:C226))</f>
        <v/>
      </c>
      <c r="C226" s="48"/>
      <c r="D226" s="49"/>
      <c r="E226" s="49"/>
      <c r="F226" s="49"/>
      <c r="G226" s="49"/>
      <c r="H226" s="49"/>
      <c r="I226" s="50"/>
      <c r="J226" s="50"/>
      <c r="K226" s="51" t="str">
        <f t="shared" si="9"/>
        <v/>
      </c>
      <c r="L226" s="52" t="str">
        <f t="shared" si="10"/>
        <v/>
      </c>
      <c r="M226" s="53" t="str">
        <f t="shared" si="11"/>
        <v/>
      </c>
      <c r="N226" s="49"/>
    </row>
    <row r="227" spans="2:14" ht="18" customHeight="1" x14ac:dyDescent="0.25">
      <c r="B227" s="47" t="str">
        <f>IF(C227="","",COUNT($C$7:C227))</f>
        <v/>
      </c>
      <c r="C227" s="48"/>
      <c r="D227" s="49"/>
      <c r="E227" s="49"/>
      <c r="F227" s="49"/>
      <c r="G227" s="49"/>
      <c r="H227" s="49"/>
      <c r="I227" s="50"/>
      <c r="J227" s="50"/>
      <c r="K227" s="51" t="str">
        <f t="shared" si="9"/>
        <v/>
      </c>
      <c r="L227" s="52" t="str">
        <f t="shared" si="10"/>
        <v/>
      </c>
      <c r="M227" s="53" t="str">
        <f t="shared" si="11"/>
        <v/>
      </c>
      <c r="N227" s="49"/>
    </row>
    <row r="228" spans="2:14" ht="18" customHeight="1" x14ac:dyDescent="0.25">
      <c r="B228" s="47" t="str">
        <f>IF(C228="","",COUNT($C$7:C228))</f>
        <v/>
      </c>
      <c r="C228" s="48"/>
      <c r="D228" s="49"/>
      <c r="E228" s="49"/>
      <c r="F228" s="49"/>
      <c r="G228" s="49"/>
      <c r="H228" s="49"/>
      <c r="I228" s="50"/>
      <c r="J228" s="50"/>
      <c r="K228" s="51" t="str">
        <f t="shared" si="9"/>
        <v/>
      </c>
      <c r="L228" s="52" t="str">
        <f t="shared" si="10"/>
        <v/>
      </c>
      <c r="M228" s="53" t="str">
        <f t="shared" si="11"/>
        <v/>
      </c>
      <c r="N228" s="49"/>
    </row>
    <row r="229" spans="2:14" ht="18" customHeight="1" x14ac:dyDescent="0.25">
      <c r="B229" s="47" t="str">
        <f>IF(C229="","",COUNT($C$7:C229))</f>
        <v/>
      </c>
      <c r="C229" s="48"/>
      <c r="D229" s="49"/>
      <c r="E229" s="49"/>
      <c r="F229" s="49"/>
      <c r="G229" s="49"/>
      <c r="H229" s="49"/>
      <c r="I229" s="50"/>
      <c r="J229" s="50"/>
      <c r="K229" s="51" t="str">
        <f t="shared" si="9"/>
        <v/>
      </c>
      <c r="L229" s="52" t="str">
        <f t="shared" si="10"/>
        <v/>
      </c>
      <c r="M229" s="53" t="str">
        <f t="shared" si="11"/>
        <v/>
      </c>
      <c r="N229" s="49"/>
    </row>
    <row r="230" spans="2:14" ht="18" customHeight="1" x14ac:dyDescent="0.25">
      <c r="B230" s="47" t="str">
        <f>IF(C230="","",COUNT($C$7:C230))</f>
        <v/>
      </c>
      <c r="C230" s="48"/>
      <c r="D230" s="49"/>
      <c r="E230" s="49"/>
      <c r="F230" s="49"/>
      <c r="G230" s="49"/>
      <c r="H230" s="49"/>
      <c r="I230" s="50"/>
      <c r="J230" s="50"/>
      <c r="K230" s="51" t="str">
        <f t="shared" si="9"/>
        <v/>
      </c>
      <c r="L230" s="52" t="str">
        <f t="shared" si="10"/>
        <v/>
      </c>
      <c r="M230" s="53" t="str">
        <f t="shared" si="11"/>
        <v/>
      </c>
      <c r="N230" s="49"/>
    </row>
    <row r="231" spans="2:14" ht="18" customHeight="1" x14ac:dyDescent="0.25">
      <c r="B231" s="47" t="str">
        <f>IF(C231="","",COUNT($C$7:C231))</f>
        <v/>
      </c>
      <c r="C231" s="48"/>
      <c r="D231" s="49"/>
      <c r="E231" s="49"/>
      <c r="F231" s="49"/>
      <c r="G231" s="49"/>
      <c r="H231" s="49"/>
      <c r="I231" s="50"/>
      <c r="J231" s="50"/>
      <c r="K231" s="51" t="str">
        <f t="shared" si="9"/>
        <v/>
      </c>
      <c r="L231" s="52" t="str">
        <f t="shared" si="10"/>
        <v/>
      </c>
      <c r="M231" s="53" t="str">
        <f t="shared" si="11"/>
        <v/>
      </c>
      <c r="N231" s="49"/>
    </row>
    <row r="232" spans="2:14" ht="18" customHeight="1" x14ac:dyDescent="0.25">
      <c r="B232" s="47" t="str">
        <f>IF(C232="","",COUNT($C$7:C232))</f>
        <v/>
      </c>
      <c r="C232" s="48"/>
      <c r="D232" s="49"/>
      <c r="E232" s="49"/>
      <c r="F232" s="49"/>
      <c r="G232" s="49"/>
      <c r="H232" s="49"/>
      <c r="I232" s="50"/>
      <c r="J232" s="50"/>
      <c r="K232" s="51" t="str">
        <f t="shared" si="9"/>
        <v/>
      </c>
      <c r="L232" s="52" t="str">
        <f t="shared" si="10"/>
        <v/>
      </c>
      <c r="M232" s="53" t="str">
        <f t="shared" si="11"/>
        <v/>
      </c>
      <c r="N232" s="49"/>
    </row>
    <row r="233" spans="2:14" ht="18" customHeight="1" x14ac:dyDescent="0.25">
      <c r="B233" s="47" t="str">
        <f>IF(C233="","",COUNT($C$7:C233))</f>
        <v/>
      </c>
      <c r="C233" s="48"/>
      <c r="D233" s="49"/>
      <c r="E233" s="49"/>
      <c r="F233" s="49"/>
      <c r="G233" s="49"/>
      <c r="H233" s="49"/>
      <c r="I233" s="50"/>
      <c r="J233" s="50"/>
      <c r="K233" s="51" t="str">
        <f t="shared" si="9"/>
        <v/>
      </c>
      <c r="L233" s="52" t="str">
        <f t="shared" si="10"/>
        <v/>
      </c>
      <c r="M233" s="53" t="str">
        <f t="shared" si="11"/>
        <v/>
      </c>
      <c r="N233" s="49"/>
    </row>
    <row r="234" spans="2:14" ht="18" customHeight="1" x14ac:dyDescent="0.25">
      <c r="B234" s="47" t="str">
        <f>IF(C234="","",COUNT($C$7:C234))</f>
        <v/>
      </c>
      <c r="C234" s="48"/>
      <c r="D234" s="49"/>
      <c r="E234" s="49"/>
      <c r="F234" s="49"/>
      <c r="G234" s="49"/>
      <c r="H234" s="49"/>
      <c r="I234" s="50"/>
      <c r="J234" s="50"/>
      <c r="K234" s="51" t="str">
        <f t="shared" si="9"/>
        <v/>
      </c>
      <c r="L234" s="52" t="str">
        <f t="shared" si="10"/>
        <v/>
      </c>
      <c r="M234" s="53" t="str">
        <f t="shared" si="11"/>
        <v/>
      </c>
      <c r="N234" s="49"/>
    </row>
    <row r="235" spans="2:14" ht="18" customHeight="1" x14ac:dyDescent="0.25">
      <c r="B235" s="47" t="str">
        <f>IF(C235="","",COUNT($C$7:C235))</f>
        <v/>
      </c>
      <c r="C235" s="48"/>
      <c r="D235" s="49"/>
      <c r="E235" s="49"/>
      <c r="F235" s="49"/>
      <c r="G235" s="49"/>
      <c r="H235" s="49"/>
      <c r="I235" s="50"/>
      <c r="J235" s="50"/>
      <c r="K235" s="51" t="str">
        <f t="shared" si="9"/>
        <v/>
      </c>
      <c r="L235" s="52" t="str">
        <f t="shared" si="10"/>
        <v/>
      </c>
      <c r="M235" s="53" t="str">
        <f t="shared" si="11"/>
        <v/>
      </c>
      <c r="N235" s="49"/>
    </row>
    <row r="236" spans="2:14" ht="18" customHeight="1" x14ac:dyDescent="0.25">
      <c r="B236" s="47" t="str">
        <f>IF(C236="","",COUNT($C$7:C236))</f>
        <v/>
      </c>
      <c r="C236" s="48"/>
      <c r="D236" s="49"/>
      <c r="E236" s="49"/>
      <c r="F236" s="49"/>
      <c r="G236" s="49"/>
      <c r="H236" s="49"/>
      <c r="I236" s="50"/>
      <c r="J236" s="50"/>
      <c r="K236" s="51" t="str">
        <f t="shared" si="9"/>
        <v/>
      </c>
      <c r="L236" s="52" t="str">
        <f t="shared" si="10"/>
        <v/>
      </c>
      <c r="M236" s="53" t="str">
        <f t="shared" si="11"/>
        <v/>
      </c>
      <c r="N236" s="49"/>
    </row>
    <row r="237" spans="2:14" ht="18" customHeight="1" x14ac:dyDescent="0.25">
      <c r="B237" s="47" t="str">
        <f>IF(C237="","",COUNT($C$7:C237))</f>
        <v/>
      </c>
      <c r="C237" s="48"/>
      <c r="D237" s="49"/>
      <c r="E237" s="49"/>
      <c r="F237" s="49"/>
      <c r="G237" s="49"/>
      <c r="H237" s="49"/>
      <c r="I237" s="50"/>
      <c r="J237" s="50"/>
      <c r="K237" s="51" t="str">
        <f t="shared" si="9"/>
        <v/>
      </c>
      <c r="L237" s="52" t="str">
        <f t="shared" si="10"/>
        <v/>
      </c>
      <c r="M237" s="53" t="str">
        <f t="shared" si="11"/>
        <v/>
      </c>
      <c r="N237" s="49"/>
    </row>
    <row r="238" spans="2:14" ht="18" customHeight="1" x14ac:dyDescent="0.25">
      <c r="B238" s="47" t="str">
        <f>IF(C238="","",COUNT($C$7:C238))</f>
        <v/>
      </c>
      <c r="C238" s="48"/>
      <c r="D238" s="49"/>
      <c r="E238" s="49"/>
      <c r="F238" s="49"/>
      <c r="G238" s="49"/>
      <c r="H238" s="49"/>
      <c r="I238" s="50"/>
      <c r="J238" s="50"/>
      <c r="K238" s="51" t="str">
        <f t="shared" si="9"/>
        <v/>
      </c>
      <c r="L238" s="52" t="str">
        <f t="shared" si="10"/>
        <v/>
      </c>
      <c r="M238" s="53" t="str">
        <f t="shared" si="11"/>
        <v/>
      </c>
      <c r="N238" s="49"/>
    </row>
    <row r="239" spans="2:14" ht="18" customHeight="1" x14ac:dyDescent="0.25">
      <c r="B239" s="47" t="str">
        <f>IF(C239="","",COUNT($C$7:C239))</f>
        <v/>
      </c>
      <c r="C239" s="48"/>
      <c r="D239" s="49"/>
      <c r="E239" s="49"/>
      <c r="F239" s="49"/>
      <c r="G239" s="49"/>
      <c r="H239" s="49"/>
      <c r="I239" s="50"/>
      <c r="J239" s="50"/>
      <c r="K239" s="51" t="str">
        <f t="shared" si="9"/>
        <v/>
      </c>
      <c r="L239" s="52" t="str">
        <f t="shared" si="10"/>
        <v/>
      </c>
      <c r="M239" s="53" t="str">
        <f t="shared" si="11"/>
        <v/>
      </c>
      <c r="N239" s="49"/>
    </row>
    <row r="240" spans="2:14" ht="18" customHeight="1" x14ac:dyDescent="0.25">
      <c r="B240" s="47" t="str">
        <f>IF(C240="","",COUNT($C$7:C240))</f>
        <v/>
      </c>
      <c r="C240" s="48"/>
      <c r="D240" s="49"/>
      <c r="E240" s="49"/>
      <c r="F240" s="49"/>
      <c r="G240" s="49"/>
      <c r="H240" s="49"/>
      <c r="I240" s="50"/>
      <c r="J240" s="50"/>
      <c r="K240" s="51" t="str">
        <f t="shared" si="9"/>
        <v/>
      </c>
      <c r="L240" s="52" t="str">
        <f t="shared" si="10"/>
        <v/>
      </c>
      <c r="M240" s="53" t="str">
        <f t="shared" si="11"/>
        <v/>
      </c>
      <c r="N240" s="49"/>
    </row>
    <row r="241" spans="2:14" ht="18" customHeight="1" x14ac:dyDescent="0.25">
      <c r="B241" s="47" t="str">
        <f>IF(C241="","",COUNT($C$7:C241))</f>
        <v/>
      </c>
      <c r="C241" s="48"/>
      <c r="D241" s="49"/>
      <c r="E241" s="49"/>
      <c r="F241" s="49"/>
      <c r="G241" s="49"/>
      <c r="H241" s="49"/>
      <c r="I241" s="50"/>
      <c r="J241" s="50"/>
      <c r="K241" s="51" t="str">
        <f t="shared" si="9"/>
        <v/>
      </c>
      <c r="L241" s="52" t="str">
        <f t="shared" si="10"/>
        <v/>
      </c>
      <c r="M241" s="53" t="str">
        <f t="shared" si="11"/>
        <v/>
      </c>
      <c r="N241" s="49"/>
    </row>
    <row r="242" spans="2:14" ht="18" customHeight="1" x14ac:dyDescent="0.25">
      <c r="B242" s="47" t="str">
        <f>IF(C242="","",COUNT($C$7:C242))</f>
        <v/>
      </c>
      <c r="C242" s="48"/>
      <c r="D242" s="49"/>
      <c r="E242" s="49"/>
      <c r="F242" s="49"/>
      <c r="G242" s="49"/>
      <c r="H242" s="49"/>
      <c r="I242" s="50"/>
      <c r="J242" s="50"/>
      <c r="K242" s="51" t="str">
        <f t="shared" si="9"/>
        <v/>
      </c>
      <c r="L242" s="52" t="str">
        <f t="shared" si="10"/>
        <v/>
      </c>
      <c r="M242" s="53" t="str">
        <f t="shared" si="11"/>
        <v/>
      </c>
      <c r="N242" s="49"/>
    </row>
    <row r="243" spans="2:14" ht="18" customHeight="1" x14ac:dyDescent="0.25">
      <c r="B243" s="47" t="str">
        <f>IF(C243="","",COUNT($C$7:C243))</f>
        <v/>
      </c>
      <c r="C243" s="48"/>
      <c r="D243" s="49"/>
      <c r="E243" s="49"/>
      <c r="F243" s="49"/>
      <c r="G243" s="49"/>
      <c r="H243" s="49"/>
      <c r="I243" s="50"/>
      <c r="J243" s="50"/>
      <c r="K243" s="51" t="str">
        <f t="shared" si="9"/>
        <v/>
      </c>
      <c r="L243" s="52" t="str">
        <f t="shared" si="10"/>
        <v/>
      </c>
      <c r="M243" s="53" t="str">
        <f t="shared" si="11"/>
        <v/>
      </c>
      <c r="N243" s="49"/>
    </row>
    <row r="244" spans="2:14" ht="18" customHeight="1" x14ac:dyDescent="0.25">
      <c r="B244" s="47" t="str">
        <f>IF(C244="","",COUNT($C$7:C244))</f>
        <v/>
      </c>
      <c r="C244" s="48"/>
      <c r="D244" s="49"/>
      <c r="E244" s="49"/>
      <c r="F244" s="49"/>
      <c r="G244" s="49"/>
      <c r="H244" s="49"/>
      <c r="I244" s="50"/>
      <c r="J244" s="50"/>
      <c r="K244" s="51" t="str">
        <f t="shared" si="9"/>
        <v/>
      </c>
      <c r="L244" s="52" t="str">
        <f t="shared" si="10"/>
        <v/>
      </c>
      <c r="M244" s="53" t="str">
        <f t="shared" si="11"/>
        <v/>
      </c>
      <c r="N244" s="49"/>
    </row>
    <row r="245" spans="2:14" ht="18" customHeight="1" x14ac:dyDescent="0.25">
      <c r="B245" s="47" t="str">
        <f>IF(C245="","",COUNT($C$7:C245))</f>
        <v/>
      </c>
      <c r="C245" s="48"/>
      <c r="D245" s="49"/>
      <c r="E245" s="49"/>
      <c r="F245" s="49"/>
      <c r="G245" s="49"/>
      <c r="H245" s="49"/>
      <c r="I245" s="50"/>
      <c r="J245" s="50"/>
      <c r="K245" s="51" t="str">
        <f t="shared" si="9"/>
        <v/>
      </c>
      <c r="L245" s="52" t="str">
        <f t="shared" si="10"/>
        <v/>
      </c>
      <c r="M245" s="53" t="str">
        <f t="shared" si="11"/>
        <v/>
      </c>
      <c r="N245" s="49"/>
    </row>
    <row r="246" spans="2:14" ht="18" customHeight="1" x14ac:dyDescent="0.25">
      <c r="B246" s="47" t="str">
        <f>IF(C246="","",COUNT($C$7:C246))</f>
        <v/>
      </c>
      <c r="C246" s="48"/>
      <c r="D246" s="49"/>
      <c r="E246" s="49"/>
      <c r="F246" s="49"/>
      <c r="G246" s="49"/>
      <c r="H246" s="49"/>
      <c r="I246" s="50"/>
      <c r="J246" s="50"/>
      <c r="K246" s="51" t="str">
        <f t="shared" si="9"/>
        <v/>
      </c>
      <c r="L246" s="52" t="str">
        <f t="shared" si="10"/>
        <v/>
      </c>
      <c r="M246" s="53" t="str">
        <f t="shared" si="11"/>
        <v/>
      </c>
      <c r="N246" s="49"/>
    </row>
    <row r="247" spans="2:14" ht="18" customHeight="1" x14ac:dyDescent="0.25">
      <c r="B247" s="47" t="str">
        <f>IF(C247="","",COUNT($C$7:C247))</f>
        <v/>
      </c>
      <c r="C247" s="48"/>
      <c r="D247" s="49"/>
      <c r="E247" s="49"/>
      <c r="F247" s="49"/>
      <c r="G247" s="49"/>
      <c r="H247" s="49"/>
      <c r="I247" s="50"/>
      <c r="J247" s="50"/>
      <c r="K247" s="51" t="str">
        <f t="shared" si="9"/>
        <v/>
      </c>
      <c r="L247" s="52" t="str">
        <f t="shared" si="10"/>
        <v/>
      </c>
      <c r="M247" s="53" t="str">
        <f t="shared" si="11"/>
        <v/>
      </c>
      <c r="N247" s="49"/>
    </row>
    <row r="248" spans="2:14" ht="18" customHeight="1" x14ac:dyDescent="0.25">
      <c r="B248" s="47" t="str">
        <f>IF(C248="","",COUNT($C$7:C248))</f>
        <v/>
      </c>
      <c r="C248" s="48"/>
      <c r="D248" s="49"/>
      <c r="E248" s="49"/>
      <c r="F248" s="49"/>
      <c r="G248" s="49"/>
      <c r="H248" s="49"/>
      <c r="I248" s="50"/>
      <c r="J248" s="50"/>
      <c r="K248" s="51" t="str">
        <f t="shared" si="9"/>
        <v/>
      </c>
      <c r="L248" s="52" t="str">
        <f t="shared" si="10"/>
        <v/>
      </c>
      <c r="M248" s="53" t="str">
        <f t="shared" si="11"/>
        <v/>
      </c>
      <c r="N248" s="49"/>
    </row>
    <row r="249" spans="2:14" ht="18" customHeight="1" x14ac:dyDescent="0.25">
      <c r="B249" s="47" t="str">
        <f>IF(C249="","",COUNT($C$7:C249))</f>
        <v/>
      </c>
      <c r="C249" s="48"/>
      <c r="D249" s="49"/>
      <c r="E249" s="49"/>
      <c r="F249" s="49"/>
      <c r="G249" s="49"/>
      <c r="H249" s="49"/>
      <c r="I249" s="50"/>
      <c r="J249" s="50"/>
      <c r="K249" s="51" t="str">
        <f t="shared" si="9"/>
        <v/>
      </c>
      <c r="L249" s="52" t="str">
        <f t="shared" si="10"/>
        <v/>
      </c>
      <c r="M249" s="53" t="str">
        <f t="shared" si="11"/>
        <v/>
      </c>
      <c r="N249" s="49"/>
    </row>
    <row r="250" spans="2:14" ht="18" customHeight="1" x14ac:dyDescent="0.25">
      <c r="B250" s="47" t="str">
        <f>IF(C250="","",COUNT($C$7:C250))</f>
        <v/>
      </c>
      <c r="C250" s="48"/>
      <c r="D250" s="49"/>
      <c r="E250" s="49"/>
      <c r="F250" s="49"/>
      <c r="G250" s="49"/>
      <c r="H250" s="49"/>
      <c r="I250" s="50"/>
      <c r="J250" s="50"/>
      <c r="K250" s="51" t="str">
        <f t="shared" si="9"/>
        <v/>
      </c>
      <c r="L250" s="52" t="str">
        <f t="shared" si="10"/>
        <v/>
      </c>
      <c r="M250" s="53" t="str">
        <f t="shared" si="11"/>
        <v/>
      </c>
      <c r="N250" s="49"/>
    </row>
    <row r="251" spans="2:14" ht="18" customHeight="1" x14ac:dyDescent="0.25">
      <c r="B251" s="47" t="str">
        <f>IF(C251="","",COUNT($C$7:C251))</f>
        <v/>
      </c>
      <c r="C251" s="48"/>
      <c r="D251" s="49"/>
      <c r="E251" s="49"/>
      <c r="F251" s="49"/>
      <c r="G251" s="49"/>
      <c r="H251" s="49"/>
      <c r="I251" s="50"/>
      <c r="J251" s="50"/>
      <c r="K251" s="51" t="str">
        <f t="shared" si="9"/>
        <v/>
      </c>
      <c r="L251" s="52" t="str">
        <f t="shared" si="10"/>
        <v/>
      </c>
      <c r="M251" s="53" t="str">
        <f t="shared" si="11"/>
        <v/>
      </c>
      <c r="N251" s="49"/>
    </row>
    <row r="252" spans="2:14" ht="18" customHeight="1" x14ac:dyDescent="0.25">
      <c r="B252" s="47" t="str">
        <f>IF(C252="","",COUNT($C$7:C252))</f>
        <v/>
      </c>
      <c r="C252" s="48"/>
      <c r="D252" s="49"/>
      <c r="E252" s="49"/>
      <c r="F252" s="49"/>
      <c r="G252" s="49"/>
      <c r="H252" s="49"/>
      <c r="I252" s="50"/>
      <c r="J252" s="50"/>
      <c r="K252" s="51" t="str">
        <f t="shared" si="9"/>
        <v/>
      </c>
      <c r="L252" s="52" t="str">
        <f t="shared" si="10"/>
        <v/>
      </c>
      <c r="M252" s="53" t="str">
        <f t="shared" si="11"/>
        <v/>
      </c>
      <c r="N252" s="49"/>
    </row>
    <row r="253" spans="2:14" ht="18" customHeight="1" x14ac:dyDescent="0.25">
      <c r="B253" s="47" t="str">
        <f>IF(C253="","",COUNT($C$7:C253))</f>
        <v/>
      </c>
      <c r="C253" s="48"/>
      <c r="D253" s="49"/>
      <c r="E253" s="49"/>
      <c r="F253" s="49"/>
      <c r="G253" s="49"/>
      <c r="H253" s="49"/>
      <c r="I253" s="50"/>
      <c r="J253" s="50"/>
      <c r="K253" s="51" t="str">
        <f t="shared" si="9"/>
        <v/>
      </c>
      <c r="L253" s="52" t="str">
        <f t="shared" si="10"/>
        <v/>
      </c>
      <c r="M253" s="53" t="str">
        <f t="shared" si="11"/>
        <v/>
      </c>
      <c r="N253" s="49"/>
    </row>
    <row r="254" spans="2:14" ht="18" customHeight="1" x14ac:dyDescent="0.25">
      <c r="B254" s="47" t="str">
        <f>IF(C254="","",COUNT($C$7:C254))</f>
        <v/>
      </c>
      <c r="C254" s="48"/>
      <c r="D254" s="49"/>
      <c r="E254" s="49"/>
      <c r="F254" s="49"/>
      <c r="G254" s="49"/>
      <c r="H254" s="49"/>
      <c r="I254" s="50"/>
      <c r="J254" s="50"/>
      <c r="K254" s="51" t="str">
        <f t="shared" si="9"/>
        <v/>
      </c>
      <c r="L254" s="52" t="str">
        <f t="shared" si="10"/>
        <v/>
      </c>
      <c r="M254" s="53" t="str">
        <f t="shared" si="11"/>
        <v/>
      </c>
      <c r="N254" s="49"/>
    </row>
    <row r="255" spans="2:14" ht="18" customHeight="1" x14ac:dyDescent="0.25">
      <c r="B255" s="47" t="str">
        <f>IF(C255="","",COUNT($C$7:C255))</f>
        <v/>
      </c>
      <c r="C255" s="48"/>
      <c r="D255" s="49"/>
      <c r="E255" s="49"/>
      <c r="F255" s="49"/>
      <c r="G255" s="49"/>
      <c r="H255" s="49"/>
      <c r="I255" s="50"/>
      <c r="J255" s="50"/>
      <c r="K255" s="51" t="str">
        <f t="shared" si="9"/>
        <v/>
      </c>
      <c r="L255" s="52" t="str">
        <f t="shared" si="10"/>
        <v/>
      </c>
      <c r="M255" s="53" t="str">
        <f t="shared" si="11"/>
        <v/>
      </c>
      <c r="N255" s="49"/>
    </row>
    <row r="256" spans="2:14" ht="18" customHeight="1" x14ac:dyDescent="0.25">
      <c r="B256" s="47" t="str">
        <f>IF(C256="","",COUNT($C$7:C256))</f>
        <v/>
      </c>
      <c r="C256" s="48"/>
      <c r="D256" s="49"/>
      <c r="E256" s="49"/>
      <c r="F256" s="49"/>
      <c r="G256" s="49"/>
      <c r="H256" s="49"/>
      <c r="I256" s="50"/>
      <c r="J256" s="50"/>
      <c r="K256" s="51" t="str">
        <f t="shared" si="9"/>
        <v/>
      </c>
      <c r="L256" s="52" t="str">
        <f t="shared" si="10"/>
        <v/>
      </c>
      <c r="M256" s="53" t="str">
        <f t="shared" si="11"/>
        <v/>
      </c>
      <c r="N256" s="49"/>
    </row>
    <row r="257" spans="2:14" ht="18" customHeight="1" x14ac:dyDescent="0.25">
      <c r="B257" s="47" t="str">
        <f>IF(C257="","",COUNT($C$7:C257))</f>
        <v/>
      </c>
      <c r="C257" s="48"/>
      <c r="D257" s="49"/>
      <c r="E257" s="49"/>
      <c r="F257" s="49"/>
      <c r="G257" s="49"/>
      <c r="H257" s="49"/>
      <c r="I257" s="50"/>
      <c r="J257" s="50"/>
      <c r="K257" s="51" t="str">
        <f t="shared" si="9"/>
        <v/>
      </c>
      <c r="L257" s="52" t="str">
        <f t="shared" si="10"/>
        <v/>
      </c>
      <c r="M257" s="53" t="str">
        <f t="shared" si="11"/>
        <v/>
      </c>
      <c r="N257" s="49"/>
    </row>
    <row r="258" spans="2:14" ht="18" customHeight="1" x14ac:dyDescent="0.25">
      <c r="B258" s="47" t="str">
        <f>IF(C258="","",COUNT($C$7:C258))</f>
        <v/>
      </c>
      <c r="C258" s="48"/>
      <c r="D258" s="49"/>
      <c r="E258" s="49"/>
      <c r="F258" s="49"/>
      <c r="G258" s="49"/>
      <c r="H258" s="49"/>
      <c r="I258" s="50"/>
      <c r="J258" s="50"/>
      <c r="K258" s="51" t="str">
        <f t="shared" si="9"/>
        <v/>
      </c>
      <c r="L258" s="52" t="str">
        <f t="shared" si="10"/>
        <v/>
      </c>
      <c r="M258" s="53" t="str">
        <f t="shared" si="11"/>
        <v/>
      </c>
      <c r="N258" s="49"/>
    </row>
    <row r="259" spans="2:14" ht="18" customHeight="1" x14ac:dyDescent="0.25">
      <c r="B259" s="47" t="str">
        <f>IF(C259="","",COUNT($C$7:C259))</f>
        <v/>
      </c>
      <c r="C259" s="48"/>
      <c r="D259" s="49"/>
      <c r="E259" s="49"/>
      <c r="F259" s="49"/>
      <c r="G259" s="49"/>
      <c r="H259" s="49"/>
      <c r="I259" s="50"/>
      <c r="J259" s="50"/>
      <c r="K259" s="51" t="str">
        <f t="shared" si="9"/>
        <v/>
      </c>
      <c r="L259" s="52" t="str">
        <f t="shared" si="10"/>
        <v/>
      </c>
      <c r="M259" s="53" t="str">
        <f t="shared" si="11"/>
        <v/>
      </c>
      <c r="N259" s="49"/>
    </row>
    <row r="260" spans="2:14" ht="18" customHeight="1" x14ac:dyDescent="0.25">
      <c r="B260" s="47" t="str">
        <f>IF(C260="","",COUNT($C$7:C260))</f>
        <v/>
      </c>
      <c r="C260" s="48"/>
      <c r="D260" s="49"/>
      <c r="E260" s="49"/>
      <c r="F260" s="49"/>
      <c r="G260" s="49"/>
      <c r="H260" s="49"/>
      <c r="I260" s="50"/>
      <c r="J260" s="50"/>
      <c r="K260" s="51" t="str">
        <f t="shared" si="9"/>
        <v/>
      </c>
      <c r="L260" s="52" t="str">
        <f t="shared" si="10"/>
        <v/>
      </c>
      <c r="M260" s="53" t="str">
        <f t="shared" si="11"/>
        <v/>
      </c>
      <c r="N260" s="49"/>
    </row>
    <row r="261" spans="2:14" ht="18" customHeight="1" x14ac:dyDescent="0.25">
      <c r="B261" s="47" t="str">
        <f>IF(C261="","",COUNT($C$7:C261))</f>
        <v/>
      </c>
      <c r="C261" s="48"/>
      <c r="D261" s="49"/>
      <c r="E261" s="49"/>
      <c r="F261" s="49"/>
      <c r="G261" s="49"/>
      <c r="H261" s="49"/>
      <c r="I261" s="50"/>
      <c r="J261" s="50"/>
      <c r="K261" s="51" t="str">
        <f t="shared" si="9"/>
        <v/>
      </c>
      <c r="L261" s="52" t="str">
        <f t="shared" si="10"/>
        <v/>
      </c>
      <c r="M261" s="53" t="str">
        <f t="shared" si="11"/>
        <v/>
      </c>
      <c r="N261" s="49"/>
    </row>
    <row r="262" spans="2:14" ht="18" customHeight="1" x14ac:dyDescent="0.25">
      <c r="B262" s="47" t="str">
        <f>IF(C262="","",COUNT($C$7:C262))</f>
        <v/>
      </c>
      <c r="C262" s="48"/>
      <c r="D262" s="49"/>
      <c r="E262" s="49"/>
      <c r="F262" s="49"/>
      <c r="G262" s="49"/>
      <c r="H262" s="49"/>
      <c r="I262" s="50"/>
      <c r="J262" s="50"/>
      <c r="K262" s="51" t="str">
        <f t="shared" si="9"/>
        <v/>
      </c>
      <c r="L262" s="52" t="str">
        <f t="shared" si="10"/>
        <v/>
      </c>
      <c r="M262" s="53" t="str">
        <f t="shared" si="11"/>
        <v/>
      </c>
      <c r="N262" s="49"/>
    </row>
    <row r="263" spans="2:14" ht="18" customHeight="1" x14ac:dyDescent="0.25">
      <c r="B263" s="47" t="str">
        <f>IF(C263="","",COUNT($C$7:C263))</f>
        <v/>
      </c>
      <c r="C263" s="48"/>
      <c r="D263" s="49"/>
      <c r="E263" s="49"/>
      <c r="F263" s="49"/>
      <c r="G263" s="49"/>
      <c r="H263" s="49"/>
      <c r="I263" s="50"/>
      <c r="J263" s="50"/>
      <c r="K263" s="51" t="str">
        <f t="shared" ref="K263:K326" si="12">IF(OR(I263="",J263=""),"",J263-I263)</f>
        <v/>
      </c>
      <c r="L263" s="52" t="str">
        <f t="shared" si="10"/>
        <v/>
      </c>
      <c r="M263" s="53" t="str">
        <f t="shared" si="11"/>
        <v/>
      </c>
      <c r="N263" s="49"/>
    </row>
    <row r="264" spans="2:14" ht="18" customHeight="1" x14ac:dyDescent="0.25">
      <c r="B264" s="47" t="str">
        <f>IF(C264="","",COUNT($C$7:C264))</f>
        <v/>
      </c>
      <c r="C264" s="48"/>
      <c r="D264" s="49"/>
      <c r="E264" s="49"/>
      <c r="F264" s="49"/>
      <c r="G264" s="49"/>
      <c r="H264" s="49"/>
      <c r="I264" s="50"/>
      <c r="J264" s="50"/>
      <c r="K264" s="51" t="str">
        <f t="shared" si="12"/>
        <v/>
      </c>
      <c r="L264" s="52" t="str">
        <f t="shared" ref="L264:L327" si="13">IF(OR(C264="",I264="",J263=""),"",I264-J263)</f>
        <v/>
      </c>
      <c r="M264" s="53" t="str">
        <f t="shared" ref="M264:M327" si="14">IF(C264="","",IF(OR(D264="",E264="",F264="",H264="",I264="",J264="",AND(H264="Professionnel",G264="")),"Incomplet",IF(AND(ISNUMBER(C263),C264&lt;C263),"Ordre des dates",IF(J264&lt;I264,"Compteur incohérent",IF(AND(ISNUMBER(L264),L264&gt;ToleranceKm),"Km non enregistrés",IF(AND(ISNUMBER(L264),L264&lt;-ToleranceKm),"Chevauchement","Conforme"))))))</f>
        <v/>
      </c>
      <c r="N264" s="49"/>
    </row>
    <row r="265" spans="2:14" ht="18" customHeight="1" x14ac:dyDescent="0.25">
      <c r="B265" s="47" t="str">
        <f>IF(C265="","",COUNT($C$7:C265))</f>
        <v/>
      </c>
      <c r="C265" s="48"/>
      <c r="D265" s="49"/>
      <c r="E265" s="49"/>
      <c r="F265" s="49"/>
      <c r="G265" s="49"/>
      <c r="H265" s="49"/>
      <c r="I265" s="50"/>
      <c r="J265" s="50"/>
      <c r="K265" s="51" t="str">
        <f t="shared" si="12"/>
        <v/>
      </c>
      <c r="L265" s="52" t="str">
        <f t="shared" si="13"/>
        <v/>
      </c>
      <c r="M265" s="53" t="str">
        <f t="shared" si="14"/>
        <v/>
      </c>
      <c r="N265" s="49"/>
    </row>
    <row r="266" spans="2:14" ht="18" customHeight="1" x14ac:dyDescent="0.25">
      <c r="B266" s="47" t="str">
        <f>IF(C266="","",COUNT($C$7:C266))</f>
        <v/>
      </c>
      <c r="C266" s="48"/>
      <c r="D266" s="49"/>
      <c r="E266" s="49"/>
      <c r="F266" s="49"/>
      <c r="G266" s="49"/>
      <c r="H266" s="49"/>
      <c r="I266" s="50"/>
      <c r="J266" s="50"/>
      <c r="K266" s="51" t="str">
        <f t="shared" si="12"/>
        <v/>
      </c>
      <c r="L266" s="52" t="str">
        <f t="shared" si="13"/>
        <v/>
      </c>
      <c r="M266" s="53" t="str">
        <f t="shared" si="14"/>
        <v/>
      </c>
      <c r="N266" s="49"/>
    </row>
    <row r="267" spans="2:14" ht="18" customHeight="1" x14ac:dyDescent="0.25">
      <c r="B267" s="47" t="str">
        <f>IF(C267="","",COUNT($C$7:C267))</f>
        <v/>
      </c>
      <c r="C267" s="48"/>
      <c r="D267" s="49"/>
      <c r="E267" s="49"/>
      <c r="F267" s="49"/>
      <c r="G267" s="49"/>
      <c r="H267" s="49"/>
      <c r="I267" s="50"/>
      <c r="J267" s="50"/>
      <c r="K267" s="51" t="str">
        <f t="shared" si="12"/>
        <v/>
      </c>
      <c r="L267" s="52" t="str">
        <f t="shared" si="13"/>
        <v/>
      </c>
      <c r="M267" s="53" t="str">
        <f t="shared" si="14"/>
        <v/>
      </c>
      <c r="N267" s="49"/>
    </row>
    <row r="268" spans="2:14" ht="18" customHeight="1" x14ac:dyDescent="0.25">
      <c r="B268" s="47" t="str">
        <f>IF(C268="","",COUNT($C$7:C268))</f>
        <v/>
      </c>
      <c r="C268" s="48"/>
      <c r="D268" s="49"/>
      <c r="E268" s="49"/>
      <c r="F268" s="49"/>
      <c r="G268" s="49"/>
      <c r="H268" s="49"/>
      <c r="I268" s="50"/>
      <c r="J268" s="50"/>
      <c r="K268" s="51" t="str">
        <f t="shared" si="12"/>
        <v/>
      </c>
      <c r="L268" s="52" t="str">
        <f t="shared" si="13"/>
        <v/>
      </c>
      <c r="M268" s="53" t="str">
        <f t="shared" si="14"/>
        <v/>
      </c>
      <c r="N268" s="49"/>
    </row>
    <row r="269" spans="2:14" ht="18" customHeight="1" x14ac:dyDescent="0.25">
      <c r="B269" s="47" t="str">
        <f>IF(C269="","",COUNT($C$7:C269))</f>
        <v/>
      </c>
      <c r="C269" s="48"/>
      <c r="D269" s="49"/>
      <c r="E269" s="49"/>
      <c r="F269" s="49"/>
      <c r="G269" s="49"/>
      <c r="H269" s="49"/>
      <c r="I269" s="50"/>
      <c r="J269" s="50"/>
      <c r="K269" s="51" t="str">
        <f t="shared" si="12"/>
        <v/>
      </c>
      <c r="L269" s="52" t="str">
        <f t="shared" si="13"/>
        <v/>
      </c>
      <c r="M269" s="53" t="str">
        <f t="shared" si="14"/>
        <v/>
      </c>
      <c r="N269" s="49"/>
    </row>
    <row r="270" spans="2:14" ht="18" customHeight="1" x14ac:dyDescent="0.25">
      <c r="B270" s="47" t="str">
        <f>IF(C270="","",COUNT($C$7:C270))</f>
        <v/>
      </c>
      <c r="C270" s="48"/>
      <c r="D270" s="49"/>
      <c r="E270" s="49"/>
      <c r="F270" s="49"/>
      <c r="G270" s="49"/>
      <c r="H270" s="49"/>
      <c r="I270" s="50"/>
      <c r="J270" s="50"/>
      <c r="K270" s="51" t="str">
        <f t="shared" si="12"/>
        <v/>
      </c>
      <c r="L270" s="52" t="str">
        <f t="shared" si="13"/>
        <v/>
      </c>
      <c r="M270" s="53" t="str">
        <f t="shared" si="14"/>
        <v/>
      </c>
      <c r="N270" s="49"/>
    </row>
    <row r="271" spans="2:14" ht="18" customHeight="1" x14ac:dyDescent="0.25">
      <c r="B271" s="47" t="str">
        <f>IF(C271="","",COUNT($C$7:C271))</f>
        <v/>
      </c>
      <c r="C271" s="48"/>
      <c r="D271" s="49"/>
      <c r="E271" s="49"/>
      <c r="F271" s="49"/>
      <c r="G271" s="49"/>
      <c r="H271" s="49"/>
      <c r="I271" s="50"/>
      <c r="J271" s="50"/>
      <c r="K271" s="51" t="str">
        <f t="shared" si="12"/>
        <v/>
      </c>
      <c r="L271" s="52" t="str">
        <f t="shared" si="13"/>
        <v/>
      </c>
      <c r="M271" s="53" t="str">
        <f t="shared" si="14"/>
        <v/>
      </c>
      <c r="N271" s="49"/>
    </row>
    <row r="272" spans="2:14" ht="18" customHeight="1" x14ac:dyDescent="0.25">
      <c r="B272" s="47" t="str">
        <f>IF(C272="","",COUNT($C$7:C272))</f>
        <v/>
      </c>
      <c r="C272" s="48"/>
      <c r="D272" s="49"/>
      <c r="E272" s="49"/>
      <c r="F272" s="49"/>
      <c r="G272" s="49"/>
      <c r="H272" s="49"/>
      <c r="I272" s="50"/>
      <c r="J272" s="50"/>
      <c r="K272" s="51" t="str">
        <f t="shared" si="12"/>
        <v/>
      </c>
      <c r="L272" s="52" t="str">
        <f t="shared" si="13"/>
        <v/>
      </c>
      <c r="M272" s="53" t="str">
        <f t="shared" si="14"/>
        <v/>
      </c>
      <c r="N272" s="49"/>
    </row>
    <row r="273" spans="2:14" ht="18" customHeight="1" x14ac:dyDescent="0.25">
      <c r="B273" s="47" t="str">
        <f>IF(C273="","",COUNT($C$7:C273))</f>
        <v/>
      </c>
      <c r="C273" s="48"/>
      <c r="D273" s="49"/>
      <c r="E273" s="49"/>
      <c r="F273" s="49"/>
      <c r="G273" s="49"/>
      <c r="H273" s="49"/>
      <c r="I273" s="50"/>
      <c r="J273" s="50"/>
      <c r="K273" s="51" t="str">
        <f t="shared" si="12"/>
        <v/>
      </c>
      <c r="L273" s="52" t="str">
        <f t="shared" si="13"/>
        <v/>
      </c>
      <c r="M273" s="53" t="str">
        <f t="shared" si="14"/>
        <v/>
      </c>
      <c r="N273" s="49"/>
    </row>
    <row r="274" spans="2:14" ht="18" customHeight="1" x14ac:dyDescent="0.25">
      <c r="B274" s="47" t="str">
        <f>IF(C274="","",COUNT($C$7:C274))</f>
        <v/>
      </c>
      <c r="C274" s="48"/>
      <c r="D274" s="49"/>
      <c r="E274" s="49"/>
      <c r="F274" s="49"/>
      <c r="G274" s="49"/>
      <c r="H274" s="49"/>
      <c r="I274" s="50"/>
      <c r="J274" s="50"/>
      <c r="K274" s="51" t="str">
        <f t="shared" si="12"/>
        <v/>
      </c>
      <c r="L274" s="52" t="str">
        <f t="shared" si="13"/>
        <v/>
      </c>
      <c r="M274" s="53" t="str">
        <f t="shared" si="14"/>
        <v/>
      </c>
      <c r="N274" s="49"/>
    </row>
    <row r="275" spans="2:14" ht="18" customHeight="1" x14ac:dyDescent="0.25">
      <c r="B275" s="47" t="str">
        <f>IF(C275="","",COUNT($C$7:C275))</f>
        <v/>
      </c>
      <c r="C275" s="48"/>
      <c r="D275" s="49"/>
      <c r="E275" s="49"/>
      <c r="F275" s="49"/>
      <c r="G275" s="49"/>
      <c r="H275" s="49"/>
      <c r="I275" s="50"/>
      <c r="J275" s="50"/>
      <c r="K275" s="51" t="str">
        <f t="shared" si="12"/>
        <v/>
      </c>
      <c r="L275" s="52" t="str">
        <f t="shared" si="13"/>
        <v/>
      </c>
      <c r="M275" s="53" t="str">
        <f t="shared" si="14"/>
        <v/>
      </c>
      <c r="N275" s="49"/>
    </row>
    <row r="276" spans="2:14" ht="18" customHeight="1" x14ac:dyDescent="0.25">
      <c r="B276" s="47" t="str">
        <f>IF(C276="","",COUNT($C$7:C276))</f>
        <v/>
      </c>
      <c r="C276" s="48"/>
      <c r="D276" s="49"/>
      <c r="E276" s="49"/>
      <c r="F276" s="49"/>
      <c r="G276" s="49"/>
      <c r="H276" s="49"/>
      <c r="I276" s="50"/>
      <c r="J276" s="50"/>
      <c r="K276" s="51" t="str">
        <f t="shared" si="12"/>
        <v/>
      </c>
      <c r="L276" s="52" t="str">
        <f t="shared" si="13"/>
        <v/>
      </c>
      <c r="M276" s="53" t="str">
        <f t="shared" si="14"/>
        <v/>
      </c>
      <c r="N276" s="49"/>
    </row>
    <row r="277" spans="2:14" ht="18" customHeight="1" x14ac:dyDescent="0.25">
      <c r="B277" s="47" t="str">
        <f>IF(C277="","",COUNT($C$7:C277))</f>
        <v/>
      </c>
      <c r="C277" s="48"/>
      <c r="D277" s="49"/>
      <c r="E277" s="49"/>
      <c r="F277" s="49"/>
      <c r="G277" s="49"/>
      <c r="H277" s="49"/>
      <c r="I277" s="50"/>
      <c r="J277" s="50"/>
      <c r="K277" s="51" t="str">
        <f t="shared" si="12"/>
        <v/>
      </c>
      <c r="L277" s="52" t="str">
        <f t="shared" si="13"/>
        <v/>
      </c>
      <c r="M277" s="53" t="str">
        <f t="shared" si="14"/>
        <v/>
      </c>
      <c r="N277" s="49"/>
    </row>
    <row r="278" spans="2:14" ht="18" customHeight="1" x14ac:dyDescent="0.25">
      <c r="B278" s="47" t="str">
        <f>IF(C278="","",COUNT($C$7:C278))</f>
        <v/>
      </c>
      <c r="C278" s="48"/>
      <c r="D278" s="49"/>
      <c r="E278" s="49"/>
      <c r="F278" s="49"/>
      <c r="G278" s="49"/>
      <c r="H278" s="49"/>
      <c r="I278" s="50"/>
      <c r="J278" s="50"/>
      <c r="K278" s="51" t="str">
        <f t="shared" si="12"/>
        <v/>
      </c>
      <c r="L278" s="52" t="str">
        <f t="shared" si="13"/>
        <v/>
      </c>
      <c r="M278" s="53" t="str">
        <f t="shared" si="14"/>
        <v/>
      </c>
      <c r="N278" s="49"/>
    </row>
    <row r="279" spans="2:14" ht="18" customHeight="1" x14ac:dyDescent="0.25">
      <c r="B279" s="47" t="str">
        <f>IF(C279="","",COUNT($C$7:C279))</f>
        <v/>
      </c>
      <c r="C279" s="48"/>
      <c r="D279" s="49"/>
      <c r="E279" s="49"/>
      <c r="F279" s="49"/>
      <c r="G279" s="49"/>
      <c r="H279" s="49"/>
      <c r="I279" s="50"/>
      <c r="J279" s="50"/>
      <c r="K279" s="51" t="str">
        <f t="shared" si="12"/>
        <v/>
      </c>
      <c r="L279" s="52" t="str">
        <f t="shared" si="13"/>
        <v/>
      </c>
      <c r="M279" s="53" t="str">
        <f t="shared" si="14"/>
        <v/>
      </c>
      <c r="N279" s="49"/>
    </row>
    <row r="280" spans="2:14" ht="18" customHeight="1" x14ac:dyDescent="0.25">
      <c r="B280" s="47" t="str">
        <f>IF(C280="","",COUNT($C$7:C280))</f>
        <v/>
      </c>
      <c r="C280" s="48"/>
      <c r="D280" s="49"/>
      <c r="E280" s="49"/>
      <c r="F280" s="49"/>
      <c r="G280" s="49"/>
      <c r="H280" s="49"/>
      <c r="I280" s="50"/>
      <c r="J280" s="50"/>
      <c r="K280" s="51" t="str">
        <f t="shared" si="12"/>
        <v/>
      </c>
      <c r="L280" s="52" t="str">
        <f t="shared" si="13"/>
        <v/>
      </c>
      <c r="M280" s="53" t="str">
        <f t="shared" si="14"/>
        <v/>
      </c>
      <c r="N280" s="49"/>
    </row>
    <row r="281" spans="2:14" ht="18" customHeight="1" x14ac:dyDescent="0.25">
      <c r="B281" s="47" t="str">
        <f>IF(C281="","",COUNT($C$7:C281))</f>
        <v/>
      </c>
      <c r="C281" s="48"/>
      <c r="D281" s="49"/>
      <c r="E281" s="49"/>
      <c r="F281" s="49"/>
      <c r="G281" s="49"/>
      <c r="H281" s="49"/>
      <c r="I281" s="50"/>
      <c r="J281" s="50"/>
      <c r="K281" s="51" t="str">
        <f t="shared" si="12"/>
        <v/>
      </c>
      <c r="L281" s="52" t="str">
        <f t="shared" si="13"/>
        <v/>
      </c>
      <c r="M281" s="53" t="str">
        <f t="shared" si="14"/>
        <v/>
      </c>
      <c r="N281" s="49"/>
    </row>
    <row r="282" spans="2:14" ht="18" customHeight="1" x14ac:dyDescent="0.25">
      <c r="B282" s="47" t="str">
        <f>IF(C282="","",COUNT($C$7:C282))</f>
        <v/>
      </c>
      <c r="C282" s="48"/>
      <c r="D282" s="49"/>
      <c r="E282" s="49"/>
      <c r="F282" s="49"/>
      <c r="G282" s="49"/>
      <c r="H282" s="49"/>
      <c r="I282" s="50"/>
      <c r="J282" s="50"/>
      <c r="K282" s="51" t="str">
        <f t="shared" si="12"/>
        <v/>
      </c>
      <c r="L282" s="52" t="str">
        <f t="shared" si="13"/>
        <v/>
      </c>
      <c r="M282" s="53" t="str">
        <f t="shared" si="14"/>
        <v/>
      </c>
      <c r="N282" s="49"/>
    </row>
    <row r="283" spans="2:14" ht="18" customHeight="1" x14ac:dyDescent="0.25">
      <c r="B283" s="47" t="str">
        <f>IF(C283="","",COUNT($C$7:C283))</f>
        <v/>
      </c>
      <c r="C283" s="48"/>
      <c r="D283" s="49"/>
      <c r="E283" s="49"/>
      <c r="F283" s="49"/>
      <c r="G283" s="49"/>
      <c r="H283" s="49"/>
      <c r="I283" s="50"/>
      <c r="J283" s="50"/>
      <c r="K283" s="51" t="str">
        <f t="shared" si="12"/>
        <v/>
      </c>
      <c r="L283" s="52" t="str">
        <f t="shared" si="13"/>
        <v/>
      </c>
      <c r="M283" s="53" t="str">
        <f t="shared" si="14"/>
        <v/>
      </c>
      <c r="N283" s="49"/>
    </row>
    <row r="284" spans="2:14" ht="18" customHeight="1" x14ac:dyDescent="0.25">
      <c r="B284" s="47" t="str">
        <f>IF(C284="","",COUNT($C$7:C284))</f>
        <v/>
      </c>
      <c r="C284" s="48"/>
      <c r="D284" s="49"/>
      <c r="E284" s="49"/>
      <c r="F284" s="49"/>
      <c r="G284" s="49"/>
      <c r="H284" s="49"/>
      <c r="I284" s="50"/>
      <c r="J284" s="50"/>
      <c r="K284" s="51" t="str">
        <f t="shared" si="12"/>
        <v/>
      </c>
      <c r="L284" s="52" t="str">
        <f t="shared" si="13"/>
        <v/>
      </c>
      <c r="M284" s="53" t="str">
        <f t="shared" si="14"/>
        <v/>
      </c>
      <c r="N284" s="49"/>
    </row>
    <row r="285" spans="2:14" ht="18" customHeight="1" x14ac:dyDescent="0.25">
      <c r="B285" s="47" t="str">
        <f>IF(C285="","",COUNT($C$7:C285))</f>
        <v/>
      </c>
      <c r="C285" s="48"/>
      <c r="D285" s="49"/>
      <c r="E285" s="49"/>
      <c r="F285" s="49"/>
      <c r="G285" s="49"/>
      <c r="H285" s="49"/>
      <c r="I285" s="50"/>
      <c r="J285" s="50"/>
      <c r="K285" s="51" t="str">
        <f t="shared" si="12"/>
        <v/>
      </c>
      <c r="L285" s="52" t="str">
        <f t="shared" si="13"/>
        <v/>
      </c>
      <c r="M285" s="53" t="str">
        <f t="shared" si="14"/>
        <v/>
      </c>
      <c r="N285" s="49"/>
    </row>
    <row r="286" spans="2:14" ht="18" customHeight="1" x14ac:dyDescent="0.25">
      <c r="B286" s="47" t="str">
        <f>IF(C286="","",COUNT($C$7:C286))</f>
        <v/>
      </c>
      <c r="C286" s="48"/>
      <c r="D286" s="49"/>
      <c r="E286" s="49"/>
      <c r="F286" s="49"/>
      <c r="G286" s="49"/>
      <c r="H286" s="49"/>
      <c r="I286" s="50"/>
      <c r="J286" s="50"/>
      <c r="K286" s="51" t="str">
        <f t="shared" si="12"/>
        <v/>
      </c>
      <c r="L286" s="52" t="str">
        <f t="shared" si="13"/>
        <v/>
      </c>
      <c r="M286" s="53" t="str">
        <f t="shared" si="14"/>
        <v/>
      </c>
      <c r="N286" s="49"/>
    </row>
    <row r="287" spans="2:14" ht="18" customHeight="1" x14ac:dyDescent="0.25">
      <c r="B287" s="47" t="str">
        <f>IF(C287="","",COUNT($C$7:C287))</f>
        <v/>
      </c>
      <c r="C287" s="48"/>
      <c r="D287" s="49"/>
      <c r="E287" s="49"/>
      <c r="F287" s="49"/>
      <c r="G287" s="49"/>
      <c r="H287" s="49"/>
      <c r="I287" s="50"/>
      <c r="J287" s="50"/>
      <c r="K287" s="51" t="str">
        <f t="shared" si="12"/>
        <v/>
      </c>
      <c r="L287" s="52" t="str">
        <f t="shared" si="13"/>
        <v/>
      </c>
      <c r="M287" s="53" t="str">
        <f t="shared" si="14"/>
        <v/>
      </c>
      <c r="N287" s="49"/>
    </row>
    <row r="288" spans="2:14" ht="18" customHeight="1" x14ac:dyDescent="0.25">
      <c r="B288" s="47" t="str">
        <f>IF(C288="","",COUNT($C$7:C288))</f>
        <v/>
      </c>
      <c r="C288" s="48"/>
      <c r="D288" s="49"/>
      <c r="E288" s="49"/>
      <c r="F288" s="49"/>
      <c r="G288" s="49"/>
      <c r="H288" s="49"/>
      <c r="I288" s="50"/>
      <c r="J288" s="50"/>
      <c r="K288" s="51" t="str">
        <f t="shared" si="12"/>
        <v/>
      </c>
      <c r="L288" s="52" t="str">
        <f t="shared" si="13"/>
        <v/>
      </c>
      <c r="M288" s="53" t="str">
        <f t="shared" si="14"/>
        <v/>
      </c>
      <c r="N288" s="49"/>
    </row>
    <row r="289" spans="2:14" ht="18" customHeight="1" x14ac:dyDescent="0.25">
      <c r="B289" s="47" t="str">
        <f>IF(C289="","",COUNT($C$7:C289))</f>
        <v/>
      </c>
      <c r="C289" s="48"/>
      <c r="D289" s="49"/>
      <c r="E289" s="49"/>
      <c r="F289" s="49"/>
      <c r="G289" s="49"/>
      <c r="H289" s="49"/>
      <c r="I289" s="50"/>
      <c r="J289" s="50"/>
      <c r="K289" s="51" t="str">
        <f t="shared" si="12"/>
        <v/>
      </c>
      <c r="L289" s="52" t="str">
        <f t="shared" si="13"/>
        <v/>
      </c>
      <c r="M289" s="53" t="str">
        <f t="shared" si="14"/>
        <v/>
      </c>
      <c r="N289" s="49"/>
    </row>
    <row r="290" spans="2:14" ht="18" customHeight="1" x14ac:dyDescent="0.25">
      <c r="B290" s="47" t="str">
        <f>IF(C290="","",COUNT($C$7:C290))</f>
        <v/>
      </c>
      <c r="C290" s="48"/>
      <c r="D290" s="49"/>
      <c r="E290" s="49"/>
      <c r="F290" s="49"/>
      <c r="G290" s="49"/>
      <c r="H290" s="49"/>
      <c r="I290" s="50"/>
      <c r="J290" s="50"/>
      <c r="K290" s="51" t="str">
        <f t="shared" si="12"/>
        <v/>
      </c>
      <c r="L290" s="52" t="str">
        <f t="shared" si="13"/>
        <v/>
      </c>
      <c r="M290" s="53" t="str">
        <f t="shared" si="14"/>
        <v/>
      </c>
      <c r="N290" s="49"/>
    </row>
    <row r="291" spans="2:14" ht="18" customHeight="1" x14ac:dyDescent="0.25">
      <c r="B291" s="47" t="str">
        <f>IF(C291="","",COUNT($C$7:C291))</f>
        <v/>
      </c>
      <c r="C291" s="48"/>
      <c r="D291" s="49"/>
      <c r="E291" s="49"/>
      <c r="F291" s="49"/>
      <c r="G291" s="49"/>
      <c r="H291" s="49"/>
      <c r="I291" s="50"/>
      <c r="J291" s="50"/>
      <c r="K291" s="51" t="str">
        <f t="shared" si="12"/>
        <v/>
      </c>
      <c r="L291" s="52" t="str">
        <f t="shared" si="13"/>
        <v/>
      </c>
      <c r="M291" s="53" t="str">
        <f t="shared" si="14"/>
        <v/>
      </c>
      <c r="N291" s="49"/>
    </row>
    <row r="292" spans="2:14" ht="18" customHeight="1" x14ac:dyDescent="0.25">
      <c r="B292" s="47" t="str">
        <f>IF(C292="","",COUNT($C$7:C292))</f>
        <v/>
      </c>
      <c r="C292" s="48"/>
      <c r="D292" s="49"/>
      <c r="E292" s="49"/>
      <c r="F292" s="49"/>
      <c r="G292" s="49"/>
      <c r="H292" s="49"/>
      <c r="I292" s="50"/>
      <c r="J292" s="50"/>
      <c r="K292" s="51" t="str">
        <f t="shared" si="12"/>
        <v/>
      </c>
      <c r="L292" s="52" t="str">
        <f t="shared" si="13"/>
        <v/>
      </c>
      <c r="M292" s="53" t="str">
        <f t="shared" si="14"/>
        <v/>
      </c>
      <c r="N292" s="49"/>
    </row>
    <row r="293" spans="2:14" ht="18" customHeight="1" x14ac:dyDescent="0.25">
      <c r="B293" s="47" t="str">
        <f>IF(C293="","",COUNT($C$7:C293))</f>
        <v/>
      </c>
      <c r="C293" s="48"/>
      <c r="D293" s="49"/>
      <c r="E293" s="49"/>
      <c r="F293" s="49"/>
      <c r="G293" s="49"/>
      <c r="H293" s="49"/>
      <c r="I293" s="50"/>
      <c r="J293" s="50"/>
      <c r="K293" s="51" t="str">
        <f t="shared" si="12"/>
        <v/>
      </c>
      <c r="L293" s="52" t="str">
        <f t="shared" si="13"/>
        <v/>
      </c>
      <c r="M293" s="53" t="str">
        <f t="shared" si="14"/>
        <v/>
      </c>
      <c r="N293" s="49"/>
    </row>
    <row r="294" spans="2:14" ht="18" customHeight="1" x14ac:dyDescent="0.25">
      <c r="B294" s="47" t="str">
        <f>IF(C294="","",COUNT($C$7:C294))</f>
        <v/>
      </c>
      <c r="C294" s="48"/>
      <c r="D294" s="49"/>
      <c r="E294" s="49"/>
      <c r="F294" s="49"/>
      <c r="G294" s="49"/>
      <c r="H294" s="49"/>
      <c r="I294" s="50"/>
      <c r="J294" s="50"/>
      <c r="K294" s="51" t="str">
        <f t="shared" si="12"/>
        <v/>
      </c>
      <c r="L294" s="52" t="str">
        <f t="shared" si="13"/>
        <v/>
      </c>
      <c r="M294" s="53" t="str">
        <f t="shared" si="14"/>
        <v/>
      </c>
      <c r="N294" s="49"/>
    </row>
    <row r="295" spans="2:14" ht="18" customHeight="1" x14ac:dyDescent="0.25">
      <c r="B295" s="47" t="str">
        <f>IF(C295="","",COUNT($C$7:C295))</f>
        <v/>
      </c>
      <c r="C295" s="48"/>
      <c r="D295" s="49"/>
      <c r="E295" s="49"/>
      <c r="F295" s="49"/>
      <c r="G295" s="49"/>
      <c r="H295" s="49"/>
      <c r="I295" s="50"/>
      <c r="J295" s="50"/>
      <c r="K295" s="51" t="str">
        <f t="shared" si="12"/>
        <v/>
      </c>
      <c r="L295" s="52" t="str">
        <f t="shared" si="13"/>
        <v/>
      </c>
      <c r="M295" s="53" t="str">
        <f t="shared" si="14"/>
        <v/>
      </c>
      <c r="N295" s="49"/>
    </row>
    <row r="296" spans="2:14" ht="18" customHeight="1" x14ac:dyDescent="0.25">
      <c r="B296" s="47" t="str">
        <f>IF(C296="","",COUNT($C$7:C296))</f>
        <v/>
      </c>
      <c r="C296" s="48"/>
      <c r="D296" s="49"/>
      <c r="E296" s="49"/>
      <c r="F296" s="49"/>
      <c r="G296" s="49"/>
      <c r="H296" s="49"/>
      <c r="I296" s="50"/>
      <c r="J296" s="50"/>
      <c r="K296" s="51" t="str">
        <f t="shared" si="12"/>
        <v/>
      </c>
      <c r="L296" s="52" t="str">
        <f t="shared" si="13"/>
        <v/>
      </c>
      <c r="M296" s="53" t="str">
        <f t="shared" si="14"/>
        <v/>
      </c>
      <c r="N296" s="49"/>
    </row>
    <row r="297" spans="2:14" ht="18" customHeight="1" x14ac:dyDescent="0.25">
      <c r="B297" s="47" t="str">
        <f>IF(C297="","",COUNT($C$7:C297))</f>
        <v/>
      </c>
      <c r="C297" s="48"/>
      <c r="D297" s="49"/>
      <c r="E297" s="49"/>
      <c r="F297" s="49"/>
      <c r="G297" s="49"/>
      <c r="H297" s="49"/>
      <c r="I297" s="50"/>
      <c r="J297" s="50"/>
      <c r="K297" s="51" t="str">
        <f t="shared" si="12"/>
        <v/>
      </c>
      <c r="L297" s="52" t="str">
        <f t="shared" si="13"/>
        <v/>
      </c>
      <c r="M297" s="53" t="str">
        <f t="shared" si="14"/>
        <v/>
      </c>
      <c r="N297" s="49"/>
    </row>
    <row r="298" spans="2:14" ht="18" customHeight="1" x14ac:dyDescent="0.25">
      <c r="B298" s="47" t="str">
        <f>IF(C298="","",COUNT($C$7:C298))</f>
        <v/>
      </c>
      <c r="C298" s="48"/>
      <c r="D298" s="49"/>
      <c r="E298" s="49"/>
      <c r="F298" s="49"/>
      <c r="G298" s="49"/>
      <c r="H298" s="49"/>
      <c r="I298" s="50"/>
      <c r="J298" s="50"/>
      <c r="K298" s="51" t="str">
        <f t="shared" si="12"/>
        <v/>
      </c>
      <c r="L298" s="52" t="str">
        <f t="shared" si="13"/>
        <v/>
      </c>
      <c r="M298" s="53" t="str">
        <f t="shared" si="14"/>
        <v/>
      </c>
      <c r="N298" s="49"/>
    </row>
    <row r="299" spans="2:14" ht="18" customHeight="1" x14ac:dyDescent="0.25">
      <c r="B299" s="47" t="str">
        <f>IF(C299="","",COUNT($C$7:C299))</f>
        <v/>
      </c>
      <c r="C299" s="48"/>
      <c r="D299" s="49"/>
      <c r="E299" s="49"/>
      <c r="F299" s="49"/>
      <c r="G299" s="49"/>
      <c r="H299" s="49"/>
      <c r="I299" s="50"/>
      <c r="J299" s="50"/>
      <c r="K299" s="51" t="str">
        <f t="shared" si="12"/>
        <v/>
      </c>
      <c r="L299" s="52" t="str">
        <f t="shared" si="13"/>
        <v/>
      </c>
      <c r="M299" s="53" t="str">
        <f t="shared" si="14"/>
        <v/>
      </c>
      <c r="N299" s="49"/>
    </row>
    <row r="300" spans="2:14" ht="18" customHeight="1" x14ac:dyDescent="0.25">
      <c r="B300" s="47" t="str">
        <f>IF(C300="","",COUNT($C$7:C300))</f>
        <v/>
      </c>
      <c r="C300" s="48"/>
      <c r="D300" s="49"/>
      <c r="E300" s="49"/>
      <c r="F300" s="49"/>
      <c r="G300" s="49"/>
      <c r="H300" s="49"/>
      <c r="I300" s="50"/>
      <c r="J300" s="50"/>
      <c r="K300" s="51" t="str">
        <f t="shared" si="12"/>
        <v/>
      </c>
      <c r="L300" s="52" t="str">
        <f t="shared" si="13"/>
        <v/>
      </c>
      <c r="M300" s="53" t="str">
        <f t="shared" si="14"/>
        <v/>
      </c>
      <c r="N300" s="49"/>
    </row>
    <row r="301" spans="2:14" ht="18" customHeight="1" x14ac:dyDescent="0.25">
      <c r="B301" s="47" t="str">
        <f>IF(C301="","",COUNT($C$7:C301))</f>
        <v/>
      </c>
      <c r="C301" s="48"/>
      <c r="D301" s="49"/>
      <c r="E301" s="49"/>
      <c r="F301" s="49"/>
      <c r="G301" s="49"/>
      <c r="H301" s="49"/>
      <c r="I301" s="50"/>
      <c r="J301" s="50"/>
      <c r="K301" s="51" t="str">
        <f t="shared" si="12"/>
        <v/>
      </c>
      <c r="L301" s="52" t="str">
        <f t="shared" si="13"/>
        <v/>
      </c>
      <c r="M301" s="53" t="str">
        <f t="shared" si="14"/>
        <v/>
      </c>
      <c r="N301" s="49"/>
    </row>
    <row r="302" spans="2:14" ht="18" customHeight="1" x14ac:dyDescent="0.25">
      <c r="B302" s="47" t="str">
        <f>IF(C302="","",COUNT($C$7:C302))</f>
        <v/>
      </c>
      <c r="C302" s="48"/>
      <c r="D302" s="49"/>
      <c r="E302" s="49"/>
      <c r="F302" s="49"/>
      <c r="G302" s="49"/>
      <c r="H302" s="49"/>
      <c r="I302" s="50"/>
      <c r="J302" s="50"/>
      <c r="K302" s="51" t="str">
        <f t="shared" si="12"/>
        <v/>
      </c>
      <c r="L302" s="52" t="str">
        <f t="shared" si="13"/>
        <v/>
      </c>
      <c r="M302" s="53" t="str">
        <f t="shared" si="14"/>
        <v/>
      </c>
      <c r="N302" s="49"/>
    </row>
    <row r="303" spans="2:14" ht="18" customHeight="1" x14ac:dyDescent="0.25">
      <c r="B303" s="47" t="str">
        <f>IF(C303="","",COUNT($C$7:C303))</f>
        <v/>
      </c>
      <c r="C303" s="48"/>
      <c r="D303" s="49"/>
      <c r="E303" s="49"/>
      <c r="F303" s="49"/>
      <c r="G303" s="49"/>
      <c r="H303" s="49"/>
      <c r="I303" s="50"/>
      <c r="J303" s="50"/>
      <c r="K303" s="51" t="str">
        <f t="shared" si="12"/>
        <v/>
      </c>
      <c r="L303" s="52" t="str">
        <f t="shared" si="13"/>
        <v/>
      </c>
      <c r="M303" s="53" t="str">
        <f t="shared" si="14"/>
        <v/>
      </c>
      <c r="N303" s="49"/>
    </row>
    <row r="304" spans="2:14" ht="18" customHeight="1" x14ac:dyDescent="0.25">
      <c r="B304" s="47" t="str">
        <f>IF(C304="","",COUNT($C$7:C304))</f>
        <v/>
      </c>
      <c r="C304" s="48"/>
      <c r="D304" s="49"/>
      <c r="E304" s="49"/>
      <c r="F304" s="49"/>
      <c r="G304" s="49"/>
      <c r="H304" s="49"/>
      <c r="I304" s="50"/>
      <c r="J304" s="50"/>
      <c r="K304" s="51" t="str">
        <f t="shared" si="12"/>
        <v/>
      </c>
      <c r="L304" s="52" t="str">
        <f t="shared" si="13"/>
        <v/>
      </c>
      <c r="M304" s="53" t="str">
        <f t="shared" si="14"/>
        <v/>
      </c>
      <c r="N304" s="49"/>
    </row>
    <row r="305" spans="2:14" ht="18" customHeight="1" x14ac:dyDescent="0.25">
      <c r="B305" s="47" t="str">
        <f>IF(C305="","",COUNT($C$7:C305))</f>
        <v/>
      </c>
      <c r="C305" s="48"/>
      <c r="D305" s="49"/>
      <c r="E305" s="49"/>
      <c r="F305" s="49"/>
      <c r="G305" s="49"/>
      <c r="H305" s="49"/>
      <c r="I305" s="50"/>
      <c r="J305" s="50"/>
      <c r="K305" s="51" t="str">
        <f t="shared" si="12"/>
        <v/>
      </c>
      <c r="L305" s="52" t="str">
        <f t="shared" si="13"/>
        <v/>
      </c>
      <c r="M305" s="53" t="str">
        <f t="shared" si="14"/>
        <v/>
      </c>
      <c r="N305" s="49"/>
    </row>
    <row r="306" spans="2:14" ht="18" customHeight="1" x14ac:dyDescent="0.25">
      <c r="B306" s="47" t="str">
        <f>IF(C306="","",COUNT($C$7:C306))</f>
        <v/>
      </c>
      <c r="C306" s="48"/>
      <c r="D306" s="49"/>
      <c r="E306" s="49"/>
      <c r="F306" s="49"/>
      <c r="G306" s="49"/>
      <c r="H306" s="49"/>
      <c r="I306" s="50"/>
      <c r="J306" s="50"/>
      <c r="K306" s="51" t="str">
        <f t="shared" si="12"/>
        <v/>
      </c>
      <c r="L306" s="52" t="str">
        <f t="shared" si="13"/>
        <v/>
      </c>
      <c r="M306" s="53" t="str">
        <f t="shared" si="14"/>
        <v/>
      </c>
      <c r="N306" s="49"/>
    </row>
    <row r="307" spans="2:14" ht="18" customHeight="1" x14ac:dyDescent="0.25">
      <c r="B307" s="47" t="str">
        <f>IF(C307="","",COUNT($C$7:C307))</f>
        <v/>
      </c>
      <c r="C307" s="48"/>
      <c r="D307" s="49"/>
      <c r="E307" s="49"/>
      <c r="F307" s="49"/>
      <c r="G307" s="49"/>
      <c r="H307" s="49"/>
      <c r="I307" s="50"/>
      <c r="J307" s="50"/>
      <c r="K307" s="51" t="str">
        <f t="shared" si="12"/>
        <v/>
      </c>
      <c r="L307" s="52" t="str">
        <f t="shared" si="13"/>
        <v/>
      </c>
      <c r="M307" s="53" t="str">
        <f t="shared" si="14"/>
        <v/>
      </c>
      <c r="N307" s="49"/>
    </row>
    <row r="308" spans="2:14" ht="18" customHeight="1" x14ac:dyDescent="0.25">
      <c r="B308" s="47" t="str">
        <f>IF(C308="","",COUNT($C$7:C308))</f>
        <v/>
      </c>
      <c r="C308" s="48"/>
      <c r="D308" s="49"/>
      <c r="E308" s="49"/>
      <c r="F308" s="49"/>
      <c r="G308" s="49"/>
      <c r="H308" s="49"/>
      <c r="I308" s="50"/>
      <c r="J308" s="50"/>
      <c r="K308" s="51" t="str">
        <f t="shared" si="12"/>
        <v/>
      </c>
      <c r="L308" s="52" t="str">
        <f t="shared" si="13"/>
        <v/>
      </c>
      <c r="M308" s="53" t="str">
        <f t="shared" si="14"/>
        <v/>
      </c>
      <c r="N308" s="49"/>
    </row>
    <row r="309" spans="2:14" ht="18" customHeight="1" x14ac:dyDescent="0.25">
      <c r="B309" s="47" t="str">
        <f>IF(C309="","",COUNT($C$7:C309))</f>
        <v/>
      </c>
      <c r="C309" s="48"/>
      <c r="D309" s="49"/>
      <c r="E309" s="49"/>
      <c r="F309" s="49"/>
      <c r="G309" s="49"/>
      <c r="H309" s="49"/>
      <c r="I309" s="50"/>
      <c r="J309" s="50"/>
      <c r="K309" s="51" t="str">
        <f t="shared" si="12"/>
        <v/>
      </c>
      <c r="L309" s="52" t="str">
        <f t="shared" si="13"/>
        <v/>
      </c>
      <c r="M309" s="53" t="str">
        <f t="shared" si="14"/>
        <v/>
      </c>
      <c r="N309" s="49"/>
    </row>
    <row r="310" spans="2:14" ht="18" customHeight="1" x14ac:dyDescent="0.25">
      <c r="B310" s="47" t="str">
        <f>IF(C310="","",COUNT($C$7:C310))</f>
        <v/>
      </c>
      <c r="C310" s="48"/>
      <c r="D310" s="49"/>
      <c r="E310" s="49"/>
      <c r="F310" s="49"/>
      <c r="G310" s="49"/>
      <c r="H310" s="49"/>
      <c r="I310" s="50"/>
      <c r="J310" s="50"/>
      <c r="K310" s="51" t="str">
        <f t="shared" si="12"/>
        <v/>
      </c>
      <c r="L310" s="52" t="str">
        <f t="shared" si="13"/>
        <v/>
      </c>
      <c r="M310" s="53" t="str">
        <f t="shared" si="14"/>
        <v/>
      </c>
      <c r="N310" s="49"/>
    </row>
    <row r="311" spans="2:14" ht="18" customHeight="1" x14ac:dyDescent="0.25">
      <c r="B311" s="47" t="str">
        <f>IF(C311="","",COUNT($C$7:C311))</f>
        <v/>
      </c>
      <c r="C311" s="48"/>
      <c r="D311" s="49"/>
      <c r="E311" s="49"/>
      <c r="F311" s="49"/>
      <c r="G311" s="49"/>
      <c r="H311" s="49"/>
      <c r="I311" s="50"/>
      <c r="J311" s="50"/>
      <c r="K311" s="51" t="str">
        <f t="shared" si="12"/>
        <v/>
      </c>
      <c r="L311" s="52" t="str">
        <f t="shared" si="13"/>
        <v/>
      </c>
      <c r="M311" s="53" t="str">
        <f t="shared" si="14"/>
        <v/>
      </c>
      <c r="N311" s="49"/>
    </row>
    <row r="312" spans="2:14" ht="18" customHeight="1" x14ac:dyDescent="0.25">
      <c r="B312" s="47" t="str">
        <f>IF(C312="","",COUNT($C$7:C312))</f>
        <v/>
      </c>
      <c r="C312" s="48"/>
      <c r="D312" s="49"/>
      <c r="E312" s="49"/>
      <c r="F312" s="49"/>
      <c r="G312" s="49"/>
      <c r="H312" s="49"/>
      <c r="I312" s="50"/>
      <c r="J312" s="50"/>
      <c r="K312" s="51" t="str">
        <f t="shared" si="12"/>
        <v/>
      </c>
      <c r="L312" s="52" t="str">
        <f t="shared" si="13"/>
        <v/>
      </c>
      <c r="M312" s="53" t="str">
        <f t="shared" si="14"/>
        <v/>
      </c>
      <c r="N312" s="49"/>
    </row>
    <row r="313" spans="2:14" ht="18" customHeight="1" x14ac:dyDescent="0.25">
      <c r="B313" s="47" t="str">
        <f>IF(C313="","",COUNT($C$7:C313))</f>
        <v/>
      </c>
      <c r="C313" s="48"/>
      <c r="D313" s="49"/>
      <c r="E313" s="49"/>
      <c r="F313" s="49"/>
      <c r="G313" s="49"/>
      <c r="H313" s="49"/>
      <c r="I313" s="50"/>
      <c r="J313" s="50"/>
      <c r="K313" s="51" t="str">
        <f t="shared" si="12"/>
        <v/>
      </c>
      <c r="L313" s="52" t="str">
        <f t="shared" si="13"/>
        <v/>
      </c>
      <c r="M313" s="53" t="str">
        <f t="shared" si="14"/>
        <v/>
      </c>
      <c r="N313" s="49"/>
    </row>
    <row r="314" spans="2:14" ht="18" customHeight="1" x14ac:dyDescent="0.25">
      <c r="B314" s="47" t="str">
        <f>IF(C314="","",COUNT($C$7:C314))</f>
        <v/>
      </c>
      <c r="C314" s="48"/>
      <c r="D314" s="49"/>
      <c r="E314" s="49"/>
      <c r="F314" s="49"/>
      <c r="G314" s="49"/>
      <c r="H314" s="49"/>
      <c r="I314" s="50"/>
      <c r="J314" s="50"/>
      <c r="K314" s="51" t="str">
        <f t="shared" si="12"/>
        <v/>
      </c>
      <c r="L314" s="52" t="str">
        <f t="shared" si="13"/>
        <v/>
      </c>
      <c r="M314" s="53" t="str">
        <f t="shared" si="14"/>
        <v/>
      </c>
      <c r="N314" s="49"/>
    </row>
    <row r="315" spans="2:14" ht="18" customHeight="1" x14ac:dyDescent="0.25">
      <c r="B315" s="47" t="str">
        <f>IF(C315="","",COUNT($C$7:C315))</f>
        <v/>
      </c>
      <c r="C315" s="48"/>
      <c r="D315" s="49"/>
      <c r="E315" s="49"/>
      <c r="F315" s="49"/>
      <c r="G315" s="49"/>
      <c r="H315" s="49"/>
      <c r="I315" s="50"/>
      <c r="J315" s="50"/>
      <c r="K315" s="51" t="str">
        <f t="shared" si="12"/>
        <v/>
      </c>
      <c r="L315" s="52" t="str">
        <f t="shared" si="13"/>
        <v/>
      </c>
      <c r="M315" s="53" t="str">
        <f t="shared" si="14"/>
        <v/>
      </c>
      <c r="N315" s="49"/>
    </row>
    <row r="316" spans="2:14" ht="18" customHeight="1" x14ac:dyDescent="0.25">
      <c r="B316" s="47" t="str">
        <f>IF(C316="","",COUNT($C$7:C316))</f>
        <v/>
      </c>
      <c r="C316" s="48"/>
      <c r="D316" s="49"/>
      <c r="E316" s="49"/>
      <c r="F316" s="49"/>
      <c r="G316" s="49"/>
      <c r="H316" s="49"/>
      <c r="I316" s="50"/>
      <c r="J316" s="50"/>
      <c r="K316" s="51" t="str">
        <f t="shared" si="12"/>
        <v/>
      </c>
      <c r="L316" s="52" t="str">
        <f t="shared" si="13"/>
        <v/>
      </c>
      <c r="M316" s="53" t="str">
        <f t="shared" si="14"/>
        <v/>
      </c>
      <c r="N316" s="49"/>
    </row>
    <row r="317" spans="2:14" ht="18" customHeight="1" x14ac:dyDescent="0.25">
      <c r="B317" s="47" t="str">
        <f>IF(C317="","",COUNT($C$7:C317))</f>
        <v/>
      </c>
      <c r="C317" s="48"/>
      <c r="D317" s="49"/>
      <c r="E317" s="49"/>
      <c r="F317" s="49"/>
      <c r="G317" s="49"/>
      <c r="H317" s="49"/>
      <c r="I317" s="50"/>
      <c r="J317" s="50"/>
      <c r="K317" s="51" t="str">
        <f t="shared" si="12"/>
        <v/>
      </c>
      <c r="L317" s="52" t="str">
        <f t="shared" si="13"/>
        <v/>
      </c>
      <c r="M317" s="53" t="str">
        <f t="shared" si="14"/>
        <v/>
      </c>
      <c r="N317" s="49"/>
    </row>
    <row r="318" spans="2:14" ht="18" customHeight="1" x14ac:dyDescent="0.25">
      <c r="B318" s="47" t="str">
        <f>IF(C318="","",COUNT($C$7:C318))</f>
        <v/>
      </c>
      <c r="C318" s="48"/>
      <c r="D318" s="49"/>
      <c r="E318" s="49"/>
      <c r="F318" s="49"/>
      <c r="G318" s="49"/>
      <c r="H318" s="49"/>
      <c r="I318" s="50"/>
      <c r="J318" s="50"/>
      <c r="K318" s="51" t="str">
        <f t="shared" si="12"/>
        <v/>
      </c>
      <c r="L318" s="52" t="str">
        <f t="shared" si="13"/>
        <v/>
      </c>
      <c r="M318" s="53" t="str">
        <f t="shared" si="14"/>
        <v/>
      </c>
      <c r="N318" s="49"/>
    </row>
    <row r="319" spans="2:14" ht="18" customHeight="1" x14ac:dyDescent="0.25">
      <c r="B319" s="47" t="str">
        <f>IF(C319="","",COUNT($C$7:C319))</f>
        <v/>
      </c>
      <c r="C319" s="48"/>
      <c r="D319" s="49"/>
      <c r="E319" s="49"/>
      <c r="F319" s="49"/>
      <c r="G319" s="49"/>
      <c r="H319" s="49"/>
      <c r="I319" s="50"/>
      <c r="J319" s="50"/>
      <c r="K319" s="51" t="str">
        <f t="shared" si="12"/>
        <v/>
      </c>
      <c r="L319" s="52" t="str">
        <f t="shared" si="13"/>
        <v/>
      </c>
      <c r="M319" s="53" t="str">
        <f t="shared" si="14"/>
        <v/>
      </c>
      <c r="N319" s="49"/>
    </row>
    <row r="320" spans="2:14" ht="18" customHeight="1" x14ac:dyDescent="0.25">
      <c r="B320" s="47" t="str">
        <f>IF(C320="","",COUNT($C$7:C320))</f>
        <v/>
      </c>
      <c r="C320" s="48"/>
      <c r="D320" s="49"/>
      <c r="E320" s="49"/>
      <c r="F320" s="49"/>
      <c r="G320" s="49"/>
      <c r="H320" s="49"/>
      <c r="I320" s="50"/>
      <c r="J320" s="50"/>
      <c r="K320" s="51" t="str">
        <f t="shared" si="12"/>
        <v/>
      </c>
      <c r="L320" s="52" t="str">
        <f t="shared" si="13"/>
        <v/>
      </c>
      <c r="M320" s="53" t="str">
        <f t="shared" si="14"/>
        <v/>
      </c>
      <c r="N320" s="49"/>
    </row>
    <row r="321" spans="2:14" ht="18" customHeight="1" x14ac:dyDescent="0.25">
      <c r="B321" s="47" t="str">
        <f>IF(C321="","",COUNT($C$7:C321))</f>
        <v/>
      </c>
      <c r="C321" s="48"/>
      <c r="D321" s="49"/>
      <c r="E321" s="49"/>
      <c r="F321" s="49"/>
      <c r="G321" s="49"/>
      <c r="H321" s="49"/>
      <c r="I321" s="50"/>
      <c r="J321" s="50"/>
      <c r="K321" s="51" t="str">
        <f t="shared" si="12"/>
        <v/>
      </c>
      <c r="L321" s="52" t="str">
        <f t="shared" si="13"/>
        <v/>
      </c>
      <c r="M321" s="53" t="str">
        <f t="shared" si="14"/>
        <v/>
      </c>
      <c r="N321" s="49"/>
    </row>
    <row r="322" spans="2:14" ht="18" customHeight="1" x14ac:dyDescent="0.25">
      <c r="B322" s="47" t="str">
        <f>IF(C322="","",COUNT($C$7:C322))</f>
        <v/>
      </c>
      <c r="C322" s="48"/>
      <c r="D322" s="49"/>
      <c r="E322" s="49"/>
      <c r="F322" s="49"/>
      <c r="G322" s="49"/>
      <c r="H322" s="49"/>
      <c r="I322" s="50"/>
      <c r="J322" s="50"/>
      <c r="K322" s="51" t="str">
        <f t="shared" si="12"/>
        <v/>
      </c>
      <c r="L322" s="52" t="str">
        <f t="shared" si="13"/>
        <v/>
      </c>
      <c r="M322" s="53" t="str">
        <f t="shared" si="14"/>
        <v/>
      </c>
      <c r="N322" s="49"/>
    </row>
    <row r="323" spans="2:14" ht="18" customHeight="1" x14ac:dyDescent="0.25">
      <c r="B323" s="47" t="str">
        <f>IF(C323="","",COUNT($C$7:C323))</f>
        <v/>
      </c>
      <c r="C323" s="48"/>
      <c r="D323" s="49"/>
      <c r="E323" s="49"/>
      <c r="F323" s="49"/>
      <c r="G323" s="49"/>
      <c r="H323" s="49"/>
      <c r="I323" s="50"/>
      <c r="J323" s="50"/>
      <c r="K323" s="51" t="str">
        <f t="shared" si="12"/>
        <v/>
      </c>
      <c r="L323" s="52" t="str">
        <f t="shared" si="13"/>
        <v/>
      </c>
      <c r="M323" s="53" t="str">
        <f t="shared" si="14"/>
        <v/>
      </c>
      <c r="N323" s="49"/>
    </row>
    <row r="324" spans="2:14" ht="18" customHeight="1" x14ac:dyDescent="0.25">
      <c r="B324" s="47" t="str">
        <f>IF(C324="","",COUNT($C$7:C324))</f>
        <v/>
      </c>
      <c r="C324" s="48"/>
      <c r="D324" s="49"/>
      <c r="E324" s="49"/>
      <c r="F324" s="49"/>
      <c r="G324" s="49"/>
      <c r="H324" s="49"/>
      <c r="I324" s="50"/>
      <c r="J324" s="50"/>
      <c r="K324" s="51" t="str">
        <f t="shared" si="12"/>
        <v/>
      </c>
      <c r="L324" s="52" t="str">
        <f t="shared" si="13"/>
        <v/>
      </c>
      <c r="M324" s="53" t="str">
        <f t="shared" si="14"/>
        <v/>
      </c>
      <c r="N324" s="49"/>
    </row>
    <row r="325" spans="2:14" ht="18" customHeight="1" x14ac:dyDescent="0.25">
      <c r="B325" s="47" t="str">
        <f>IF(C325="","",COUNT($C$7:C325))</f>
        <v/>
      </c>
      <c r="C325" s="48"/>
      <c r="D325" s="49"/>
      <c r="E325" s="49"/>
      <c r="F325" s="49"/>
      <c r="G325" s="49"/>
      <c r="H325" s="49"/>
      <c r="I325" s="50"/>
      <c r="J325" s="50"/>
      <c r="K325" s="51" t="str">
        <f t="shared" si="12"/>
        <v/>
      </c>
      <c r="L325" s="52" t="str">
        <f t="shared" si="13"/>
        <v/>
      </c>
      <c r="M325" s="53" t="str">
        <f t="shared" si="14"/>
        <v/>
      </c>
      <c r="N325" s="49"/>
    </row>
    <row r="326" spans="2:14" ht="18" customHeight="1" x14ac:dyDescent="0.25">
      <c r="B326" s="47" t="str">
        <f>IF(C326="","",COUNT($C$7:C326))</f>
        <v/>
      </c>
      <c r="C326" s="48"/>
      <c r="D326" s="49"/>
      <c r="E326" s="49"/>
      <c r="F326" s="49"/>
      <c r="G326" s="49"/>
      <c r="H326" s="49"/>
      <c r="I326" s="50"/>
      <c r="J326" s="50"/>
      <c r="K326" s="51" t="str">
        <f t="shared" si="12"/>
        <v/>
      </c>
      <c r="L326" s="52" t="str">
        <f t="shared" si="13"/>
        <v/>
      </c>
      <c r="M326" s="53" t="str">
        <f t="shared" si="14"/>
        <v/>
      </c>
      <c r="N326" s="49"/>
    </row>
    <row r="327" spans="2:14" ht="18" customHeight="1" x14ac:dyDescent="0.25">
      <c r="B327" s="47" t="str">
        <f>IF(C327="","",COUNT($C$7:C327))</f>
        <v/>
      </c>
      <c r="C327" s="48"/>
      <c r="D327" s="49"/>
      <c r="E327" s="49"/>
      <c r="F327" s="49"/>
      <c r="G327" s="49"/>
      <c r="H327" s="49"/>
      <c r="I327" s="50"/>
      <c r="J327" s="50"/>
      <c r="K327" s="51" t="str">
        <f t="shared" ref="K327:K390" si="15">IF(OR(I327="",J327=""),"",J327-I327)</f>
        <v/>
      </c>
      <c r="L327" s="52" t="str">
        <f t="shared" si="13"/>
        <v/>
      </c>
      <c r="M327" s="53" t="str">
        <f t="shared" si="14"/>
        <v/>
      </c>
      <c r="N327" s="49"/>
    </row>
    <row r="328" spans="2:14" ht="18" customHeight="1" x14ac:dyDescent="0.25">
      <c r="B328" s="47" t="str">
        <f>IF(C328="","",COUNT($C$7:C328))</f>
        <v/>
      </c>
      <c r="C328" s="48"/>
      <c r="D328" s="49"/>
      <c r="E328" s="49"/>
      <c r="F328" s="49"/>
      <c r="G328" s="49"/>
      <c r="H328" s="49"/>
      <c r="I328" s="50"/>
      <c r="J328" s="50"/>
      <c r="K328" s="51" t="str">
        <f t="shared" si="15"/>
        <v/>
      </c>
      <c r="L328" s="52" t="str">
        <f t="shared" ref="L328:L391" si="16">IF(OR(C328="",I328="",J327=""),"",I328-J327)</f>
        <v/>
      </c>
      <c r="M328" s="53" t="str">
        <f t="shared" ref="M328:M391" si="17">IF(C328="","",IF(OR(D328="",E328="",F328="",H328="",I328="",J328="",AND(H328="Professionnel",G328="")),"Incomplet",IF(AND(ISNUMBER(C327),C328&lt;C327),"Ordre des dates",IF(J328&lt;I328,"Compteur incohérent",IF(AND(ISNUMBER(L328),L328&gt;ToleranceKm),"Km non enregistrés",IF(AND(ISNUMBER(L328),L328&lt;-ToleranceKm),"Chevauchement","Conforme"))))))</f>
        <v/>
      </c>
      <c r="N328" s="49"/>
    </row>
    <row r="329" spans="2:14" ht="18" customHeight="1" x14ac:dyDescent="0.25">
      <c r="B329" s="47" t="str">
        <f>IF(C329="","",COUNT($C$7:C329))</f>
        <v/>
      </c>
      <c r="C329" s="48"/>
      <c r="D329" s="49"/>
      <c r="E329" s="49"/>
      <c r="F329" s="49"/>
      <c r="G329" s="49"/>
      <c r="H329" s="49"/>
      <c r="I329" s="50"/>
      <c r="J329" s="50"/>
      <c r="K329" s="51" t="str">
        <f t="shared" si="15"/>
        <v/>
      </c>
      <c r="L329" s="52" t="str">
        <f t="shared" si="16"/>
        <v/>
      </c>
      <c r="M329" s="53" t="str">
        <f t="shared" si="17"/>
        <v/>
      </c>
      <c r="N329" s="49"/>
    </row>
    <row r="330" spans="2:14" ht="18" customHeight="1" x14ac:dyDescent="0.25">
      <c r="B330" s="47" t="str">
        <f>IF(C330="","",COUNT($C$7:C330))</f>
        <v/>
      </c>
      <c r="C330" s="48"/>
      <c r="D330" s="49"/>
      <c r="E330" s="49"/>
      <c r="F330" s="49"/>
      <c r="G330" s="49"/>
      <c r="H330" s="49"/>
      <c r="I330" s="50"/>
      <c r="J330" s="50"/>
      <c r="K330" s="51" t="str">
        <f t="shared" si="15"/>
        <v/>
      </c>
      <c r="L330" s="52" t="str">
        <f t="shared" si="16"/>
        <v/>
      </c>
      <c r="M330" s="53" t="str">
        <f t="shared" si="17"/>
        <v/>
      </c>
      <c r="N330" s="49"/>
    </row>
    <row r="331" spans="2:14" ht="18" customHeight="1" x14ac:dyDescent="0.25">
      <c r="B331" s="47" t="str">
        <f>IF(C331="","",COUNT($C$7:C331))</f>
        <v/>
      </c>
      <c r="C331" s="48"/>
      <c r="D331" s="49"/>
      <c r="E331" s="49"/>
      <c r="F331" s="49"/>
      <c r="G331" s="49"/>
      <c r="H331" s="49"/>
      <c r="I331" s="50"/>
      <c r="J331" s="50"/>
      <c r="K331" s="51" t="str">
        <f t="shared" si="15"/>
        <v/>
      </c>
      <c r="L331" s="52" t="str">
        <f t="shared" si="16"/>
        <v/>
      </c>
      <c r="M331" s="53" t="str">
        <f t="shared" si="17"/>
        <v/>
      </c>
      <c r="N331" s="49"/>
    </row>
    <row r="332" spans="2:14" ht="18" customHeight="1" x14ac:dyDescent="0.25">
      <c r="B332" s="47" t="str">
        <f>IF(C332="","",COUNT($C$7:C332))</f>
        <v/>
      </c>
      <c r="C332" s="48"/>
      <c r="D332" s="49"/>
      <c r="E332" s="49"/>
      <c r="F332" s="49"/>
      <c r="G332" s="49"/>
      <c r="H332" s="49"/>
      <c r="I332" s="50"/>
      <c r="J332" s="50"/>
      <c r="K332" s="51" t="str">
        <f t="shared" si="15"/>
        <v/>
      </c>
      <c r="L332" s="52" t="str">
        <f t="shared" si="16"/>
        <v/>
      </c>
      <c r="M332" s="53" t="str">
        <f t="shared" si="17"/>
        <v/>
      </c>
      <c r="N332" s="49"/>
    </row>
    <row r="333" spans="2:14" ht="18" customHeight="1" x14ac:dyDescent="0.25">
      <c r="B333" s="47" t="str">
        <f>IF(C333="","",COUNT($C$7:C333))</f>
        <v/>
      </c>
      <c r="C333" s="48"/>
      <c r="D333" s="49"/>
      <c r="E333" s="49"/>
      <c r="F333" s="49"/>
      <c r="G333" s="49"/>
      <c r="H333" s="49"/>
      <c r="I333" s="50"/>
      <c r="J333" s="50"/>
      <c r="K333" s="51" t="str">
        <f t="shared" si="15"/>
        <v/>
      </c>
      <c r="L333" s="52" t="str">
        <f t="shared" si="16"/>
        <v/>
      </c>
      <c r="M333" s="53" t="str">
        <f t="shared" si="17"/>
        <v/>
      </c>
      <c r="N333" s="49"/>
    </row>
    <row r="334" spans="2:14" ht="18" customHeight="1" x14ac:dyDescent="0.25">
      <c r="B334" s="47" t="str">
        <f>IF(C334="","",COUNT($C$7:C334))</f>
        <v/>
      </c>
      <c r="C334" s="48"/>
      <c r="D334" s="49"/>
      <c r="E334" s="49"/>
      <c r="F334" s="49"/>
      <c r="G334" s="49"/>
      <c r="H334" s="49"/>
      <c r="I334" s="50"/>
      <c r="J334" s="50"/>
      <c r="K334" s="51" t="str">
        <f t="shared" si="15"/>
        <v/>
      </c>
      <c r="L334" s="52" t="str">
        <f t="shared" si="16"/>
        <v/>
      </c>
      <c r="M334" s="53" t="str">
        <f t="shared" si="17"/>
        <v/>
      </c>
      <c r="N334" s="49"/>
    </row>
    <row r="335" spans="2:14" ht="18" customHeight="1" x14ac:dyDescent="0.25">
      <c r="B335" s="47" t="str">
        <f>IF(C335="","",COUNT($C$7:C335))</f>
        <v/>
      </c>
      <c r="C335" s="48"/>
      <c r="D335" s="49"/>
      <c r="E335" s="49"/>
      <c r="F335" s="49"/>
      <c r="G335" s="49"/>
      <c r="H335" s="49"/>
      <c r="I335" s="50"/>
      <c r="J335" s="50"/>
      <c r="K335" s="51" t="str">
        <f t="shared" si="15"/>
        <v/>
      </c>
      <c r="L335" s="52" t="str">
        <f t="shared" si="16"/>
        <v/>
      </c>
      <c r="M335" s="53" t="str">
        <f t="shared" si="17"/>
        <v/>
      </c>
      <c r="N335" s="49"/>
    </row>
    <row r="336" spans="2:14" ht="18" customHeight="1" x14ac:dyDescent="0.25">
      <c r="B336" s="47" t="str">
        <f>IF(C336="","",COUNT($C$7:C336))</f>
        <v/>
      </c>
      <c r="C336" s="48"/>
      <c r="D336" s="49"/>
      <c r="E336" s="49"/>
      <c r="F336" s="49"/>
      <c r="G336" s="49"/>
      <c r="H336" s="49"/>
      <c r="I336" s="50"/>
      <c r="J336" s="50"/>
      <c r="K336" s="51" t="str">
        <f t="shared" si="15"/>
        <v/>
      </c>
      <c r="L336" s="52" t="str">
        <f t="shared" si="16"/>
        <v/>
      </c>
      <c r="M336" s="53" t="str">
        <f t="shared" si="17"/>
        <v/>
      </c>
      <c r="N336" s="49"/>
    </row>
    <row r="337" spans="2:14" ht="18" customHeight="1" x14ac:dyDescent="0.25">
      <c r="B337" s="47" t="str">
        <f>IF(C337="","",COUNT($C$7:C337))</f>
        <v/>
      </c>
      <c r="C337" s="48"/>
      <c r="D337" s="49"/>
      <c r="E337" s="49"/>
      <c r="F337" s="49"/>
      <c r="G337" s="49"/>
      <c r="H337" s="49"/>
      <c r="I337" s="50"/>
      <c r="J337" s="50"/>
      <c r="K337" s="51" t="str">
        <f t="shared" si="15"/>
        <v/>
      </c>
      <c r="L337" s="52" t="str">
        <f t="shared" si="16"/>
        <v/>
      </c>
      <c r="M337" s="53" t="str">
        <f t="shared" si="17"/>
        <v/>
      </c>
      <c r="N337" s="49"/>
    </row>
    <row r="338" spans="2:14" ht="18" customHeight="1" x14ac:dyDescent="0.25">
      <c r="B338" s="47" t="str">
        <f>IF(C338="","",COUNT($C$7:C338))</f>
        <v/>
      </c>
      <c r="C338" s="48"/>
      <c r="D338" s="49"/>
      <c r="E338" s="49"/>
      <c r="F338" s="49"/>
      <c r="G338" s="49"/>
      <c r="H338" s="49"/>
      <c r="I338" s="50"/>
      <c r="J338" s="50"/>
      <c r="K338" s="51" t="str">
        <f t="shared" si="15"/>
        <v/>
      </c>
      <c r="L338" s="52" t="str">
        <f t="shared" si="16"/>
        <v/>
      </c>
      <c r="M338" s="53" t="str">
        <f t="shared" si="17"/>
        <v/>
      </c>
      <c r="N338" s="49"/>
    </row>
    <row r="339" spans="2:14" ht="18" customHeight="1" x14ac:dyDescent="0.25">
      <c r="B339" s="47" t="str">
        <f>IF(C339="","",COUNT($C$7:C339))</f>
        <v/>
      </c>
      <c r="C339" s="48"/>
      <c r="D339" s="49"/>
      <c r="E339" s="49"/>
      <c r="F339" s="49"/>
      <c r="G339" s="49"/>
      <c r="H339" s="49"/>
      <c r="I339" s="50"/>
      <c r="J339" s="50"/>
      <c r="K339" s="51" t="str">
        <f t="shared" si="15"/>
        <v/>
      </c>
      <c r="L339" s="52" t="str">
        <f t="shared" si="16"/>
        <v/>
      </c>
      <c r="M339" s="53" t="str">
        <f t="shared" si="17"/>
        <v/>
      </c>
      <c r="N339" s="49"/>
    </row>
    <row r="340" spans="2:14" ht="18" customHeight="1" x14ac:dyDescent="0.25">
      <c r="B340" s="47" t="str">
        <f>IF(C340="","",COUNT($C$7:C340))</f>
        <v/>
      </c>
      <c r="C340" s="48"/>
      <c r="D340" s="49"/>
      <c r="E340" s="49"/>
      <c r="F340" s="49"/>
      <c r="G340" s="49"/>
      <c r="H340" s="49"/>
      <c r="I340" s="50"/>
      <c r="J340" s="50"/>
      <c r="K340" s="51" t="str">
        <f t="shared" si="15"/>
        <v/>
      </c>
      <c r="L340" s="52" t="str">
        <f t="shared" si="16"/>
        <v/>
      </c>
      <c r="M340" s="53" t="str">
        <f t="shared" si="17"/>
        <v/>
      </c>
      <c r="N340" s="49"/>
    </row>
    <row r="341" spans="2:14" ht="18" customHeight="1" x14ac:dyDescent="0.25">
      <c r="B341" s="47" t="str">
        <f>IF(C341="","",COUNT($C$7:C341))</f>
        <v/>
      </c>
      <c r="C341" s="48"/>
      <c r="D341" s="49"/>
      <c r="E341" s="49"/>
      <c r="F341" s="49"/>
      <c r="G341" s="49"/>
      <c r="H341" s="49"/>
      <c r="I341" s="50"/>
      <c r="J341" s="50"/>
      <c r="K341" s="51" t="str">
        <f t="shared" si="15"/>
        <v/>
      </c>
      <c r="L341" s="52" t="str">
        <f t="shared" si="16"/>
        <v/>
      </c>
      <c r="M341" s="53" t="str">
        <f t="shared" si="17"/>
        <v/>
      </c>
      <c r="N341" s="49"/>
    </row>
    <row r="342" spans="2:14" ht="18" customHeight="1" x14ac:dyDescent="0.25">
      <c r="B342" s="47" t="str">
        <f>IF(C342="","",COUNT($C$7:C342))</f>
        <v/>
      </c>
      <c r="C342" s="48"/>
      <c r="D342" s="49"/>
      <c r="E342" s="49"/>
      <c r="F342" s="49"/>
      <c r="G342" s="49"/>
      <c r="H342" s="49"/>
      <c r="I342" s="50"/>
      <c r="J342" s="50"/>
      <c r="K342" s="51" t="str">
        <f t="shared" si="15"/>
        <v/>
      </c>
      <c r="L342" s="52" t="str">
        <f t="shared" si="16"/>
        <v/>
      </c>
      <c r="M342" s="53" t="str">
        <f t="shared" si="17"/>
        <v/>
      </c>
      <c r="N342" s="49"/>
    </row>
    <row r="343" spans="2:14" ht="18" customHeight="1" x14ac:dyDescent="0.25">
      <c r="B343" s="47" t="str">
        <f>IF(C343="","",COUNT($C$7:C343))</f>
        <v/>
      </c>
      <c r="C343" s="48"/>
      <c r="D343" s="49"/>
      <c r="E343" s="49"/>
      <c r="F343" s="49"/>
      <c r="G343" s="49"/>
      <c r="H343" s="49"/>
      <c r="I343" s="50"/>
      <c r="J343" s="50"/>
      <c r="K343" s="51" t="str">
        <f t="shared" si="15"/>
        <v/>
      </c>
      <c r="L343" s="52" t="str">
        <f t="shared" si="16"/>
        <v/>
      </c>
      <c r="M343" s="53" t="str">
        <f t="shared" si="17"/>
        <v/>
      </c>
      <c r="N343" s="49"/>
    </row>
    <row r="344" spans="2:14" ht="18" customHeight="1" x14ac:dyDescent="0.25">
      <c r="B344" s="47" t="str">
        <f>IF(C344="","",COUNT($C$7:C344))</f>
        <v/>
      </c>
      <c r="C344" s="48"/>
      <c r="D344" s="49"/>
      <c r="E344" s="49"/>
      <c r="F344" s="49"/>
      <c r="G344" s="49"/>
      <c r="H344" s="49"/>
      <c r="I344" s="50"/>
      <c r="J344" s="50"/>
      <c r="K344" s="51" t="str">
        <f t="shared" si="15"/>
        <v/>
      </c>
      <c r="L344" s="52" t="str">
        <f t="shared" si="16"/>
        <v/>
      </c>
      <c r="M344" s="53" t="str">
        <f t="shared" si="17"/>
        <v/>
      </c>
      <c r="N344" s="49"/>
    </row>
    <row r="345" spans="2:14" ht="18" customHeight="1" x14ac:dyDescent="0.25">
      <c r="B345" s="47" t="str">
        <f>IF(C345="","",COUNT($C$7:C345))</f>
        <v/>
      </c>
      <c r="C345" s="48"/>
      <c r="D345" s="49"/>
      <c r="E345" s="49"/>
      <c r="F345" s="49"/>
      <c r="G345" s="49"/>
      <c r="H345" s="49"/>
      <c r="I345" s="50"/>
      <c r="J345" s="50"/>
      <c r="K345" s="51" t="str">
        <f t="shared" si="15"/>
        <v/>
      </c>
      <c r="L345" s="52" t="str">
        <f t="shared" si="16"/>
        <v/>
      </c>
      <c r="M345" s="53" t="str">
        <f t="shared" si="17"/>
        <v/>
      </c>
      <c r="N345" s="49"/>
    </row>
    <row r="346" spans="2:14" ht="18" customHeight="1" x14ac:dyDescent="0.25">
      <c r="B346" s="47" t="str">
        <f>IF(C346="","",COUNT($C$7:C346))</f>
        <v/>
      </c>
      <c r="C346" s="48"/>
      <c r="D346" s="49"/>
      <c r="E346" s="49"/>
      <c r="F346" s="49"/>
      <c r="G346" s="49"/>
      <c r="H346" s="49"/>
      <c r="I346" s="50"/>
      <c r="J346" s="50"/>
      <c r="K346" s="51" t="str">
        <f t="shared" si="15"/>
        <v/>
      </c>
      <c r="L346" s="52" t="str">
        <f t="shared" si="16"/>
        <v/>
      </c>
      <c r="M346" s="53" t="str">
        <f t="shared" si="17"/>
        <v/>
      </c>
      <c r="N346" s="49"/>
    </row>
    <row r="347" spans="2:14" ht="18" customHeight="1" x14ac:dyDescent="0.25">
      <c r="B347" s="47" t="str">
        <f>IF(C347="","",COUNT($C$7:C347))</f>
        <v/>
      </c>
      <c r="C347" s="48"/>
      <c r="D347" s="49"/>
      <c r="E347" s="49"/>
      <c r="F347" s="49"/>
      <c r="G347" s="49"/>
      <c r="H347" s="49"/>
      <c r="I347" s="50"/>
      <c r="J347" s="50"/>
      <c r="K347" s="51" t="str">
        <f t="shared" si="15"/>
        <v/>
      </c>
      <c r="L347" s="52" t="str">
        <f t="shared" si="16"/>
        <v/>
      </c>
      <c r="M347" s="53" t="str">
        <f t="shared" si="17"/>
        <v/>
      </c>
      <c r="N347" s="49"/>
    </row>
    <row r="348" spans="2:14" ht="18" customHeight="1" x14ac:dyDescent="0.25">
      <c r="B348" s="47" t="str">
        <f>IF(C348="","",COUNT($C$7:C348))</f>
        <v/>
      </c>
      <c r="C348" s="48"/>
      <c r="D348" s="49"/>
      <c r="E348" s="49"/>
      <c r="F348" s="49"/>
      <c r="G348" s="49"/>
      <c r="H348" s="49"/>
      <c r="I348" s="50"/>
      <c r="J348" s="50"/>
      <c r="K348" s="51" t="str">
        <f t="shared" si="15"/>
        <v/>
      </c>
      <c r="L348" s="52" t="str">
        <f t="shared" si="16"/>
        <v/>
      </c>
      <c r="M348" s="53" t="str">
        <f t="shared" si="17"/>
        <v/>
      </c>
      <c r="N348" s="49"/>
    </row>
    <row r="349" spans="2:14" ht="18" customHeight="1" x14ac:dyDescent="0.25">
      <c r="B349" s="47" t="str">
        <f>IF(C349="","",COUNT($C$7:C349))</f>
        <v/>
      </c>
      <c r="C349" s="48"/>
      <c r="D349" s="49"/>
      <c r="E349" s="49"/>
      <c r="F349" s="49"/>
      <c r="G349" s="49"/>
      <c r="H349" s="49"/>
      <c r="I349" s="50"/>
      <c r="J349" s="50"/>
      <c r="K349" s="51" t="str">
        <f t="shared" si="15"/>
        <v/>
      </c>
      <c r="L349" s="52" t="str">
        <f t="shared" si="16"/>
        <v/>
      </c>
      <c r="M349" s="53" t="str">
        <f t="shared" si="17"/>
        <v/>
      </c>
      <c r="N349" s="49"/>
    </row>
    <row r="350" spans="2:14" ht="18" customHeight="1" x14ac:dyDescent="0.25">
      <c r="B350" s="47" t="str">
        <f>IF(C350="","",COUNT($C$7:C350))</f>
        <v/>
      </c>
      <c r="C350" s="48"/>
      <c r="D350" s="49"/>
      <c r="E350" s="49"/>
      <c r="F350" s="49"/>
      <c r="G350" s="49"/>
      <c r="H350" s="49"/>
      <c r="I350" s="50"/>
      <c r="J350" s="50"/>
      <c r="K350" s="51" t="str">
        <f t="shared" si="15"/>
        <v/>
      </c>
      <c r="L350" s="52" t="str">
        <f t="shared" si="16"/>
        <v/>
      </c>
      <c r="M350" s="53" t="str">
        <f t="shared" si="17"/>
        <v/>
      </c>
      <c r="N350" s="49"/>
    </row>
    <row r="351" spans="2:14" ht="18" customHeight="1" x14ac:dyDescent="0.25">
      <c r="B351" s="47" t="str">
        <f>IF(C351="","",COUNT($C$7:C351))</f>
        <v/>
      </c>
      <c r="C351" s="48"/>
      <c r="D351" s="49"/>
      <c r="E351" s="49"/>
      <c r="F351" s="49"/>
      <c r="G351" s="49"/>
      <c r="H351" s="49"/>
      <c r="I351" s="50"/>
      <c r="J351" s="50"/>
      <c r="K351" s="51" t="str">
        <f t="shared" si="15"/>
        <v/>
      </c>
      <c r="L351" s="52" t="str">
        <f t="shared" si="16"/>
        <v/>
      </c>
      <c r="M351" s="53" t="str">
        <f t="shared" si="17"/>
        <v/>
      </c>
      <c r="N351" s="49"/>
    </row>
    <row r="352" spans="2:14" ht="18" customHeight="1" x14ac:dyDescent="0.25">
      <c r="B352" s="47" t="str">
        <f>IF(C352="","",COUNT($C$7:C352))</f>
        <v/>
      </c>
      <c r="C352" s="48"/>
      <c r="D352" s="49"/>
      <c r="E352" s="49"/>
      <c r="F352" s="49"/>
      <c r="G352" s="49"/>
      <c r="H352" s="49"/>
      <c r="I352" s="50"/>
      <c r="J352" s="50"/>
      <c r="K352" s="51" t="str">
        <f t="shared" si="15"/>
        <v/>
      </c>
      <c r="L352" s="52" t="str">
        <f t="shared" si="16"/>
        <v/>
      </c>
      <c r="M352" s="53" t="str">
        <f t="shared" si="17"/>
        <v/>
      </c>
      <c r="N352" s="49"/>
    </row>
    <row r="353" spans="2:14" ht="18" customHeight="1" x14ac:dyDescent="0.25">
      <c r="B353" s="47" t="str">
        <f>IF(C353="","",COUNT($C$7:C353))</f>
        <v/>
      </c>
      <c r="C353" s="48"/>
      <c r="D353" s="49"/>
      <c r="E353" s="49"/>
      <c r="F353" s="49"/>
      <c r="G353" s="49"/>
      <c r="H353" s="49"/>
      <c r="I353" s="50"/>
      <c r="J353" s="50"/>
      <c r="K353" s="51" t="str">
        <f t="shared" si="15"/>
        <v/>
      </c>
      <c r="L353" s="52" t="str">
        <f t="shared" si="16"/>
        <v/>
      </c>
      <c r="M353" s="53" t="str">
        <f t="shared" si="17"/>
        <v/>
      </c>
      <c r="N353" s="49"/>
    </row>
    <row r="354" spans="2:14" ht="18" customHeight="1" x14ac:dyDescent="0.25">
      <c r="B354" s="47" t="str">
        <f>IF(C354="","",COUNT($C$7:C354))</f>
        <v/>
      </c>
      <c r="C354" s="48"/>
      <c r="D354" s="49"/>
      <c r="E354" s="49"/>
      <c r="F354" s="49"/>
      <c r="G354" s="49"/>
      <c r="H354" s="49"/>
      <c r="I354" s="50"/>
      <c r="J354" s="50"/>
      <c r="K354" s="51" t="str">
        <f t="shared" si="15"/>
        <v/>
      </c>
      <c r="L354" s="52" t="str">
        <f t="shared" si="16"/>
        <v/>
      </c>
      <c r="M354" s="53" t="str">
        <f t="shared" si="17"/>
        <v/>
      </c>
      <c r="N354" s="49"/>
    </row>
    <row r="355" spans="2:14" ht="18" customHeight="1" x14ac:dyDescent="0.25">
      <c r="B355" s="47" t="str">
        <f>IF(C355="","",COUNT($C$7:C355))</f>
        <v/>
      </c>
      <c r="C355" s="48"/>
      <c r="D355" s="49"/>
      <c r="E355" s="49"/>
      <c r="F355" s="49"/>
      <c r="G355" s="49"/>
      <c r="H355" s="49"/>
      <c r="I355" s="50"/>
      <c r="J355" s="50"/>
      <c r="K355" s="51" t="str">
        <f t="shared" si="15"/>
        <v/>
      </c>
      <c r="L355" s="52" t="str">
        <f t="shared" si="16"/>
        <v/>
      </c>
      <c r="M355" s="53" t="str">
        <f t="shared" si="17"/>
        <v/>
      </c>
      <c r="N355" s="49"/>
    </row>
    <row r="356" spans="2:14" ht="18" customHeight="1" x14ac:dyDescent="0.25">
      <c r="B356" s="47" t="str">
        <f>IF(C356="","",COUNT($C$7:C356))</f>
        <v/>
      </c>
      <c r="C356" s="48"/>
      <c r="D356" s="49"/>
      <c r="E356" s="49"/>
      <c r="F356" s="49"/>
      <c r="G356" s="49"/>
      <c r="H356" s="49"/>
      <c r="I356" s="50"/>
      <c r="J356" s="50"/>
      <c r="K356" s="51" t="str">
        <f t="shared" si="15"/>
        <v/>
      </c>
      <c r="L356" s="52" t="str">
        <f t="shared" si="16"/>
        <v/>
      </c>
      <c r="M356" s="53" t="str">
        <f t="shared" si="17"/>
        <v/>
      </c>
      <c r="N356" s="49"/>
    </row>
    <row r="357" spans="2:14" ht="18" customHeight="1" x14ac:dyDescent="0.25">
      <c r="B357" s="47" t="str">
        <f>IF(C357="","",COUNT($C$7:C357))</f>
        <v/>
      </c>
      <c r="C357" s="48"/>
      <c r="D357" s="49"/>
      <c r="E357" s="49"/>
      <c r="F357" s="49"/>
      <c r="G357" s="49"/>
      <c r="H357" s="49"/>
      <c r="I357" s="50"/>
      <c r="J357" s="50"/>
      <c r="K357" s="51" t="str">
        <f t="shared" si="15"/>
        <v/>
      </c>
      <c r="L357" s="52" t="str">
        <f t="shared" si="16"/>
        <v/>
      </c>
      <c r="M357" s="53" t="str">
        <f t="shared" si="17"/>
        <v/>
      </c>
      <c r="N357" s="49"/>
    </row>
    <row r="358" spans="2:14" ht="18" customHeight="1" x14ac:dyDescent="0.25">
      <c r="B358" s="47" t="str">
        <f>IF(C358="","",COUNT($C$7:C358))</f>
        <v/>
      </c>
      <c r="C358" s="48"/>
      <c r="D358" s="49"/>
      <c r="E358" s="49"/>
      <c r="F358" s="49"/>
      <c r="G358" s="49"/>
      <c r="H358" s="49"/>
      <c r="I358" s="50"/>
      <c r="J358" s="50"/>
      <c r="K358" s="51" t="str">
        <f t="shared" si="15"/>
        <v/>
      </c>
      <c r="L358" s="52" t="str">
        <f t="shared" si="16"/>
        <v/>
      </c>
      <c r="M358" s="53" t="str">
        <f t="shared" si="17"/>
        <v/>
      </c>
      <c r="N358" s="49"/>
    </row>
    <row r="359" spans="2:14" ht="18" customHeight="1" x14ac:dyDescent="0.25">
      <c r="B359" s="47" t="str">
        <f>IF(C359="","",COUNT($C$7:C359))</f>
        <v/>
      </c>
      <c r="C359" s="48"/>
      <c r="D359" s="49"/>
      <c r="E359" s="49"/>
      <c r="F359" s="49"/>
      <c r="G359" s="49"/>
      <c r="H359" s="49"/>
      <c r="I359" s="50"/>
      <c r="J359" s="50"/>
      <c r="K359" s="51" t="str">
        <f t="shared" si="15"/>
        <v/>
      </c>
      <c r="L359" s="52" t="str">
        <f t="shared" si="16"/>
        <v/>
      </c>
      <c r="M359" s="53" t="str">
        <f t="shared" si="17"/>
        <v/>
      </c>
      <c r="N359" s="49"/>
    </row>
    <row r="360" spans="2:14" ht="18" customHeight="1" x14ac:dyDescent="0.25">
      <c r="B360" s="47" t="str">
        <f>IF(C360="","",COUNT($C$7:C360))</f>
        <v/>
      </c>
      <c r="C360" s="48"/>
      <c r="D360" s="49"/>
      <c r="E360" s="49"/>
      <c r="F360" s="49"/>
      <c r="G360" s="49"/>
      <c r="H360" s="49"/>
      <c r="I360" s="50"/>
      <c r="J360" s="50"/>
      <c r="K360" s="51" t="str">
        <f t="shared" si="15"/>
        <v/>
      </c>
      <c r="L360" s="52" t="str">
        <f t="shared" si="16"/>
        <v/>
      </c>
      <c r="M360" s="53" t="str">
        <f t="shared" si="17"/>
        <v/>
      </c>
      <c r="N360" s="49"/>
    </row>
    <row r="361" spans="2:14" ht="18" customHeight="1" x14ac:dyDescent="0.25">
      <c r="B361" s="47" t="str">
        <f>IF(C361="","",COUNT($C$7:C361))</f>
        <v/>
      </c>
      <c r="C361" s="48"/>
      <c r="D361" s="49"/>
      <c r="E361" s="49"/>
      <c r="F361" s="49"/>
      <c r="G361" s="49"/>
      <c r="H361" s="49"/>
      <c r="I361" s="50"/>
      <c r="J361" s="50"/>
      <c r="K361" s="51" t="str">
        <f t="shared" si="15"/>
        <v/>
      </c>
      <c r="L361" s="52" t="str">
        <f t="shared" si="16"/>
        <v/>
      </c>
      <c r="M361" s="53" t="str">
        <f t="shared" si="17"/>
        <v/>
      </c>
      <c r="N361" s="49"/>
    </row>
    <row r="362" spans="2:14" ht="18" customHeight="1" x14ac:dyDescent="0.25">
      <c r="B362" s="47" t="str">
        <f>IF(C362="","",COUNT($C$7:C362))</f>
        <v/>
      </c>
      <c r="C362" s="48"/>
      <c r="D362" s="49"/>
      <c r="E362" s="49"/>
      <c r="F362" s="49"/>
      <c r="G362" s="49"/>
      <c r="H362" s="49"/>
      <c r="I362" s="50"/>
      <c r="J362" s="50"/>
      <c r="K362" s="51" t="str">
        <f t="shared" si="15"/>
        <v/>
      </c>
      <c r="L362" s="52" t="str">
        <f t="shared" si="16"/>
        <v/>
      </c>
      <c r="M362" s="53" t="str">
        <f t="shared" si="17"/>
        <v/>
      </c>
      <c r="N362" s="49"/>
    </row>
    <row r="363" spans="2:14" ht="18" customHeight="1" x14ac:dyDescent="0.25">
      <c r="B363" s="47" t="str">
        <f>IF(C363="","",COUNT($C$7:C363))</f>
        <v/>
      </c>
      <c r="C363" s="48"/>
      <c r="D363" s="49"/>
      <c r="E363" s="49"/>
      <c r="F363" s="49"/>
      <c r="G363" s="49"/>
      <c r="H363" s="49"/>
      <c r="I363" s="50"/>
      <c r="J363" s="50"/>
      <c r="K363" s="51" t="str">
        <f t="shared" si="15"/>
        <v/>
      </c>
      <c r="L363" s="52" t="str">
        <f t="shared" si="16"/>
        <v/>
      </c>
      <c r="M363" s="53" t="str">
        <f t="shared" si="17"/>
        <v/>
      </c>
      <c r="N363" s="49"/>
    </row>
    <row r="364" spans="2:14" ht="18" customHeight="1" x14ac:dyDescent="0.25">
      <c r="B364" s="47" t="str">
        <f>IF(C364="","",COUNT($C$7:C364))</f>
        <v/>
      </c>
      <c r="C364" s="48"/>
      <c r="D364" s="49"/>
      <c r="E364" s="49"/>
      <c r="F364" s="49"/>
      <c r="G364" s="49"/>
      <c r="H364" s="49"/>
      <c r="I364" s="50"/>
      <c r="J364" s="50"/>
      <c r="K364" s="51" t="str">
        <f t="shared" si="15"/>
        <v/>
      </c>
      <c r="L364" s="52" t="str">
        <f t="shared" si="16"/>
        <v/>
      </c>
      <c r="M364" s="53" t="str">
        <f t="shared" si="17"/>
        <v/>
      </c>
      <c r="N364" s="49"/>
    </row>
    <row r="365" spans="2:14" ht="18" customHeight="1" x14ac:dyDescent="0.25">
      <c r="B365" s="47" t="str">
        <f>IF(C365="","",COUNT($C$7:C365))</f>
        <v/>
      </c>
      <c r="C365" s="48"/>
      <c r="D365" s="49"/>
      <c r="E365" s="49"/>
      <c r="F365" s="49"/>
      <c r="G365" s="49"/>
      <c r="H365" s="49"/>
      <c r="I365" s="50"/>
      <c r="J365" s="50"/>
      <c r="K365" s="51" t="str">
        <f t="shared" si="15"/>
        <v/>
      </c>
      <c r="L365" s="52" t="str">
        <f t="shared" si="16"/>
        <v/>
      </c>
      <c r="M365" s="53" t="str">
        <f t="shared" si="17"/>
        <v/>
      </c>
      <c r="N365" s="49"/>
    </row>
    <row r="366" spans="2:14" ht="18" customHeight="1" x14ac:dyDescent="0.25">
      <c r="B366" s="47" t="str">
        <f>IF(C366="","",COUNT($C$7:C366))</f>
        <v/>
      </c>
      <c r="C366" s="48"/>
      <c r="D366" s="49"/>
      <c r="E366" s="49"/>
      <c r="F366" s="49"/>
      <c r="G366" s="49"/>
      <c r="H366" s="49"/>
      <c r="I366" s="50"/>
      <c r="J366" s="50"/>
      <c r="K366" s="51" t="str">
        <f t="shared" si="15"/>
        <v/>
      </c>
      <c r="L366" s="52" t="str">
        <f t="shared" si="16"/>
        <v/>
      </c>
      <c r="M366" s="53" t="str">
        <f t="shared" si="17"/>
        <v/>
      </c>
      <c r="N366" s="49"/>
    </row>
    <row r="367" spans="2:14" ht="18" customHeight="1" x14ac:dyDescent="0.25">
      <c r="B367" s="47" t="str">
        <f>IF(C367="","",COUNT($C$7:C367))</f>
        <v/>
      </c>
      <c r="C367" s="48"/>
      <c r="D367" s="49"/>
      <c r="E367" s="49"/>
      <c r="F367" s="49"/>
      <c r="G367" s="49"/>
      <c r="H367" s="49"/>
      <c r="I367" s="50"/>
      <c r="J367" s="50"/>
      <c r="K367" s="51" t="str">
        <f t="shared" si="15"/>
        <v/>
      </c>
      <c r="L367" s="52" t="str">
        <f t="shared" si="16"/>
        <v/>
      </c>
      <c r="M367" s="53" t="str">
        <f t="shared" si="17"/>
        <v/>
      </c>
      <c r="N367" s="49"/>
    </row>
    <row r="368" spans="2:14" ht="18" customHeight="1" x14ac:dyDescent="0.25">
      <c r="B368" s="47" t="str">
        <f>IF(C368="","",COUNT($C$7:C368))</f>
        <v/>
      </c>
      <c r="C368" s="48"/>
      <c r="D368" s="49"/>
      <c r="E368" s="49"/>
      <c r="F368" s="49"/>
      <c r="G368" s="49"/>
      <c r="H368" s="49"/>
      <c r="I368" s="50"/>
      <c r="J368" s="50"/>
      <c r="K368" s="51" t="str">
        <f t="shared" si="15"/>
        <v/>
      </c>
      <c r="L368" s="52" t="str">
        <f t="shared" si="16"/>
        <v/>
      </c>
      <c r="M368" s="53" t="str">
        <f t="shared" si="17"/>
        <v/>
      </c>
      <c r="N368" s="49"/>
    </row>
    <row r="369" spans="2:14" ht="18" customHeight="1" x14ac:dyDescent="0.25">
      <c r="B369" s="47" t="str">
        <f>IF(C369="","",COUNT($C$7:C369))</f>
        <v/>
      </c>
      <c r="C369" s="48"/>
      <c r="D369" s="49"/>
      <c r="E369" s="49"/>
      <c r="F369" s="49"/>
      <c r="G369" s="49"/>
      <c r="H369" s="49"/>
      <c r="I369" s="50"/>
      <c r="J369" s="50"/>
      <c r="K369" s="51" t="str">
        <f t="shared" si="15"/>
        <v/>
      </c>
      <c r="L369" s="52" t="str">
        <f t="shared" si="16"/>
        <v/>
      </c>
      <c r="M369" s="53" t="str">
        <f t="shared" si="17"/>
        <v/>
      </c>
      <c r="N369" s="49"/>
    </row>
    <row r="370" spans="2:14" ht="18" customHeight="1" x14ac:dyDescent="0.25">
      <c r="B370" s="47" t="str">
        <f>IF(C370="","",COUNT($C$7:C370))</f>
        <v/>
      </c>
      <c r="C370" s="48"/>
      <c r="D370" s="49"/>
      <c r="E370" s="49"/>
      <c r="F370" s="49"/>
      <c r="G370" s="49"/>
      <c r="H370" s="49"/>
      <c r="I370" s="50"/>
      <c r="J370" s="50"/>
      <c r="K370" s="51" t="str">
        <f t="shared" si="15"/>
        <v/>
      </c>
      <c r="L370" s="52" t="str">
        <f t="shared" si="16"/>
        <v/>
      </c>
      <c r="M370" s="53" t="str">
        <f t="shared" si="17"/>
        <v/>
      </c>
      <c r="N370" s="49"/>
    </row>
    <row r="371" spans="2:14" ht="18" customHeight="1" x14ac:dyDescent="0.25">
      <c r="B371" s="47" t="str">
        <f>IF(C371="","",COUNT($C$7:C371))</f>
        <v/>
      </c>
      <c r="C371" s="48"/>
      <c r="D371" s="49"/>
      <c r="E371" s="49"/>
      <c r="F371" s="49"/>
      <c r="G371" s="49"/>
      <c r="H371" s="49"/>
      <c r="I371" s="50"/>
      <c r="J371" s="50"/>
      <c r="K371" s="51" t="str">
        <f t="shared" si="15"/>
        <v/>
      </c>
      <c r="L371" s="52" t="str">
        <f t="shared" si="16"/>
        <v/>
      </c>
      <c r="M371" s="53" t="str">
        <f t="shared" si="17"/>
        <v/>
      </c>
      <c r="N371" s="49"/>
    </row>
    <row r="372" spans="2:14" ht="18" customHeight="1" x14ac:dyDescent="0.25">
      <c r="B372" s="47" t="str">
        <f>IF(C372="","",COUNT($C$7:C372))</f>
        <v/>
      </c>
      <c r="C372" s="48"/>
      <c r="D372" s="49"/>
      <c r="E372" s="49"/>
      <c r="F372" s="49"/>
      <c r="G372" s="49"/>
      <c r="H372" s="49"/>
      <c r="I372" s="50"/>
      <c r="J372" s="50"/>
      <c r="K372" s="51" t="str">
        <f t="shared" si="15"/>
        <v/>
      </c>
      <c r="L372" s="52" t="str">
        <f t="shared" si="16"/>
        <v/>
      </c>
      <c r="M372" s="53" t="str">
        <f t="shared" si="17"/>
        <v/>
      </c>
      <c r="N372" s="49"/>
    </row>
    <row r="373" spans="2:14" ht="18" customHeight="1" x14ac:dyDescent="0.25">
      <c r="B373" s="47" t="str">
        <f>IF(C373="","",COUNT($C$7:C373))</f>
        <v/>
      </c>
      <c r="C373" s="48"/>
      <c r="D373" s="49"/>
      <c r="E373" s="49"/>
      <c r="F373" s="49"/>
      <c r="G373" s="49"/>
      <c r="H373" s="49"/>
      <c r="I373" s="50"/>
      <c r="J373" s="50"/>
      <c r="K373" s="51" t="str">
        <f t="shared" si="15"/>
        <v/>
      </c>
      <c r="L373" s="52" t="str">
        <f t="shared" si="16"/>
        <v/>
      </c>
      <c r="M373" s="53" t="str">
        <f t="shared" si="17"/>
        <v/>
      </c>
      <c r="N373" s="49"/>
    </row>
    <row r="374" spans="2:14" ht="18" customHeight="1" x14ac:dyDescent="0.25">
      <c r="B374" s="47" t="str">
        <f>IF(C374="","",COUNT($C$7:C374))</f>
        <v/>
      </c>
      <c r="C374" s="48"/>
      <c r="D374" s="49"/>
      <c r="E374" s="49"/>
      <c r="F374" s="49"/>
      <c r="G374" s="49"/>
      <c r="H374" s="49"/>
      <c r="I374" s="50"/>
      <c r="J374" s="50"/>
      <c r="K374" s="51" t="str">
        <f t="shared" si="15"/>
        <v/>
      </c>
      <c r="L374" s="52" t="str">
        <f t="shared" si="16"/>
        <v/>
      </c>
      <c r="M374" s="53" t="str">
        <f t="shared" si="17"/>
        <v/>
      </c>
      <c r="N374" s="49"/>
    </row>
    <row r="375" spans="2:14" ht="18" customHeight="1" x14ac:dyDescent="0.25">
      <c r="B375" s="47" t="str">
        <f>IF(C375="","",COUNT($C$7:C375))</f>
        <v/>
      </c>
      <c r="C375" s="48"/>
      <c r="D375" s="49"/>
      <c r="E375" s="49"/>
      <c r="F375" s="49"/>
      <c r="G375" s="49"/>
      <c r="H375" s="49"/>
      <c r="I375" s="50"/>
      <c r="J375" s="50"/>
      <c r="K375" s="51" t="str">
        <f t="shared" si="15"/>
        <v/>
      </c>
      <c r="L375" s="52" t="str">
        <f t="shared" si="16"/>
        <v/>
      </c>
      <c r="M375" s="53" t="str">
        <f t="shared" si="17"/>
        <v/>
      </c>
      <c r="N375" s="49"/>
    </row>
    <row r="376" spans="2:14" ht="18" customHeight="1" x14ac:dyDescent="0.25">
      <c r="B376" s="47" t="str">
        <f>IF(C376="","",COUNT($C$7:C376))</f>
        <v/>
      </c>
      <c r="C376" s="48"/>
      <c r="D376" s="49"/>
      <c r="E376" s="49"/>
      <c r="F376" s="49"/>
      <c r="G376" s="49"/>
      <c r="H376" s="49"/>
      <c r="I376" s="50"/>
      <c r="J376" s="50"/>
      <c r="K376" s="51" t="str">
        <f t="shared" si="15"/>
        <v/>
      </c>
      <c r="L376" s="52" t="str">
        <f t="shared" si="16"/>
        <v/>
      </c>
      <c r="M376" s="53" t="str">
        <f t="shared" si="17"/>
        <v/>
      </c>
      <c r="N376" s="49"/>
    </row>
    <row r="377" spans="2:14" ht="18" customHeight="1" x14ac:dyDescent="0.25">
      <c r="B377" s="47" t="str">
        <f>IF(C377="","",COUNT($C$7:C377))</f>
        <v/>
      </c>
      <c r="C377" s="48"/>
      <c r="D377" s="49"/>
      <c r="E377" s="49"/>
      <c r="F377" s="49"/>
      <c r="G377" s="49"/>
      <c r="H377" s="49"/>
      <c r="I377" s="50"/>
      <c r="J377" s="50"/>
      <c r="K377" s="51" t="str">
        <f t="shared" si="15"/>
        <v/>
      </c>
      <c r="L377" s="52" t="str">
        <f t="shared" si="16"/>
        <v/>
      </c>
      <c r="M377" s="53" t="str">
        <f t="shared" si="17"/>
        <v/>
      </c>
      <c r="N377" s="49"/>
    </row>
    <row r="378" spans="2:14" ht="18" customHeight="1" x14ac:dyDescent="0.25">
      <c r="B378" s="47" t="str">
        <f>IF(C378="","",COUNT($C$7:C378))</f>
        <v/>
      </c>
      <c r="C378" s="48"/>
      <c r="D378" s="49"/>
      <c r="E378" s="49"/>
      <c r="F378" s="49"/>
      <c r="G378" s="49"/>
      <c r="H378" s="49"/>
      <c r="I378" s="50"/>
      <c r="J378" s="50"/>
      <c r="K378" s="51" t="str">
        <f t="shared" si="15"/>
        <v/>
      </c>
      <c r="L378" s="52" t="str">
        <f t="shared" si="16"/>
        <v/>
      </c>
      <c r="M378" s="53" t="str">
        <f t="shared" si="17"/>
        <v/>
      </c>
      <c r="N378" s="49"/>
    </row>
    <row r="379" spans="2:14" ht="18" customHeight="1" x14ac:dyDescent="0.25">
      <c r="B379" s="47" t="str">
        <f>IF(C379="","",COUNT($C$7:C379))</f>
        <v/>
      </c>
      <c r="C379" s="48"/>
      <c r="D379" s="49"/>
      <c r="E379" s="49"/>
      <c r="F379" s="49"/>
      <c r="G379" s="49"/>
      <c r="H379" s="49"/>
      <c r="I379" s="50"/>
      <c r="J379" s="50"/>
      <c r="K379" s="51" t="str">
        <f t="shared" si="15"/>
        <v/>
      </c>
      <c r="L379" s="52" t="str">
        <f t="shared" si="16"/>
        <v/>
      </c>
      <c r="M379" s="53" t="str">
        <f t="shared" si="17"/>
        <v/>
      </c>
      <c r="N379" s="49"/>
    </row>
    <row r="380" spans="2:14" ht="18" customHeight="1" x14ac:dyDescent="0.25">
      <c r="B380" s="47" t="str">
        <f>IF(C380="","",COUNT($C$7:C380))</f>
        <v/>
      </c>
      <c r="C380" s="48"/>
      <c r="D380" s="49"/>
      <c r="E380" s="49"/>
      <c r="F380" s="49"/>
      <c r="G380" s="49"/>
      <c r="H380" s="49"/>
      <c r="I380" s="50"/>
      <c r="J380" s="50"/>
      <c r="K380" s="51" t="str">
        <f t="shared" si="15"/>
        <v/>
      </c>
      <c r="L380" s="52" t="str">
        <f t="shared" si="16"/>
        <v/>
      </c>
      <c r="M380" s="53" t="str">
        <f t="shared" si="17"/>
        <v/>
      </c>
      <c r="N380" s="49"/>
    </row>
    <row r="381" spans="2:14" ht="18" customHeight="1" x14ac:dyDescent="0.25">
      <c r="B381" s="47" t="str">
        <f>IF(C381="","",COUNT($C$7:C381))</f>
        <v/>
      </c>
      <c r="C381" s="48"/>
      <c r="D381" s="49"/>
      <c r="E381" s="49"/>
      <c r="F381" s="49"/>
      <c r="G381" s="49"/>
      <c r="H381" s="49"/>
      <c r="I381" s="50"/>
      <c r="J381" s="50"/>
      <c r="K381" s="51" t="str">
        <f t="shared" si="15"/>
        <v/>
      </c>
      <c r="L381" s="52" t="str">
        <f t="shared" si="16"/>
        <v/>
      </c>
      <c r="M381" s="53" t="str">
        <f t="shared" si="17"/>
        <v/>
      </c>
      <c r="N381" s="49"/>
    </row>
    <row r="382" spans="2:14" ht="18" customHeight="1" x14ac:dyDescent="0.25">
      <c r="B382" s="47" t="str">
        <f>IF(C382="","",COUNT($C$7:C382))</f>
        <v/>
      </c>
      <c r="C382" s="48"/>
      <c r="D382" s="49"/>
      <c r="E382" s="49"/>
      <c r="F382" s="49"/>
      <c r="G382" s="49"/>
      <c r="H382" s="49"/>
      <c r="I382" s="50"/>
      <c r="J382" s="50"/>
      <c r="K382" s="51" t="str">
        <f t="shared" si="15"/>
        <v/>
      </c>
      <c r="L382" s="52" t="str">
        <f t="shared" si="16"/>
        <v/>
      </c>
      <c r="M382" s="53" t="str">
        <f t="shared" si="17"/>
        <v/>
      </c>
      <c r="N382" s="49"/>
    </row>
    <row r="383" spans="2:14" ht="18" customHeight="1" x14ac:dyDescent="0.25">
      <c r="B383" s="47" t="str">
        <f>IF(C383="","",COUNT($C$7:C383))</f>
        <v/>
      </c>
      <c r="C383" s="48"/>
      <c r="D383" s="49"/>
      <c r="E383" s="49"/>
      <c r="F383" s="49"/>
      <c r="G383" s="49"/>
      <c r="H383" s="49"/>
      <c r="I383" s="50"/>
      <c r="J383" s="50"/>
      <c r="K383" s="51" t="str">
        <f t="shared" si="15"/>
        <v/>
      </c>
      <c r="L383" s="52" t="str">
        <f t="shared" si="16"/>
        <v/>
      </c>
      <c r="M383" s="53" t="str">
        <f t="shared" si="17"/>
        <v/>
      </c>
      <c r="N383" s="49"/>
    </row>
    <row r="384" spans="2:14" ht="18" customHeight="1" x14ac:dyDescent="0.25">
      <c r="B384" s="47" t="str">
        <f>IF(C384="","",COUNT($C$7:C384))</f>
        <v/>
      </c>
      <c r="C384" s="48"/>
      <c r="D384" s="49"/>
      <c r="E384" s="49"/>
      <c r="F384" s="49"/>
      <c r="G384" s="49"/>
      <c r="H384" s="49"/>
      <c r="I384" s="50"/>
      <c r="J384" s="50"/>
      <c r="K384" s="51" t="str">
        <f t="shared" si="15"/>
        <v/>
      </c>
      <c r="L384" s="52" t="str">
        <f t="shared" si="16"/>
        <v/>
      </c>
      <c r="M384" s="53" t="str">
        <f t="shared" si="17"/>
        <v/>
      </c>
      <c r="N384" s="49"/>
    </row>
    <row r="385" spans="2:14" ht="18" customHeight="1" x14ac:dyDescent="0.25">
      <c r="B385" s="47" t="str">
        <f>IF(C385="","",COUNT($C$7:C385))</f>
        <v/>
      </c>
      <c r="C385" s="48"/>
      <c r="D385" s="49"/>
      <c r="E385" s="49"/>
      <c r="F385" s="49"/>
      <c r="G385" s="49"/>
      <c r="H385" s="49"/>
      <c r="I385" s="50"/>
      <c r="J385" s="50"/>
      <c r="K385" s="51" t="str">
        <f t="shared" si="15"/>
        <v/>
      </c>
      <c r="L385" s="52" t="str">
        <f t="shared" si="16"/>
        <v/>
      </c>
      <c r="M385" s="53" t="str">
        <f t="shared" si="17"/>
        <v/>
      </c>
      <c r="N385" s="49"/>
    </row>
    <row r="386" spans="2:14" ht="18" customHeight="1" x14ac:dyDescent="0.25">
      <c r="B386" s="47" t="str">
        <f>IF(C386="","",COUNT($C$7:C386))</f>
        <v/>
      </c>
      <c r="C386" s="48"/>
      <c r="D386" s="49"/>
      <c r="E386" s="49"/>
      <c r="F386" s="49"/>
      <c r="G386" s="49"/>
      <c r="H386" s="49"/>
      <c r="I386" s="50"/>
      <c r="J386" s="50"/>
      <c r="K386" s="51" t="str">
        <f t="shared" si="15"/>
        <v/>
      </c>
      <c r="L386" s="52" t="str">
        <f t="shared" si="16"/>
        <v/>
      </c>
      <c r="M386" s="53" t="str">
        <f t="shared" si="17"/>
        <v/>
      </c>
      <c r="N386" s="49"/>
    </row>
    <row r="387" spans="2:14" ht="18" customHeight="1" x14ac:dyDescent="0.25">
      <c r="B387" s="47" t="str">
        <f>IF(C387="","",COUNT($C$7:C387))</f>
        <v/>
      </c>
      <c r="C387" s="48"/>
      <c r="D387" s="49"/>
      <c r="E387" s="49"/>
      <c r="F387" s="49"/>
      <c r="G387" s="49"/>
      <c r="H387" s="49"/>
      <c r="I387" s="50"/>
      <c r="J387" s="50"/>
      <c r="K387" s="51" t="str">
        <f t="shared" si="15"/>
        <v/>
      </c>
      <c r="L387" s="52" t="str">
        <f t="shared" si="16"/>
        <v/>
      </c>
      <c r="M387" s="53" t="str">
        <f t="shared" si="17"/>
        <v/>
      </c>
      <c r="N387" s="49"/>
    </row>
    <row r="388" spans="2:14" ht="18" customHeight="1" x14ac:dyDescent="0.25">
      <c r="B388" s="47" t="str">
        <f>IF(C388="","",COUNT($C$7:C388))</f>
        <v/>
      </c>
      <c r="C388" s="48"/>
      <c r="D388" s="49"/>
      <c r="E388" s="49"/>
      <c r="F388" s="49"/>
      <c r="G388" s="49"/>
      <c r="H388" s="49"/>
      <c r="I388" s="50"/>
      <c r="J388" s="50"/>
      <c r="K388" s="51" t="str">
        <f t="shared" si="15"/>
        <v/>
      </c>
      <c r="L388" s="52" t="str">
        <f t="shared" si="16"/>
        <v/>
      </c>
      <c r="M388" s="53" t="str">
        <f t="shared" si="17"/>
        <v/>
      </c>
      <c r="N388" s="49"/>
    </row>
    <row r="389" spans="2:14" ht="18" customHeight="1" x14ac:dyDescent="0.25">
      <c r="B389" s="47" t="str">
        <f>IF(C389="","",COUNT($C$7:C389))</f>
        <v/>
      </c>
      <c r="C389" s="48"/>
      <c r="D389" s="49"/>
      <c r="E389" s="49"/>
      <c r="F389" s="49"/>
      <c r="G389" s="49"/>
      <c r="H389" s="49"/>
      <c r="I389" s="50"/>
      <c r="J389" s="50"/>
      <c r="K389" s="51" t="str">
        <f t="shared" si="15"/>
        <v/>
      </c>
      <c r="L389" s="52" t="str">
        <f t="shared" si="16"/>
        <v/>
      </c>
      <c r="M389" s="53" t="str">
        <f t="shared" si="17"/>
        <v/>
      </c>
      <c r="N389" s="49"/>
    </row>
    <row r="390" spans="2:14" ht="18" customHeight="1" x14ac:dyDescent="0.25">
      <c r="B390" s="47" t="str">
        <f>IF(C390="","",COUNT($C$7:C390))</f>
        <v/>
      </c>
      <c r="C390" s="48"/>
      <c r="D390" s="49"/>
      <c r="E390" s="49"/>
      <c r="F390" s="49"/>
      <c r="G390" s="49"/>
      <c r="H390" s="49"/>
      <c r="I390" s="50"/>
      <c r="J390" s="50"/>
      <c r="K390" s="51" t="str">
        <f t="shared" si="15"/>
        <v/>
      </c>
      <c r="L390" s="52" t="str">
        <f t="shared" si="16"/>
        <v/>
      </c>
      <c r="M390" s="53" t="str">
        <f t="shared" si="17"/>
        <v/>
      </c>
      <c r="N390" s="49"/>
    </row>
    <row r="391" spans="2:14" ht="18" customHeight="1" x14ac:dyDescent="0.25">
      <c r="B391" s="47" t="str">
        <f>IF(C391="","",COUNT($C$7:C391))</f>
        <v/>
      </c>
      <c r="C391" s="48"/>
      <c r="D391" s="49"/>
      <c r="E391" s="49"/>
      <c r="F391" s="49"/>
      <c r="G391" s="49"/>
      <c r="H391" s="49"/>
      <c r="I391" s="50"/>
      <c r="J391" s="50"/>
      <c r="K391" s="51" t="str">
        <f t="shared" ref="K391:K454" si="18">IF(OR(I391="",J391=""),"",J391-I391)</f>
        <v/>
      </c>
      <c r="L391" s="52" t="str">
        <f t="shared" si="16"/>
        <v/>
      </c>
      <c r="M391" s="53" t="str">
        <f t="shared" si="17"/>
        <v/>
      </c>
      <c r="N391" s="49"/>
    </row>
    <row r="392" spans="2:14" ht="18" customHeight="1" x14ac:dyDescent="0.25">
      <c r="B392" s="47" t="str">
        <f>IF(C392="","",COUNT($C$7:C392))</f>
        <v/>
      </c>
      <c r="C392" s="48"/>
      <c r="D392" s="49"/>
      <c r="E392" s="49"/>
      <c r="F392" s="49"/>
      <c r="G392" s="49"/>
      <c r="H392" s="49"/>
      <c r="I392" s="50"/>
      <c r="J392" s="50"/>
      <c r="K392" s="51" t="str">
        <f t="shared" si="18"/>
        <v/>
      </c>
      <c r="L392" s="52" t="str">
        <f t="shared" ref="L392:L455" si="19">IF(OR(C392="",I392="",J391=""),"",I392-J391)</f>
        <v/>
      </c>
      <c r="M392" s="53" t="str">
        <f t="shared" ref="M392:M455" si="20">IF(C392="","",IF(OR(D392="",E392="",F392="",H392="",I392="",J392="",AND(H392="Professionnel",G392="")),"Incomplet",IF(AND(ISNUMBER(C391),C392&lt;C391),"Ordre des dates",IF(J392&lt;I392,"Compteur incohérent",IF(AND(ISNUMBER(L392),L392&gt;ToleranceKm),"Km non enregistrés",IF(AND(ISNUMBER(L392),L392&lt;-ToleranceKm),"Chevauchement","Conforme"))))))</f>
        <v/>
      </c>
      <c r="N392" s="49"/>
    </row>
    <row r="393" spans="2:14" ht="18" customHeight="1" x14ac:dyDescent="0.25">
      <c r="B393" s="47" t="str">
        <f>IF(C393="","",COUNT($C$7:C393))</f>
        <v/>
      </c>
      <c r="C393" s="48"/>
      <c r="D393" s="49"/>
      <c r="E393" s="49"/>
      <c r="F393" s="49"/>
      <c r="G393" s="49"/>
      <c r="H393" s="49"/>
      <c r="I393" s="50"/>
      <c r="J393" s="50"/>
      <c r="K393" s="51" t="str">
        <f t="shared" si="18"/>
        <v/>
      </c>
      <c r="L393" s="52" t="str">
        <f t="shared" si="19"/>
        <v/>
      </c>
      <c r="M393" s="53" t="str">
        <f t="shared" si="20"/>
        <v/>
      </c>
      <c r="N393" s="49"/>
    </row>
    <row r="394" spans="2:14" ht="18" customHeight="1" x14ac:dyDescent="0.25">
      <c r="B394" s="47" t="str">
        <f>IF(C394="","",COUNT($C$7:C394))</f>
        <v/>
      </c>
      <c r="C394" s="48"/>
      <c r="D394" s="49"/>
      <c r="E394" s="49"/>
      <c r="F394" s="49"/>
      <c r="G394" s="49"/>
      <c r="H394" s="49"/>
      <c r="I394" s="50"/>
      <c r="J394" s="50"/>
      <c r="K394" s="51" t="str">
        <f t="shared" si="18"/>
        <v/>
      </c>
      <c r="L394" s="52" t="str">
        <f t="shared" si="19"/>
        <v/>
      </c>
      <c r="M394" s="53" t="str">
        <f t="shared" si="20"/>
        <v/>
      </c>
      <c r="N394" s="49"/>
    </row>
    <row r="395" spans="2:14" ht="18" customHeight="1" x14ac:dyDescent="0.25">
      <c r="B395" s="47" t="str">
        <f>IF(C395="","",COUNT($C$7:C395))</f>
        <v/>
      </c>
      <c r="C395" s="48"/>
      <c r="D395" s="49"/>
      <c r="E395" s="49"/>
      <c r="F395" s="49"/>
      <c r="G395" s="49"/>
      <c r="H395" s="49"/>
      <c r="I395" s="50"/>
      <c r="J395" s="50"/>
      <c r="K395" s="51" t="str">
        <f t="shared" si="18"/>
        <v/>
      </c>
      <c r="L395" s="52" t="str">
        <f t="shared" si="19"/>
        <v/>
      </c>
      <c r="M395" s="53" t="str">
        <f t="shared" si="20"/>
        <v/>
      </c>
      <c r="N395" s="49"/>
    </row>
    <row r="396" spans="2:14" ht="18" customHeight="1" x14ac:dyDescent="0.25">
      <c r="B396" s="47" t="str">
        <f>IF(C396="","",COUNT($C$7:C396))</f>
        <v/>
      </c>
      <c r="C396" s="48"/>
      <c r="D396" s="49"/>
      <c r="E396" s="49"/>
      <c r="F396" s="49"/>
      <c r="G396" s="49"/>
      <c r="H396" s="49"/>
      <c r="I396" s="50"/>
      <c r="J396" s="50"/>
      <c r="K396" s="51" t="str">
        <f t="shared" si="18"/>
        <v/>
      </c>
      <c r="L396" s="52" t="str">
        <f t="shared" si="19"/>
        <v/>
      </c>
      <c r="M396" s="53" t="str">
        <f t="shared" si="20"/>
        <v/>
      </c>
      <c r="N396" s="49"/>
    </row>
    <row r="397" spans="2:14" ht="18" customHeight="1" x14ac:dyDescent="0.25">
      <c r="B397" s="47" t="str">
        <f>IF(C397="","",COUNT($C$7:C397))</f>
        <v/>
      </c>
      <c r="C397" s="48"/>
      <c r="D397" s="49"/>
      <c r="E397" s="49"/>
      <c r="F397" s="49"/>
      <c r="G397" s="49"/>
      <c r="H397" s="49"/>
      <c r="I397" s="50"/>
      <c r="J397" s="50"/>
      <c r="K397" s="51" t="str">
        <f t="shared" si="18"/>
        <v/>
      </c>
      <c r="L397" s="52" t="str">
        <f t="shared" si="19"/>
        <v/>
      </c>
      <c r="M397" s="53" t="str">
        <f t="shared" si="20"/>
        <v/>
      </c>
      <c r="N397" s="49"/>
    </row>
    <row r="398" spans="2:14" ht="18" customHeight="1" x14ac:dyDescent="0.25">
      <c r="B398" s="47" t="str">
        <f>IF(C398="","",COUNT($C$7:C398))</f>
        <v/>
      </c>
      <c r="C398" s="48"/>
      <c r="D398" s="49"/>
      <c r="E398" s="49"/>
      <c r="F398" s="49"/>
      <c r="G398" s="49"/>
      <c r="H398" s="49"/>
      <c r="I398" s="50"/>
      <c r="J398" s="50"/>
      <c r="K398" s="51" t="str">
        <f t="shared" si="18"/>
        <v/>
      </c>
      <c r="L398" s="52" t="str">
        <f t="shared" si="19"/>
        <v/>
      </c>
      <c r="M398" s="53" t="str">
        <f t="shared" si="20"/>
        <v/>
      </c>
      <c r="N398" s="49"/>
    </row>
    <row r="399" spans="2:14" ht="18" customHeight="1" x14ac:dyDescent="0.25">
      <c r="B399" s="47" t="str">
        <f>IF(C399="","",COUNT($C$7:C399))</f>
        <v/>
      </c>
      <c r="C399" s="48"/>
      <c r="D399" s="49"/>
      <c r="E399" s="49"/>
      <c r="F399" s="49"/>
      <c r="G399" s="49"/>
      <c r="H399" s="49"/>
      <c r="I399" s="50"/>
      <c r="J399" s="50"/>
      <c r="K399" s="51" t="str">
        <f t="shared" si="18"/>
        <v/>
      </c>
      <c r="L399" s="52" t="str">
        <f t="shared" si="19"/>
        <v/>
      </c>
      <c r="M399" s="53" t="str">
        <f t="shared" si="20"/>
        <v/>
      </c>
      <c r="N399" s="49"/>
    </row>
    <row r="400" spans="2:14" ht="18" customHeight="1" x14ac:dyDescent="0.25">
      <c r="B400" s="47" t="str">
        <f>IF(C400="","",COUNT($C$7:C400))</f>
        <v/>
      </c>
      <c r="C400" s="48"/>
      <c r="D400" s="49"/>
      <c r="E400" s="49"/>
      <c r="F400" s="49"/>
      <c r="G400" s="49"/>
      <c r="H400" s="49"/>
      <c r="I400" s="50"/>
      <c r="J400" s="50"/>
      <c r="K400" s="51" t="str">
        <f t="shared" si="18"/>
        <v/>
      </c>
      <c r="L400" s="52" t="str">
        <f t="shared" si="19"/>
        <v/>
      </c>
      <c r="M400" s="53" t="str">
        <f t="shared" si="20"/>
        <v/>
      </c>
      <c r="N400" s="49"/>
    </row>
    <row r="401" spans="2:14" ht="18" customHeight="1" x14ac:dyDescent="0.25">
      <c r="B401" s="47" t="str">
        <f>IF(C401="","",COUNT($C$7:C401))</f>
        <v/>
      </c>
      <c r="C401" s="48"/>
      <c r="D401" s="49"/>
      <c r="E401" s="49"/>
      <c r="F401" s="49"/>
      <c r="G401" s="49"/>
      <c r="H401" s="49"/>
      <c r="I401" s="50"/>
      <c r="J401" s="50"/>
      <c r="K401" s="51" t="str">
        <f t="shared" si="18"/>
        <v/>
      </c>
      <c r="L401" s="52" t="str">
        <f t="shared" si="19"/>
        <v/>
      </c>
      <c r="M401" s="53" t="str">
        <f t="shared" si="20"/>
        <v/>
      </c>
      <c r="N401" s="49"/>
    </row>
    <row r="402" spans="2:14" ht="18" customHeight="1" x14ac:dyDescent="0.25">
      <c r="B402" s="47" t="str">
        <f>IF(C402="","",COUNT($C$7:C402))</f>
        <v/>
      </c>
      <c r="C402" s="48"/>
      <c r="D402" s="49"/>
      <c r="E402" s="49"/>
      <c r="F402" s="49"/>
      <c r="G402" s="49"/>
      <c r="H402" s="49"/>
      <c r="I402" s="50"/>
      <c r="J402" s="50"/>
      <c r="K402" s="51" t="str">
        <f t="shared" si="18"/>
        <v/>
      </c>
      <c r="L402" s="52" t="str">
        <f t="shared" si="19"/>
        <v/>
      </c>
      <c r="M402" s="53" t="str">
        <f t="shared" si="20"/>
        <v/>
      </c>
      <c r="N402" s="49"/>
    </row>
    <row r="403" spans="2:14" ht="18" customHeight="1" x14ac:dyDescent="0.25">
      <c r="B403" s="47" t="str">
        <f>IF(C403="","",COUNT($C$7:C403))</f>
        <v/>
      </c>
      <c r="C403" s="48"/>
      <c r="D403" s="49"/>
      <c r="E403" s="49"/>
      <c r="F403" s="49"/>
      <c r="G403" s="49"/>
      <c r="H403" s="49"/>
      <c r="I403" s="50"/>
      <c r="J403" s="50"/>
      <c r="K403" s="51" t="str">
        <f t="shared" si="18"/>
        <v/>
      </c>
      <c r="L403" s="52" t="str">
        <f t="shared" si="19"/>
        <v/>
      </c>
      <c r="M403" s="53" t="str">
        <f t="shared" si="20"/>
        <v/>
      </c>
      <c r="N403" s="49"/>
    </row>
    <row r="404" spans="2:14" ht="18" customHeight="1" x14ac:dyDescent="0.25">
      <c r="B404" s="47" t="str">
        <f>IF(C404="","",COUNT($C$7:C404))</f>
        <v/>
      </c>
      <c r="C404" s="48"/>
      <c r="D404" s="49"/>
      <c r="E404" s="49"/>
      <c r="F404" s="49"/>
      <c r="G404" s="49"/>
      <c r="H404" s="49"/>
      <c r="I404" s="50"/>
      <c r="J404" s="50"/>
      <c r="K404" s="51" t="str">
        <f t="shared" si="18"/>
        <v/>
      </c>
      <c r="L404" s="52" t="str">
        <f t="shared" si="19"/>
        <v/>
      </c>
      <c r="M404" s="53" t="str">
        <f t="shared" si="20"/>
        <v/>
      </c>
      <c r="N404" s="49"/>
    </row>
    <row r="405" spans="2:14" ht="18" customHeight="1" x14ac:dyDescent="0.25">
      <c r="B405" s="47" t="str">
        <f>IF(C405="","",COUNT($C$7:C405))</f>
        <v/>
      </c>
      <c r="C405" s="48"/>
      <c r="D405" s="49"/>
      <c r="E405" s="49"/>
      <c r="F405" s="49"/>
      <c r="G405" s="49"/>
      <c r="H405" s="49"/>
      <c r="I405" s="50"/>
      <c r="J405" s="50"/>
      <c r="K405" s="51" t="str">
        <f t="shared" si="18"/>
        <v/>
      </c>
      <c r="L405" s="52" t="str">
        <f t="shared" si="19"/>
        <v/>
      </c>
      <c r="M405" s="53" t="str">
        <f t="shared" si="20"/>
        <v/>
      </c>
      <c r="N405" s="49"/>
    </row>
    <row r="406" spans="2:14" ht="18" customHeight="1" x14ac:dyDescent="0.25">
      <c r="B406" s="47" t="str">
        <f>IF(C406="","",COUNT($C$7:C406))</f>
        <v/>
      </c>
      <c r="C406" s="48"/>
      <c r="D406" s="49"/>
      <c r="E406" s="49"/>
      <c r="F406" s="49"/>
      <c r="G406" s="49"/>
      <c r="H406" s="49"/>
      <c r="I406" s="50"/>
      <c r="J406" s="50"/>
      <c r="K406" s="51" t="str">
        <f t="shared" si="18"/>
        <v/>
      </c>
      <c r="L406" s="52" t="str">
        <f t="shared" si="19"/>
        <v/>
      </c>
      <c r="M406" s="53" t="str">
        <f t="shared" si="20"/>
        <v/>
      </c>
      <c r="N406" s="49"/>
    </row>
    <row r="407" spans="2:14" ht="18" customHeight="1" x14ac:dyDescent="0.25">
      <c r="B407" s="47" t="str">
        <f>IF(C407="","",COUNT($C$7:C407))</f>
        <v/>
      </c>
      <c r="C407" s="48"/>
      <c r="D407" s="49"/>
      <c r="E407" s="49"/>
      <c r="F407" s="49"/>
      <c r="G407" s="49"/>
      <c r="H407" s="49"/>
      <c r="I407" s="50"/>
      <c r="J407" s="50"/>
      <c r="K407" s="51" t="str">
        <f t="shared" si="18"/>
        <v/>
      </c>
      <c r="L407" s="52" t="str">
        <f t="shared" si="19"/>
        <v/>
      </c>
      <c r="M407" s="53" t="str">
        <f t="shared" si="20"/>
        <v/>
      </c>
      <c r="N407" s="49"/>
    </row>
    <row r="408" spans="2:14" ht="18" customHeight="1" x14ac:dyDescent="0.25">
      <c r="B408" s="47" t="str">
        <f>IF(C408="","",COUNT($C$7:C408))</f>
        <v/>
      </c>
      <c r="C408" s="48"/>
      <c r="D408" s="49"/>
      <c r="E408" s="49"/>
      <c r="F408" s="49"/>
      <c r="G408" s="49"/>
      <c r="H408" s="49"/>
      <c r="I408" s="50"/>
      <c r="J408" s="50"/>
      <c r="K408" s="51" t="str">
        <f t="shared" si="18"/>
        <v/>
      </c>
      <c r="L408" s="52" t="str">
        <f t="shared" si="19"/>
        <v/>
      </c>
      <c r="M408" s="53" t="str">
        <f t="shared" si="20"/>
        <v/>
      </c>
      <c r="N408" s="49"/>
    </row>
    <row r="409" spans="2:14" ht="18" customHeight="1" x14ac:dyDescent="0.25">
      <c r="B409" s="47" t="str">
        <f>IF(C409="","",COUNT($C$7:C409))</f>
        <v/>
      </c>
      <c r="C409" s="48"/>
      <c r="D409" s="49"/>
      <c r="E409" s="49"/>
      <c r="F409" s="49"/>
      <c r="G409" s="49"/>
      <c r="H409" s="49"/>
      <c r="I409" s="50"/>
      <c r="J409" s="50"/>
      <c r="K409" s="51" t="str">
        <f t="shared" si="18"/>
        <v/>
      </c>
      <c r="L409" s="52" t="str">
        <f t="shared" si="19"/>
        <v/>
      </c>
      <c r="M409" s="53" t="str">
        <f t="shared" si="20"/>
        <v/>
      </c>
      <c r="N409" s="49"/>
    </row>
    <row r="410" spans="2:14" ht="18" customHeight="1" x14ac:dyDescent="0.25">
      <c r="B410" s="47" t="str">
        <f>IF(C410="","",COUNT($C$7:C410))</f>
        <v/>
      </c>
      <c r="C410" s="48"/>
      <c r="D410" s="49"/>
      <c r="E410" s="49"/>
      <c r="F410" s="49"/>
      <c r="G410" s="49"/>
      <c r="H410" s="49"/>
      <c r="I410" s="50"/>
      <c r="J410" s="50"/>
      <c r="K410" s="51" t="str">
        <f t="shared" si="18"/>
        <v/>
      </c>
      <c r="L410" s="52" t="str">
        <f t="shared" si="19"/>
        <v/>
      </c>
      <c r="M410" s="53" t="str">
        <f t="shared" si="20"/>
        <v/>
      </c>
      <c r="N410" s="49"/>
    </row>
    <row r="411" spans="2:14" ht="18" customHeight="1" x14ac:dyDescent="0.25">
      <c r="B411" s="47" t="str">
        <f>IF(C411="","",COUNT($C$7:C411))</f>
        <v/>
      </c>
      <c r="C411" s="48"/>
      <c r="D411" s="49"/>
      <c r="E411" s="49"/>
      <c r="F411" s="49"/>
      <c r="G411" s="49"/>
      <c r="H411" s="49"/>
      <c r="I411" s="50"/>
      <c r="J411" s="50"/>
      <c r="K411" s="51" t="str">
        <f t="shared" si="18"/>
        <v/>
      </c>
      <c r="L411" s="52" t="str">
        <f t="shared" si="19"/>
        <v/>
      </c>
      <c r="M411" s="53" t="str">
        <f t="shared" si="20"/>
        <v/>
      </c>
      <c r="N411" s="49"/>
    </row>
    <row r="412" spans="2:14" ht="18" customHeight="1" x14ac:dyDescent="0.25">
      <c r="B412" s="47" t="str">
        <f>IF(C412="","",COUNT($C$7:C412))</f>
        <v/>
      </c>
      <c r="C412" s="48"/>
      <c r="D412" s="49"/>
      <c r="E412" s="49"/>
      <c r="F412" s="49"/>
      <c r="G412" s="49"/>
      <c r="H412" s="49"/>
      <c r="I412" s="50"/>
      <c r="J412" s="50"/>
      <c r="K412" s="51" t="str">
        <f t="shared" si="18"/>
        <v/>
      </c>
      <c r="L412" s="52" t="str">
        <f t="shared" si="19"/>
        <v/>
      </c>
      <c r="M412" s="53" t="str">
        <f t="shared" si="20"/>
        <v/>
      </c>
      <c r="N412" s="49"/>
    </row>
    <row r="413" spans="2:14" ht="18" customHeight="1" x14ac:dyDescent="0.25">
      <c r="B413" s="47" t="str">
        <f>IF(C413="","",COUNT($C$7:C413))</f>
        <v/>
      </c>
      <c r="C413" s="48"/>
      <c r="D413" s="49"/>
      <c r="E413" s="49"/>
      <c r="F413" s="49"/>
      <c r="G413" s="49"/>
      <c r="H413" s="49"/>
      <c r="I413" s="50"/>
      <c r="J413" s="50"/>
      <c r="K413" s="51" t="str">
        <f t="shared" si="18"/>
        <v/>
      </c>
      <c r="L413" s="52" t="str">
        <f t="shared" si="19"/>
        <v/>
      </c>
      <c r="M413" s="53" t="str">
        <f t="shared" si="20"/>
        <v/>
      </c>
      <c r="N413" s="49"/>
    </row>
    <row r="414" spans="2:14" ht="18" customHeight="1" x14ac:dyDescent="0.25">
      <c r="B414" s="47" t="str">
        <f>IF(C414="","",COUNT($C$7:C414))</f>
        <v/>
      </c>
      <c r="C414" s="48"/>
      <c r="D414" s="49"/>
      <c r="E414" s="49"/>
      <c r="F414" s="49"/>
      <c r="G414" s="49"/>
      <c r="H414" s="49"/>
      <c r="I414" s="50"/>
      <c r="J414" s="50"/>
      <c r="K414" s="51" t="str">
        <f t="shared" si="18"/>
        <v/>
      </c>
      <c r="L414" s="52" t="str">
        <f t="shared" si="19"/>
        <v/>
      </c>
      <c r="M414" s="53" t="str">
        <f t="shared" si="20"/>
        <v/>
      </c>
      <c r="N414" s="49"/>
    </row>
    <row r="415" spans="2:14" ht="18" customHeight="1" x14ac:dyDescent="0.25">
      <c r="B415" s="47" t="str">
        <f>IF(C415="","",COUNT($C$7:C415))</f>
        <v/>
      </c>
      <c r="C415" s="48"/>
      <c r="D415" s="49"/>
      <c r="E415" s="49"/>
      <c r="F415" s="49"/>
      <c r="G415" s="49"/>
      <c r="H415" s="49"/>
      <c r="I415" s="50"/>
      <c r="J415" s="50"/>
      <c r="K415" s="51" t="str">
        <f t="shared" si="18"/>
        <v/>
      </c>
      <c r="L415" s="52" t="str">
        <f t="shared" si="19"/>
        <v/>
      </c>
      <c r="M415" s="53" t="str">
        <f t="shared" si="20"/>
        <v/>
      </c>
      <c r="N415" s="49"/>
    </row>
    <row r="416" spans="2:14" ht="18" customHeight="1" x14ac:dyDescent="0.25">
      <c r="B416" s="47" t="str">
        <f>IF(C416="","",COUNT($C$7:C416))</f>
        <v/>
      </c>
      <c r="C416" s="48"/>
      <c r="D416" s="49"/>
      <c r="E416" s="49"/>
      <c r="F416" s="49"/>
      <c r="G416" s="49"/>
      <c r="H416" s="49"/>
      <c r="I416" s="50"/>
      <c r="J416" s="50"/>
      <c r="K416" s="51" t="str">
        <f t="shared" si="18"/>
        <v/>
      </c>
      <c r="L416" s="52" t="str">
        <f t="shared" si="19"/>
        <v/>
      </c>
      <c r="M416" s="53" t="str">
        <f t="shared" si="20"/>
        <v/>
      </c>
      <c r="N416" s="49"/>
    </row>
    <row r="417" spans="2:14" ht="18" customHeight="1" x14ac:dyDescent="0.25">
      <c r="B417" s="47" t="str">
        <f>IF(C417="","",COUNT($C$7:C417))</f>
        <v/>
      </c>
      <c r="C417" s="48"/>
      <c r="D417" s="49"/>
      <c r="E417" s="49"/>
      <c r="F417" s="49"/>
      <c r="G417" s="49"/>
      <c r="H417" s="49"/>
      <c r="I417" s="50"/>
      <c r="J417" s="50"/>
      <c r="K417" s="51" t="str">
        <f t="shared" si="18"/>
        <v/>
      </c>
      <c r="L417" s="52" t="str">
        <f t="shared" si="19"/>
        <v/>
      </c>
      <c r="M417" s="53" t="str">
        <f t="shared" si="20"/>
        <v/>
      </c>
      <c r="N417" s="49"/>
    </row>
    <row r="418" spans="2:14" ht="18" customHeight="1" x14ac:dyDescent="0.25">
      <c r="B418" s="47" t="str">
        <f>IF(C418="","",COUNT($C$7:C418))</f>
        <v/>
      </c>
      <c r="C418" s="48"/>
      <c r="D418" s="49"/>
      <c r="E418" s="49"/>
      <c r="F418" s="49"/>
      <c r="G418" s="49"/>
      <c r="H418" s="49"/>
      <c r="I418" s="50"/>
      <c r="J418" s="50"/>
      <c r="K418" s="51" t="str">
        <f t="shared" si="18"/>
        <v/>
      </c>
      <c r="L418" s="52" t="str">
        <f t="shared" si="19"/>
        <v/>
      </c>
      <c r="M418" s="53" t="str">
        <f t="shared" si="20"/>
        <v/>
      </c>
      <c r="N418" s="49"/>
    </row>
    <row r="419" spans="2:14" ht="18" customHeight="1" x14ac:dyDescent="0.25">
      <c r="B419" s="47" t="str">
        <f>IF(C419="","",COUNT($C$7:C419))</f>
        <v/>
      </c>
      <c r="C419" s="48"/>
      <c r="D419" s="49"/>
      <c r="E419" s="49"/>
      <c r="F419" s="49"/>
      <c r="G419" s="49"/>
      <c r="H419" s="49"/>
      <c r="I419" s="50"/>
      <c r="J419" s="50"/>
      <c r="K419" s="51" t="str">
        <f t="shared" si="18"/>
        <v/>
      </c>
      <c r="L419" s="52" t="str">
        <f t="shared" si="19"/>
        <v/>
      </c>
      <c r="M419" s="53" t="str">
        <f t="shared" si="20"/>
        <v/>
      </c>
      <c r="N419" s="49"/>
    </row>
    <row r="420" spans="2:14" ht="18" customHeight="1" x14ac:dyDescent="0.25">
      <c r="B420" s="47" t="str">
        <f>IF(C420="","",COUNT($C$7:C420))</f>
        <v/>
      </c>
      <c r="C420" s="48"/>
      <c r="D420" s="49"/>
      <c r="E420" s="49"/>
      <c r="F420" s="49"/>
      <c r="G420" s="49"/>
      <c r="H420" s="49"/>
      <c r="I420" s="50"/>
      <c r="J420" s="50"/>
      <c r="K420" s="51" t="str">
        <f t="shared" si="18"/>
        <v/>
      </c>
      <c r="L420" s="52" t="str">
        <f t="shared" si="19"/>
        <v/>
      </c>
      <c r="M420" s="53" t="str">
        <f t="shared" si="20"/>
        <v/>
      </c>
      <c r="N420" s="49"/>
    </row>
    <row r="421" spans="2:14" ht="18" customHeight="1" x14ac:dyDescent="0.25">
      <c r="B421" s="47" t="str">
        <f>IF(C421="","",COUNT($C$7:C421))</f>
        <v/>
      </c>
      <c r="C421" s="48"/>
      <c r="D421" s="49"/>
      <c r="E421" s="49"/>
      <c r="F421" s="49"/>
      <c r="G421" s="49"/>
      <c r="H421" s="49"/>
      <c r="I421" s="50"/>
      <c r="J421" s="50"/>
      <c r="K421" s="51" t="str">
        <f t="shared" si="18"/>
        <v/>
      </c>
      <c r="L421" s="52" t="str">
        <f t="shared" si="19"/>
        <v/>
      </c>
      <c r="M421" s="53" t="str">
        <f t="shared" si="20"/>
        <v/>
      </c>
      <c r="N421" s="49"/>
    </row>
    <row r="422" spans="2:14" ht="18" customHeight="1" x14ac:dyDescent="0.25">
      <c r="B422" s="47" t="str">
        <f>IF(C422="","",COUNT($C$7:C422))</f>
        <v/>
      </c>
      <c r="C422" s="48"/>
      <c r="D422" s="49"/>
      <c r="E422" s="49"/>
      <c r="F422" s="49"/>
      <c r="G422" s="49"/>
      <c r="H422" s="49"/>
      <c r="I422" s="50"/>
      <c r="J422" s="50"/>
      <c r="K422" s="51" t="str">
        <f t="shared" si="18"/>
        <v/>
      </c>
      <c r="L422" s="52" t="str">
        <f t="shared" si="19"/>
        <v/>
      </c>
      <c r="M422" s="53" t="str">
        <f t="shared" si="20"/>
        <v/>
      </c>
      <c r="N422" s="49"/>
    </row>
    <row r="423" spans="2:14" ht="18" customHeight="1" x14ac:dyDescent="0.25">
      <c r="B423" s="47" t="str">
        <f>IF(C423="","",COUNT($C$7:C423))</f>
        <v/>
      </c>
      <c r="C423" s="48"/>
      <c r="D423" s="49"/>
      <c r="E423" s="49"/>
      <c r="F423" s="49"/>
      <c r="G423" s="49"/>
      <c r="H423" s="49"/>
      <c r="I423" s="50"/>
      <c r="J423" s="50"/>
      <c r="K423" s="51" t="str">
        <f t="shared" si="18"/>
        <v/>
      </c>
      <c r="L423" s="52" t="str">
        <f t="shared" si="19"/>
        <v/>
      </c>
      <c r="M423" s="53" t="str">
        <f t="shared" si="20"/>
        <v/>
      </c>
      <c r="N423" s="49"/>
    </row>
    <row r="424" spans="2:14" ht="18" customHeight="1" x14ac:dyDescent="0.25">
      <c r="B424" s="47" t="str">
        <f>IF(C424="","",COUNT($C$7:C424))</f>
        <v/>
      </c>
      <c r="C424" s="48"/>
      <c r="D424" s="49"/>
      <c r="E424" s="49"/>
      <c r="F424" s="49"/>
      <c r="G424" s="49"/>
      <c r="H424" s="49"/>
      <c r="I424" s="50"/>
      <c r="J424" s="50"/>
      <c r="K424" s="51" t="str">
        <f t="shared" si="18"/>
        <v/>
      </c>
      <c r="L424" s="52" t="str">
        <f t="shared" si="19"/>
        <v/>
      </c>
      <c r="M424" s="53" t="str">
        <f t="shared" si="20"/>
        <v/>
      </c>
      <c r="N424" s="49"/>
    </row>
    <row r="425" spans="2:14" ht="18" customHeight="1" x14ac:dyDescent="0.25">
      <c r="B425" s="47" t="str">
        <f>IF(C425="","",COUNT($C$7:C425))</f>
        <v/>
      </c>
      <c r="C425" s="48"/>
      <c r="D425" s="49"/>
      <c r="E425" s="49"/>
      <c r="F425" s="49"/>
      <c r="G425" s="49"/>
      <c r="H425" s="49"/>
      <c r="I425" s="50"/>
      <c r="J425" s="50"/>
      <c r="K425" s="51" t="str">
        <f t="shared" si="18"/>
        <v/>
      </c>
      <c r="L425" s="52" t="str">
        <f t="shared" si="19"/>
        <v/>
      </c>
      <c r="M425" s="53" t="str">
        <f t="shared" si="20"/>
        <v/>
      </c>
      <c r="N425" s="49"/>
    </row>
    <row r="426" spans="2:14" ht="18" customHeight="1" x14ac:dyDescent="0.25">
      <c r="B426" s="47" t="str">
        <f>IF(C426="","",COUNT($C$7:C426))</f>
        <v/>
      </c>
      <c r="C426" s="48"/>
      <c r="D426" s="49"/>
      <c r="E426" s="49"/>
      <c r="F426" s="49"/>
      <c r="G426" s="49"/>
      <c r="H426" s="49"/>
      <c r="I426" s="50"/>
      <c r="J426" s="50"/>
      <c r="K426" s="51" t="str">
        <f t="shared" si="18"/>
        <v/>
      </c>
      <c r="L426" s="52" t="str">
        <f t="shared" si="19"/>
        <v/>
      </c>
      <c r="M426" s="53" t="str">
        <f t="shared" si="20"/>
        <v/>
      </c>
      <c r="N426" s="49"/>
    </row>
    <row r="427" spans="2:14" ht="18" customHeight="1" x14ac:dyDescent="0.25">
      <c r="B427" s="47" t="str">
        <f>IF(C427="","",COUNT($C$7:C427))</f>
        <v/>
      </c>
      <c r="C427" s="48"/>
      <c r="D427" s="49"/>
      <c r="E427" s="49"/>
      <c r="F427" s="49"/>
      <c r="G427" s="49"/>
      <c r="H427" s="49"/>
      <c r="I427" s="50"/>
      <c r="J427" s="50"/>
      <c r="K427" s="51" t="str">
        <f t="shared" si="18"/>
        <v/>
      </c>
      <c r="L427" s="52" t="str">
        <f t="shared" si="19"/>
        <v/>
      </c>
      <c r="M427" s="53" t="str">
        <f t="shared" si="20"/>
        <v/>
      </c>
      <c r="N427" s="49"/>
    </row>
    <row r="428" spans="2:14" ht="18" customHeight="1" x14ac:dyDescent="0.25">
      <c r="B428" s="47" t="str">
        <f>IF(C428="","",COUNT($C$7:C428))</f>
        <v/>
      </c>
      <c r="C428" s="48"/>
      <c r="D428" s="49"/>
      <c r="E428" s="49"/>
      <c r="F428" s="49"/>
      <c r="G428" s="49"/>
      <c r="H428" s="49"/>
      <c r="I428" s="50"/>
      <c r="J428" s="50"/>
      <c r="K428" s="51" t="str">
        <f t="shared" si="18"/>
        <v/>
      </c>
      <c r="L428" s="52" t="str">
        <f t="shared" si="19"/>
        <v/>
      </c>
      <c r="M428" s="53" t="str">
        <f t="shared" si="20"/>
        <v/>
      </c>
      <c r="N428" s="49"/>
    </row>
    <row r="429" spans="2:14" ht="18" customHeight="1" x14ac:dyDescent="0.25">
      <c r="B429" s="47" t="str">
        <f>IF(C429="","",COUNT($C$7:C429))</f>
        <v/>
      </c>
      <c r="C429" s="48"/>
      <c r="D429" s="49"/>
      <c r="E429" s="49"/>
      <c r="F429" s="49"/>
      <c r="G429" s="49"/>
      <c r="H429" s="49"/>
      <c r="I429" s="50"/>
      <c r="J429" s="50"/>
      <c r="K429" s="51" t="str">
        <f t="shared" si="18"/>
        <v/>
      </c>
      <c r="L429" s="52" t="str">
        <f t="shared" si="19"/>
        <v/>
      </c>
      <c r="M429" s="53" t="str">
        <f t="shared" si="20"/>
        <v/>
      </c>
      <c r="N429" s="49"/>
    </row>
    <row r="430" spans="2:14" ht="18" customHeight="1" x14ac:dyDescent="0.25">
      <c r="B430" s="47" t="str">
        <f>IF(C430="","",COUNT($C$7:C430))</f>
        <v/>
      </c>
      <c r="C430" s="48"/>
      <c r="D430" s="49"/>
      <c r="E430" s="49"/>
      <c r="F430" s="49"/>
      <c r="G430" s="49"/>
      <c r="H430" s="49"/>
      <c r="I430" s="50"/>
      <c r="J430" s="50"/>
      <c r="K430" s="51" t="str">
        <f t="shared" si="18"/>
        <v/>
      </c>
      <c r="L430" s="52" t="str">
        <f t="shared" si="19"/>
        <v/>
      </c>
      <c r="M430" s="53" t="str">
        <f t="shared" si="20"/>
        <v/>
      </c>
      <c r="N430" s="49"/>
    </row>
    <row r="431" spans="2:14" ht="18" customHeight="1" x14ac:dyDescent="0.25">
      <c r="B431" s="47" t="str">
        <f>IF(C431="","",COUNT($C$7:C431))</f>
        <v/>
      </c>
      <c r="C431" s="48"/>
      <c r="D431" s="49"/>
      <c r="E431" s="49"/>
      <c r="F431" s="49"/>
      <c r="G431" s="49"/>
      <c r="H431" s="49"/>
      <c r="I431" s="50"/>
      <c r="J431" s="50"/>
      <c r="K431" s="51" t="str">
        <f t="shared" si="18"/>
        <v/>
      </c>
      <c r="L431" s="52" t="str">
        <f t="shared" si="19"/>
        <v/>
      </c>
      <c r="M431" s="53" t="str">
        <f t="shared" si="20"/>
        <v/>
      </c>
      <c r="N431" s="49"/>
    </row>
    <row r="432" spans="2:14" ht="18" customHeight="1" x14ac:dyDescent="0.25">
      <c r="B432" s="47" t="str">
        <f>IF(C432="","",COUNT($C$7:C432))</f>
        <v/>
      </c>
      <c r="C432" s="48"/>
      <c r="D432" s="49"/>
      <c r="E432" s="49"/>
      <c r="F432" s="49"/>
      <c r="G432" s="49"/>
      <c r="H432" s="49"/>
      <c r="I432" s="50"/>
      <c r="J432" s="50"/>
      <c r="K432" s="51" t="str">
        <f t="shared" si="18"/>
        <v/>
      </c>
      <c r="L432" s="52" t="str">
        <f t="shared" si="19"/>
        <v/>
      </c>
      <c r="M432" s="53" t="str">
        <f t="shared" si="20"/>
        <v/>
      </c>
      <c r="N432" s="49"/>
    </row>
    <row r="433" spans="2:14" ht="18" customHeight="1" x14ac:dyDescent="0.25">
      <c r="B433" s="47" t="str">
        <f>IF(C433="","",COUNT($C$7:C433))</f>
        <v/>
      </c>
      <c r="C433" s="48"/>
      <c r="D433" s="49"/>
      <c r="E433" s="49"/>
      <c r="F433" s="49"/>
      <c r="G433" s="49"/>
      <c r="H433" s="49"/>
      <c r="I433" s="50"/>
      <c r="J433" s="50"/>
      <c r="K433" s="51" t="str">
        <f t="shared" si="18"/>
        <v/>
      </c>
      <c r="L433" s="52" t="str">
        <f t="shared" si="19"/>
        <v/>
      </c>
      <c r="M433" s="53" t="str">
        <f t="shared" si="20"/>
        <v/>
      </c>
      <c r="N433" s="49"/>
    </row>
    <row r="434" spans="2:14" ht="18" customHeight="1" x14ac:dyDescent="0.25">
      <c r="B434" s="47" t="str">
        <f>IF(C434="","",COUNT($C$7:C434))</f>
        <v/>
      </c>
      <c r="C434" s="48"/>
      <c r="D434" s="49"/>
      <c r="E434" s="49"/>
      <c r="F434" s="49"/>
      <c r="G434" s="49"/>
      <c r="H434" s="49"/>
      <c r="I434" s="50"/>
      <c r="J434" s="50"/>
      <c r="K434" s="51" t="str">
        <f t="shared" si="18"/>
        <v/>
      </c>
      <c r="L434" s="52" t="str">
        <f t="shared" si="19"/>
        <v/>
      </c>
      <c r="M434" s="53" t="str">
        <f t="shared" si="20"/>
        <v/>
      </c>
      <c r="N434" s="49"/>
    </row>
    <row r="435" spans="2:14" ht="18" customHeight="1" x14ac:dyDescent="0.25">
      <c r="B435" s="47" t="str">
        <f>IF(C435="","",COUNT($C$7:C435))</f>
        <v/>
      </c>
      <c r="C435" s="48"/>
      <c r="D435" s="49"/>
      <c r="E435" s="49"/>
      <c r="F435" s="49"/>
      <c r="G435" s="49"/>
      <c r="H435" s="49"/>
      <c r="I435" s="50"/>
      <c r="J435" s="50"/>
      <c r="K435" s="51" t="str">
        <f t="shared" si="18"/>
        <v/>
      </c>
      <c r="L435" s="52" t="str">
        <f t="shared" si="19"/>
        <v/>
      </c>
      <c r="M435" s="53" t="str">
        <f t="shared" si="20"/>
        <v/>
      </c>
      <c r="N435" s="49"/>
    </row>
    <row r="436" spans="2:14" ht="18" customHeight="1" x14ac:dyDescent="0.25">
      <c r="B436" s="47" t="str">
        <f>IF(C436="","",COUNT($C$7:C436))</f>
        <v/>
      </c>
      <c r="C436" s="48"/>
      <c r="D436" s="49"/>
      <c r="E436" s="49"/>
      <c r="F436" s="49"/>
      <c r="G436" s="49"/>
      <c r="H436" s="49"/>
      <c r="I436" s="50"/>
      <c r="J436" s="50"/>
      <c r="K436" s="51" t="str">
        <f t="shared" si="18"/>
        <v/>
      </c>
      <c r="L436" s="52" t="str">
        <f t="shared" si="19"/>
        <v/>
      </c>
      <c r="M436" s="53" t="str">
        <f t="shared" si="20"/>
        <v/>
      </c>
      <c r="N436" s="49"/>
    </row>
    <row r="437" spans="2:14" ht="18" customHeight="1" x14ac:dyDescent="0.25">
      <c r="B437" s="47" t="str">
        <f>IF(C437="","",COUNT($C$7:C437))</f>
        <v/>
      </c>
      <c r="C437" s="48"/>
      <c r="D437" s="49"/>
      <c r="E437" s="49"/>
      <c r="F437" s="49"/>
      <c r="G437" s="49"/>
      <c r="H437" s="49"/>
      <c r="I437" s="50"/>
      <c r="J437" s="50"/>
      <c r="K437" s="51" t="str">
        <f t="shared" si="18"/>
        <v/>
      </c>
      <c r="L437" s="52" t="str">
        <f t="shared" si="19"/>
        <v/>
      </c>
      <c r="M437" s="53" t="str">
        <f t="shared" si="20"/>
        <v/>
      </c>
      <c r="N437" s="49"/>
    </row>
    <row r="438" spans="2:14" ht="18" customHeight="1" x14ac:dyDescent="0.25">
      <c r="B438" s="47" t="str">
        <f>IF(C438="","",COUNT($C$7:C438))</f>
        <v/>
      </c>
      <c r="C438" s="48"/>
      <c r="D438" s="49"/>
      <c r="E438" s="49"/>
      <c r="F438" s="49"/>
      <c r="G438" s="49"/>
      <c r="H438" s="49"/>
      <c r="I438" s="50"/>
      <c r="J438" s="50"/>
      <c r="K438" s="51" t="str">
        <f t="shared" si="18"/>
        <v/>
      </c>
      <c r="L438" s="52" t="str">
        <f t="shared" si="19"/>
        <v/>
      </c>
      <c r="M438" s="53" t="str">
        <f t="shared" si="20"/>
        <v/>
      </c>
      <c r="N438" s="49"/>
    </row>
    <row r="439" spans="2:14" ht="18" customHeight="1" x14ac:dyDescent="0.25">
      <c r="B439" s="47" t="str">
        <f>IF(C439="","",COUNT($C$7:C439))</f>
        <v/>
      </c>
      <c r="C439" s="48"/>
      <c r="D439" s="49"/>
      <c r="E439" s="49"/>
      <c r="F439" s="49"/>
      <c r="G439" s="49"/>
      <c r="H439" s="49"/>
      <c r="I439" s="50"/>
      <c r="J439" s="50"/>
      <c r="K439" s="51" t="str">
        <f t="shared" si="18"/>
        <v/>
      </c>
      <c r="L439" s="52" t="str">
        <f t="shared" si="19"/>
        <v/>
      </c>
      <c r="M439" s="53" t="str">
        <f t="shared" si="20"/>
        <v/>
      </c>
      <c r="N439" s="49"/>
    </row>
    <row r="440" spans="2:14" ht="18" customHeight="1" x14ac:dyDescent="0.25">
      <c r="B440" s="47" t="str">
        <f>IF(C440="","",COUNT($C$7:C440))</f>
        <v/>
      </c>
      <c r="C440" s="48"/>
      <c r="D440" s="49"/>
      <c r="E440" s="49"/>
      <c r="F440" s="49"/>
      <c r="G440" s="49"/>
      <c r="H440" s="49"/>
      <c r="I440" s="50"/>
      <c r="J440" s="50"/>
      <c r="K440" s="51" t="str">
        <f t="shared" si="18"/>
        <v/>
      </c>
      <c r="L440" s="52" t="str">
        <f t="shared" si="19"/>
        <v/>
      </c>
      <c r="M440" s="53" t="str">
        <f t="shared" si="20"/>
        <v/>
      </c>
      <c r="N440" s="49"/>
    </row>
    <row r="441" spans="2:14" ht="18" customHeight="1" x14ac:dyDescent="0.25">
      <c r="B441" s="47" t="str">
        <f>IF(C441="","",COUNT($C$7:C441))</f>
        <v/>
      </c>
      <c r="C441" s="48"/>
      <c r="D441" s="49"/>
      <c r="E441" s="49"/>
      <c r="F441" s="49"/>
      <c r="G441" s="49"/>
      <c r="H441" s="49"/>
      <c r="I441" s="50"/>
      <c r="J441" s="50"/>
      <c r="K441" s="51" t="str">
        <f t="shared" si="18"/>
        <v/>
      </c>
      <c r="L441" s="52" t="str">
        <f t="shared" si="19"/>
        <v/>
      </c>
      <c r="M441" s="53" t="str">
        <f t="shared" si="20"/>
        <v/>
      </c>
      <c r="N441" s="49"/>
    </row>
    <row r="442" spans="2:14" ht="18" customHeight="1" x14ac:dyDescent="0.25">
      <c r="B442" s="47" t="str">
        <f>IF(C442="","",COUNT($C$7:C442))</f>
        <v/>
      </c>
      <c r="C442" s="48"/>
      <c r="D442" s="49"/>
      <c r="E442" s="49"/>
      <c r="F442" s="49"/>
      <c r="G442" s="49"/>
      <c r="H442" s="49"/>
      <c r="I442" s="50"/>
      <c r="J442" s="50"/>
      <c r="K442" s="51" t="str">
        <f t="shared" si="18"/>
        <v/>
      </c>
      <c r="L442" s="52" t="str">
        <f t="shared" si="19"/>
        <v/>
      </c>
      <c r="M442" s="53" t="str">
        <f t="shared" si="20"/>
        <v/>
      </c>
      <c r="N442" s="49"/>
    </row>
    <row r="443" spans="2:14" ht="18" customHeight="1" x14ac:dyDescent="0.25">
      <c r="B443" s="47" t="str">
        <f>IF(C443="","",COUNT($C$7:C443))</f>
        <v/>
      </c>
      <c r="C443" s="48"/>
      <c r="D443" s="49"/>
      <c r="E443" s="49"/>
      <c r="F443" s="49"/>
      <c r="G443" s="49"/>
      <c r="H443" s="49"/>
      <c r="I443" s="50"/>
      <c r="J443" s="50"/>
      <c r="K443" s="51" t="str">
        <f t="shared" si="18"/>
        <v/>
      </c>
      <c r="L443" s="52" t="str">
        <f t="shared" si="19"/>
        <v/>
      </c>
      <c r="M443" s="53" t="str">
        <f t="shared" si="20"/>
        <v/>
      </c>
      <c r="N443" s="49"/>
    </row>
    <row r="444" spans="2:14" ht="18" customHeight="1" x14ac:dyDescent="0.25">
      <c r="B444" s="47" t="str">
        <f>IF(C444="","",COUNT($C$7:C444))</f>
        <v/>
      </c>
      <c r="C444" s="48"/>
      <c r="D444" s="49"/>
      <c r="E444" s="49"/>
      <c r="F444" s="49"/>
      <c r="G444" s="49"/>
      <c r="H444" s="49"/>
      <c r="I444" s="50"/>
      <c r="J444" s="50"/>
      <c r="K444" s="51" t="str">
        <f t="shared" si="18"/>
        <v/>
      </c>
      <c r="L444" s="52" t="str">
        <f t="shared" si="19"/>
        <v/>
      </c>
      <c r="M444" s="53" t="str">
        <f t="shared" si="20"/>
        <v/>
      </c>
      <c r="N444" s="49"/>
    </row>
    <row r="445" spans="2:14" ht="18" customHeight="1" x14ac:dyDescent="0.25">
      <c r="B445" s="47" t="str">
        <f>IF(C445="","",COUNT($C$7:C445))</f>
        <v/>
      </c>
      <c r="C445" s="48"/>
      <c r="D445" s="49"/>
      <c r="E445" s="49"/>
      <c r="F445" s="49"/>
      <c r="G445" s="49"/>
      <c r="H445" s="49"/>
      <c r="I445" s="50"/>
      <c r="J445" s="50"/>
      <c r="K445" s="51" t="str">
        <f t="shared" si="18"/>
        <v/>
      </c>
      <c r="L445" s="52" t="str">
        <f t="shared" si="19"/>
        <v/>
      </c>
      <c r="M445" s="53" t="str">
        <f t="shared" si="20"/>
        <v/>
      </c>
      <c r="N445" s="49"/>
    </row>
    <row r="446" spans="2:14" ht="18" customHeight="1" x14ac:dyDescent="0.25">
      <c r="B446" s="47" t="str">
        <f>IF(C446="","",COUNT($C$7:C446))</f>
        <v/>
      </c>
      <c r="C446" s="48"/>
      <c r="D446" s="49"/>
      <c r="E446" s="49"/>
      <c r="F446" s="49"/>
      <c r="G446" s="49"/>
      <c r="H446" s="49"/>
      <c r="I446" s="50"/>
      <c r="J446" s="50"/>
      <c r="K446" s="51" t="str">
        <f t="shared" si="18"/>
        <v/>
      </c>
      <c r="L446" s="52" t="str">
        <f t="shared" si="19"/>
        <v/>
      </c>
      <c r="M446" s="53" t="str">
        <f t="shared" si="20"/>
        <v/>
      </c>
      <c r="N446" s="49"/>
    </row>
    <row r="447" spans="2:14" ht="18" customHeight="1" x14ac:dyDescent="0.25">
      <c r="B447" s="47" t="str">
        <f>IF(C447="","",COUNT($C$7:C447))</f>
        <v/>
      </c>
      <c r="C447" s="48"/>
      <c r="D447" s="49"/>
      <c r="E447" s="49"/>
      <c r="F447" s="49"/>
      <c r="G447" s="49"/>
      <c r="H447" s="49"/>
      <c r="I447" s="50"/>
      <c r="J447" s="50"/>
      <c r="K447" s="51" t="str">
        <f t="shared" si="18"/>
        <v/>
      </c>
      <c r="L447" s="52" t="str">
        <f t="shared" si="19"/>
        <v/>
      </c>
      <c r="M447" s="53" t="str">
        <f t="shared" si="20"/>
        <v/>
      </c>
      <c r="N447" s="49"/>
    </row>
    <row r="448" spans="2:14" ht="18" customHeight="1" x14ac:dyDescent="0.25">
      <c r="B448" s="47" t="str">
        <f>IF(C448="","",COUNT($C$7:C448))</f>
        <v/>
      </c>
      <c r="C448" s="48"/>
      <c r="D448" s="49"/>
      <c r="E448" s="49"/>
      <c r="F448" s="49"/>
      <c r="G448" s="49"/>
      <c r="H448" s="49"/>
      <c r="I448" s="50"/>
      <c r="J448" s="50"/>
      <c r="K448" s="51" t="str">
        <f t="shared" si="18"/>
        <v/>
      </c>
      <c r="L448" s="52" t="str">
        <f t="shared" si="19"/>
        <v/>
      </c>
      <c r="M448" s="53" t="str">
        <f t="shared" si="20"/>
        <v/>
      </c>
      <c r="N448" s="49"/>
    </row>
    <row r="449" spans="2:14" ht="18" customHeight="1" x14ac:dyDescent="0.25">
      <c r="B449" s="47" t="str">
        <f>IF(C449="","",COUNT($C$7:C449))</f>
        <v/>
      </c>
      <c r="C449" s="48"/>
      <c r="D449" s="49"/>
      <c r="E449" s="49"/>
      <c r="F449" s="49"/>
      <c r="G449" s="49"/>
      <c r="H449" s="49"/>
      <c r="I449" s="50"/>
      <c r="J449" s="50"/>
      <c r="K449" s="51" t="str">
        <f t="shared" si="18"/>
        <v/>
      </c>
      <c r="L449" s="52" t="str">
        <f t="shared" si="19"/>
        <v/>
      </c>
      <c r="M449" s="53" t="str">
        <f t="shared" si="20"/>
        <v/>
      </c>
      <c r="N449" s="49"/>
    </row>
    <row r="450" spans="2:14" ht="18" customHeight="1" x14ac:dyDescent="0.25">
      <c r="B450" s="47" t="str">
        <f>IF(C450="","",COUNT($C$7:C450))</f>
        <v/>
      </c>
      <c r="C450" s="48"/>
      <c r="D450" s="49"/>
      <c r="E450" s="49"/>
      <c r="F450" s="49"/>
      <c r="G450" s="49"/>
      <c r="H450" s="49"/>
      <c r="I450" s="50"/>
      <c r="J450" s="50"/>
      <c r="K450" s="51" t="str">
        <f t="shared" si="18"/>
        <v/>
      </c>
      <c r="L450" s="52" t="str">
        <f t="shared" si="19"/>
        <v/>
      </c>
      <c r="M450" s="53" t="str">
        <f t="shared" si="20"/>
        <v/>
      </c>
      <c r="N450" s="49"/>
    </row>
    <row r="451" spans="2:14" ht="18" customHeight="1" x14ac:dyDescent="0.25">
      <c r="B451" s="47" t="str">
        <f>IF(C451="","",COUNT($C$7:C451))</f>
        <v/>
      </c>
      <c r="C451" s="48"/>
      <c r="D451" s="49"/>
      <c r="E451" s="49"/>
      <c r="F451" s="49"/>
      <c r="G451" s="49"/>
      <c r="H451" s="49"/>
      <c r="I451" s="50"/>
      <c r="J451" s="50"/>
      <c r="K451" s="51" t="str">
        <f t="shared" si="18"/>
        <v/>
      </c>
      <c r="L451" s="52" t="str">
        <f t="shared" si="19"/>
        <v/>
      </c>
      <c r="M451" s="53" t="str">
        <f t="shared" si="20"/>
        <v/>
      </c>
      <c r="N451" s="49"/>
    </row>
    <row r="452" spans="2:14" ht="18" customHeight="1" x14ac:dyDescent="0.25">
      <c r="B452" s="47" t="str">
        <f>IF(C452="","",COUNT($C$7:C452))</f>
        <v/>
      </c>
      <c r="C452" s="48"/>
      <c r="D452" s="49"/>
      <c r="E452" s="49"/>
      <c r="F452" s="49"/>
      <c r="G452" s="49"/>
      <c r="H452" s="49"/>
      <c r="I452" s="50"/>
      <c r="J452" s="50"/>
      <c r="K452" s="51" t="str">
        <f t="shared" si="18"/>
        <v/>
      </c>
      <c r="L452" s="52" t="str">
        <f t="shared" si="19"/>
        <v/>
      </c>
      <c r="M452" s="53" t="str">
        <f t="shared" si="20"/>
        <v/>
      </c>
      <c r="N452" s="49"/>
    </row>
    <row r="453" spans="2:14" ht="18" customHeight="1" x14ac:dyDescent="0.25">
      <c r="B453" s="47" t="str">
        <f>IF(C453="","",COUNT($C$7:C453))</f>
        <v/>
      </c>
      <c r="C453" s="48"/>
      <c r="D453" s="49"/>
      <c r="E453" s="49"/>
      <c r="F453" s="49"/>
      <c r="G453" s="49"/>
      <c r="H453" s="49"/>
      <c r="I453" s="50"/>
      <c r="J453" s="50"/>
      <c r="K453" s="51" t="str">
        <f t="shared" si="18"/>
        <v/>
      </c>
      <c r="L453" s="52" t="str">
        <f t="shared" si="19"/>
        <v/>
      </c>
      <c r="M453" s="53" t="str">
        <f t="shared" si="20"/>
        <v/>
      </c>
      <c r="N453" s="49"/>
    </row>
    <row r="454" spans="2:14" ht="18" customHeight="1" x14ac:dyDescent="0.25">
      <c r="B454" s="47" t="str">
        <f>IF(C454="","",COUNT($C$7:C454))</f>
        <v/>
      </c>
      <c r="C454" s="48"/>
      <c r="D454" s="49"/>
      <c r="E454" s="49"/>
      <c r="F454" s="49"/>
      <c r="G454" s="49"/>
      <c r="H454" s="49"/>
      <c r="I454" s="50"/>
      <c r="J454" s="50"/>
      <c r="K454" s="51" t="str">
        <f t="shared" si="18"/>
        <v/>
      </c>
      <c r="L454" s="52" t="str">
        <f t="shared" si="19"/>
        <v/>
      </c>
      <c r="M454" s="53" t="str">
        <f t="shared" si="20"/>
        <v/>
      </c>
      <c r="N454" s="49"/>
    </row>
    <row r="455" spans="2:14" ht="18" customHeight="1" x14ac:dyDescent="0.25">
      <c r="B455" s="47" t="str">
        <f>IF(C455="","",COUNT($C$7:C455))</f>
        <v/>
      </c>
      <c r="C455" s="48"/>
      <c r="D455" s="49"/>
      <c r="E455" s="49"/>
      <c r="F455" s="49"/>
      <c r="G455" s="49"/>
      <c r="H455" s="49"/>
      <c r="I455" s="50"/>
      <c r="J455" s="50"/>
      <c r="K455" s="51" t="str">
        <f t="shared" ref="K455:K518" si="21">IF(OR(I455="",J455=""),"",J455-I455)</f>
        <v/>
      </c>
      <c r="L455" s="52" t="str">
        <f t="shared" si="19"/>
        <v/>
      </c>
      <c r="M455" s="53" t="str">
        <f t="shared" si="20"/>
        <v/>
      </c>
      <c r="N455" s="49"/>
    </row>
    <row r="456" spans="2:14" ht="18" customHeight="1" x14ac:dyDescent="0.25">
      <c r="B456" s="47" t="str">
        <f>IF(C456="","",COUNT($C$7:C456))</f>
        <v/>
      </c>
      <c r="C456" s="48"/>
      <c r="D456" s="49"/>
      <c r="E456" s="49"/>
      <c r="F456" s="49"/>
      <c r="G456" s="49"/>
      <c r="H456" s="49"/>
      <c r="I456" s="50"/>
      <c r="J456" s="50"/>
      <c r="K456" s="51" t="str">
        <f t="shared" si="21"/>
        <v/>
      </c>
      <c r="L456" s="52" t="str">
        <f t="shared" ref="L456:L519" si="22">IF(OR(C456="",I456="",J455=""),"",I456-J455)</f>
        <v/>
      </c>
      <c r="M456" s="53" t="str">
        <f t="shared" ref="M456:M519" si="23">IF(C456="","",IF(OR(D456="",E456="",F456="",H456="",I456="",J456="",AND(H456="Professionnel",G456="")),"Incomplet",IF(AND(ISNUMBER(C455),C456&lt;C455),"Ordre des dates",IF(J456&lt;I456,"Compteur incohérent",IF(AND(ISNUMBER(L456),L456&gt;ToleranceKm),"Km non enregistrés",IF(AND(ISNUMBER(L456),L456&lt;-ToleranceKm),"Chevauchement","Conforme"))))))</f>
        <v/>
      </c>
      <c r="N456" s="49"/>
    </row>
    <row r="457" spans="2:14" ht="18" customHeight="1" x14ac:dyDescent="0.25">
      <c r="B457" s="47" t="str">
        <f>IF(C457="","",COUNT($C$7:C457))</f>
        <v/>
      </c>
      <c r="C457" s="48"/>
      <c r="D457" s="49"/>
      <c r="E457" s="49"/>
      <c r="F457" s="49"/>
      <c r="G457" s="49"/>
      <c r="H457" s="49"/>
      <c r="I457" s="50"/>
      <c r="J457" s="50"/>
      <c r="K457" s="51" t="str">
        <f t="shared" si="21"/>
        <v/>
      </c>
      <c r="L457" s="52" t="str">
        <f t="shared" si="22"/>
        <v/>
      </c>
      <c r="M457" s="53" t="str">
        <f t="shared" si="23"/>
        <v/>
      </c>
      <c r="N457" s="49"/>
    </row>
    <row r="458" spans="2:14" ht="18" customHeight="1" x14ac:dyDescent="0.25">
      <c r="B458" s="47" t="str">
        <f>IF(C458="","",COUNT($C$7:C458))</f>
        <v/>
      </c>
      <c r="C458" s="48"/>
      <c r="D458" s="49"/>
      <c r="E458" s="49"/>
      <c r="F458" s="49"/>
      <c r="G458" s="49"/>
      <c r="H458" s="49"/>
      <c r="I458" s="50"/>
      <c r="J458" s="50"/>
      <c r="K458" s="51" t="str">
        <f t="shared" si="21"/>
        <v/>
      </c>
      <c r="L458" s="52" t="str">
        <f t="shared" si="22"/>
        <v/>
      </c>
      <c r="M458" s="53" t="str">
        <f t="shared" si="23"/>
        <v/>
      </c>
      <c r="N458" s="49"/>
    </row>
    <row r="459" spans="2:14" ht="18" customHeight="1" x14ac:dyDescent="0.25">
      <c r="B459" s="47" t="str">
        <f>IF(C459="","",COUNT($C$7:C459))</f>
        <v/>
      </c>
      <c r="C459" s="48"/>
      <c r="D459" s="49"/>
      <c r="E459" s="49"/>
      <c r="F459" s="49"/>
      <c r="G459" s="49"/>
      <c r="H459" s="49"/>
      <c r="I459" s="50"/>
      <c r="J459" s="50"/>
      <c r="K459" s="51" t="str">
        <f t="shared" si="21"/>
        <v/>
      </c>
      <c r="L459" s="52" t="str">
        <f t="shared" si="22"/>
        <v/>
      </c>
      <c r="M459" s="53" t="str">
        <f t="shared" si="23"/>
        <v/>
      </c>
      <c r="N459" s="49"/>
    </row>
    <row r="460" spans="2:14" ht="18" customHeight="1" x14ac:dyDescent="0.25">
      <c r="B460" s="47" t="str">
        <f>IF(C460="","",COUNT($C$7:C460))</f>
        <v/>
      </c>
      <c r="C460" s="48"/>
      <c r="D460" s="49"/>
      <c r="E460" s="49"/>
      <c r="F460" s="49"/>
      <c r="G460" s="49"/>
      <c r="H460" s="49"/>
      <c r="I460" s="50"/>
      <c r="J460" s="50"/>
      <c r="K460" s="51" t="str">
        <f t="shared" si="21"/>
        <v/>
      </c>
      <c r="L460" s="52" t="str">
        <f t="shared" si="22"/>
        <v/>
      </c>
      <c r="M460" s="53" t="str">
        <f t="shared" si="23"/>
        <v/>
      </c>
      <c r="N460" s="49"/>
    </row>
    <row r="461" spans="2:14" ht="18" customHeight="1" x14ac:dyDescent="0.25">
      <c r="B461" s="47" t="str">
        <f>IF(C461="","",COUNT($C$7:C461))</f>
        <v/>
      </c>
      <c r="C461" s="48"/>
      <c r="D461" s="49"/>
      <c r="E461" s="49"/>
      <c r="F461" s="49"/>
      <c r="G461" s="49"/>
      <c r="H461" s="49"/>
      <c r="I461" s="50"/>
      <c r="J461" s="50"/>
      <c r="K461" s="51" t="str">
        <f t="shared" si="21"/>
        <v/>
      </c>
      <c r="L461" s="52" t="str">
        <f t="shared" si="22"/>
        <v/>
      </c>
      <c r="M461" s="53" t="str">
        <f t="shared" si="23"/>
        <v/>
      </c>
      <c r="N461" s="49"/>
    </row>
    <row r="462" spans="2:14" ht="18" customHeight="1" x14ac:dyDescent="0.25">
      <c r="B462" s="47" t="str">
        <f>IF(C462="","",COUNT($C$7:C462))</f>
        <v/>
      </c>
      <c r="C462" s="48"/>
      <c r="D462" s="49"/>
      <c r="E462" s="49"/>
      <c r="F462" s="49"/>
      <c r="G462" s="49"/>
      <c r="H462" s="49"/>
      <c r="I462" s="50"/>
      <c r="J462" s="50"/>
      <c r="K462" s="51" t="str">
        <f t="shared" si="21"/>
        <v/>
      </c>
      <c r="L462" s="52" t="str">
        <f t="shared" si="22"/>
        <v/>
      </c>
      <c r="M462" s="53" t="str">
        <f t="shared" si="23"/>
        <v/>
      </c>
      <c r="N462" s="49"/>
    </row>
    <row r="463" spans="2:14" ht="18" customHeight="1" x14ac:dyDescent="0.25">
      <c r="B463" s="47" t="str">
        <f>IF(C463="","",COUNT($C$7:C463))</f>
        <v/>
      </c>
      <c r="C463" s="48"/>
      <c r="D463" s="49"/>
      <c r="E463" s="49"/>
      <c r="F463" s="49"/>
      <c r="G463" s="49"/>
      <c r="H463" s="49"/>
      <c r="I463" s="50"/>
      <c r="J463" s="50"/>
      <c r="K463" s="51" t="str">
        <f t="shared" si="21"/>
        <v/>
      </c>
      <c r="L463" s="52" t="str">
        <f t="shared" si="22"/>
        <v/>
      </c>
      <c r="M463" s="53" t="str">
        <f t="shared" si="23"/>
        <v/>
      </c>
      <c r="N463" s="49"/>
    </row>
    <row r="464" spans="2:14" ht="18" customHeight="1" x14ac:dyDescent="0.25">
      <c r="B464" s="47" t="str">
        <f>IF(C464="","",COUNT($C$7:C464))</f>
        <v/>
      </c>
      <c r="C464" s="48"/>
      <c r="D464" s="49"/>
      <c r="E464" s="49"/>
      <c r="F464" s="49"/>
      <c r="G464" s="49"/>
      <c r="H464" s="49"/>
      <c r="I464" s="50"/>
      <c r="J464" s="50"/>
      <c r="K464" s="51" t="str">
        <f t="shared" si="21"/>
        <v/>
      </c>
      <c r="L464" s="52" t="str">
        <f t="shared" si="22"/>
        <v/>
      </c>
      <c r="M464" s="53" t="str">
        <f t="shared" si="23"/>
        <v/>
      </c>
      <c r="N464" s="49"/>
    </row>
    <row r="465" spans="2:14" ht="18" customHeight="1" x14ac:dyDescent="0.25">
      <c r="B465" s="47" t="str">
        <f>IF(C465="","",COUNT($C$7:C465))</f>
        <v/>
      </c>
      <c r="C465" s="48"/>
      <c r="D465" s="49"/>
      <c r="E465" s="49"/>
      <c r="F465" s="49"/>
      <c r="G465" s="49"/>
      <c r="H465" s="49"/>
      <c r="I465" s="50"/>
      <c r="J465" s="50"/>
      <c r="K465" s="51" t="str">
        <f t="shared" si="21"/>
        <v/>
      </c>
      <c r="L465" s="52" t="str">
        <f t="shared" si="22"/>
        <v/>
      </c>
      <c r="M465" s="53" t="str">
        <f t="shared" si="23"/>
        <v/>
      </c>
      <c r="N465" s="49"/>
    </row>
    <row r="466" spans="2:14" ht="18" customHeight="1" x14ac:dyDescent="0.25">
      <c r="B466" s="47" t="str">
        <f>IF(C466="","",COUNT($C$7:C466))</f>
        <v/>
      </c>
      <c r="C466" s="48"/>
      <c r="D466" s="49"/>
      <c r="E466" s="49"/>
      <c r="F466" s="49"/>
      <c r="G466" s="49"/>
      <c r="H466" s="49"/>
      <c r="I466" s="50"/>
      <c r="J466" s="50"/>
      <c r="K466" s="51" t="str">
        <f t="shared" si="21"/>
        <v/>
      </c>
      <c r="L466" s="52" t="str">
        <f t="shared" si="22"/>
        <v/>
      </c>
      <c r="M466" s="53" t="str">
        <f t="shared" si="23"/>
        <v/>
      </c>
      <c r="N466" s="49"/>
    </row>
    <row r="467" spans="2:14" ht="18" customHeight="1" x14ac:dyDescent="0.25">
      <c r="B467" s="47" t="str">
        <f>IF(C467="","",COUNT($C$7:C467))</f>
        <v/>
      </c>
      <c r="C467" s="48"/>
      <c r="D467" s="49"/>
      <c r="E467" s="49"/>
      <c r="F467" s="49"/>
      <c r="G467" s="49"/>
      <c r="H467" s="49"/>
      <c r="I467" s="50"/>
      <c r="J467" s="50"/>
      <c r="K467" s="51" t="str">
        <f t="shared" si="21"/>
        <v/>
      </c>
      <c r="L467" s="52" t="str">
        <f t="shared" si="22"/>
        <v/>
      </c>
      <c r="M467" s="53" t="str">
        <f t="shared" si="23"/>
        <v/>
      </c>
      <c r="N467" s="49"/>
    </row>
    <row r="468" spans="2:14" ht="18" customHeight="1" x14ac:dyDescent="0.25">
      <c r="B468" s="47" t="str">
        <f>IF(C468="","",COUNT($C$7:C468))</f>
        <v/>
      </c>
      <c r="C468" s="48"/>
      <c r="D468" s="49"/>
      <c r="E468" s="49"/>
      <c r="F468" s="49"/>
      <c r="G468" s="49"/>
      <c r="H468" s="49"/>
      <c r="I468" s="50"/>
      <c r="J468" s="50"/>
      <c r="K468" s="51" t="str">
        <f t="shared" si="21"/>
        <v/>
      </c>
      <c r="L468" s="52" t="str">
        <f t="shared" si="22"/>
        <v/>
      </c>
      <c r="M468" s="53" t="str">
        <f t="shared" si="23"/>
        <v/>
      </c>
      <c r="N468" s="49"/>
    </row>
    <row r="469" spans="2:14" ht="18" customHeight="1" x14ac:dyDescent="0.25">
      <c r="B469" s="47" t="str">
        <f>IF(C469="","",COUNT($C$7:C469))</f>
        <v/>
      </c>
      <c r="C469" s="48"/>
      <c r="D469" s="49"/>
      <c r="E469" s="49"/>
      <c r="F469" s="49"/>
      <c r="G469" s="49"/>
      <c r="H469" s="49"/>
      <c r="I469" s="50"/>
      <c r="J469" s="50"/>
      <c r="K469" s="51" t="str">
        <f t="shared" si="21"/>
        <v/>
      </c>
      <c r="L469" s="52" t="str">
        <f t="shared" si="22"/>
        <v/>
      </c>
      <c r="M469" s="53" t="str">
        <f t="shared" si="23"/>
        <v/>
      </c>
      <c r="N469" s="49"/>
    </row>
    <row r="470" spans="2:14" ht="18" customHeight="1" x14ac:dyDescent="0.25">
      <c r="B470" s="47" t="str">
        <f>IF(C470="","",COUNT($C$7:C470))</f>
        <v/>
      </c>
      <c r="C470" s="48"/>
      <c r="D470" s="49"/>
      <c r="E470" s="49"/>
      <c r="F470" s="49"/>
      <c r="G470" s="49"/>
      <c r="H470" s="49"/>
      <c r="I470" s="50"/>
      <c r="J470" s="50"/>
      <c r="K470" s="51" t="str">
        <f t="shared" si="21"/>
        <v/>
      </c>
      <c r="L470" s="52" t="str">
        <f t="shared" si="22"/>
        <v/>
      </c>
      <c r="M470" s="53" t="str">
        <f t="shared" si="23"/>
        <v/>
      </c>
      <c r="N470" s="49"/>
    </row>
    <row r="471" spans="2:14" ht="18" customHeight="1" x14ac:dyDescent="0.25">
      <c r="B471" s="47" t="str">
        <f>IF(C471="","",COUNT($C$7:C471))</f>
        <v/>
      </c>
      <c r="C471" s="48"/>
      <c r="D471" s="49"/>
      <c r="E471" s="49"/>
      <c r="F471" s="49"/>
      <c r="G471" s="49"/>
      <c r="H471" s="49"/>
      <c r="I471" s="50"/>
      <c r="J471" s="50"/>
      <c r="K471" s="51" t="str">
        <f t="shared" si="21"/>
        <v/>
      </c>
      <c r="L471" s="52" t="str">
        <f t="shared" si="22"/>
        <v/>
      </c>
      <c r="M471" s="53" t="str">
        <f t="shared" si="23"/>
        <v/>
      </c>
      <c r="N471" s="49"/>
    </row>
    <row r="472" spans="2:14" ht="18" customHeight="1" x14ac:dyDescent="0.25">
      <c r="B472" s="47" t="str">
        <f>IF(C472="","",COUNT($C$7:C472))</f>
        <v/>
      </c>
      <c r="C472" s="48"/>
      <c r="D472" s="49"/>
      <c r="E472" s="49"/>
      <c r="F472" s="49"/>
      <c r="G472" s="49"/>
      <c r="H472" s="49"/>
      <c r="I472" s="50"/>
      <c r="J472" s="50"/>
      <c r="K472" s="51" t="str">
        <f t="shared" si="21"/>
        <v/>
      </c>
      <c r="L472" s="52" t="str">
        <f t="shared" si="22"/>
        <v/>
      </c>
      <c r="M472" s="53" t="str">
        <f t="shared" si="23"/>
        <v/>
      </c>
      <c r="N472" s="49"/>
    </row>
    <row r="473" spans="2:14" ht="18" customHeight="1" x14ac:dyDescent="0.25">
      <c r="B473" s="47" t="str">
        <f>IF(C473="","",COUNT($C$7:C473))</f>
        <v/>
      </c>
      <c r="C473" s="48"/>
      <c r="D473" s="49"/>
      <c r="E473" s="49"/>
      <c r="F473" s="49"/>
      <c r="G473" s="49"/>
      <c r="H473" s="49"/>
      <c r="I473" s="50"/>
      <c r="J473" s="50"/>
      <c r="K473" s="51" t="str">
        <f t="shared" si="21"/>
        <v/>
      </c>
      <c r="L473" s="52" t="str">
        <f t="shared" si="22"/>
        <v/>
      </c>
      <c r="M473" s="53" t="str">
        <f t="shared" si="23"/>
        <v/>
      </c>
      <c r="N473" s="49"/>
    </row>
    <row r="474" spans="2:14" ht="18" customHeight="1" x14ac:dyDescent="0.25">
      <c r="B474" s="47" t="str">
        <f>IF(C474="","",COUNT($C$7:C474))</f>
        <v/>
      </c>
      <c r="C474" s="48"/>
      <c r="D474" s="49"/>
      <c r="E474" s="49"/>
      <c r="F474" s="49"/>
      <c r="G474" s="49"/>
      <c r="H474" s="49"/>
      <c r="I474" s="50"/>
      <c r="J474" s="50"/>
      <c r="K474" s="51" t="str">
        <f t="shared" si="21"/>
        <v/>
      </c>
      <c r="L474" s="52" t="str">
        <f t="shared" si="22"/>
        <v/>
      </c>
      <c r="M474" s="53" t="str">
        <f t="shared" si="23"/>
        <v/>
      </c>
      <c r="N474" s="49"/>
    </row>
    <row r="475" spans="2:14" ht="18" customHeight="1" x14ac:dyDescent="0.25">
      <c r="B475" s="47" t="str">
        <f>IF(C475="","",COUNT($C$7:C475))</f>
        <v/>
      </c>
      <c r="C475" s="48"/>
      <c r="D475" s="49"/>
      <c r="E475" s="49"/>
      <c r="F475" s="49"/>
      <c r="G475" s="49"/>
      <c r="H475" s="49"/>
      <c r="I475" s="50"/>
      <c r="J475" s="50"/>
      <c r="K475" s="51" t="str">
        <f t="shared" si="21"/>
        <v/>
      </c>
      <c r="L475" s="52" t="str">
        <f t="shared" si="22"/>
        <v/>
      </c>
      <c r="M475" s="53" t="str">
        <f t="shared" si="23"/>
        <v/>
      </c>
      <c r="N475" s="49"/>
    </row>
    <row r="476" spans="2:14" ht="18" customHeight="1" x14ac:dyDescent="0.25">
      <c r="B476" s="47" t="str">
        <f>IF(C476="","",COUNT($C$7:C476))</f>
        <v/>
      </c>
      <c r="C476" s="48"/>
      <c r="D476" s="49"/>
      <c r="E476" s="49"/>
      <c r="F476" s="49"/>
      <c r="G476" s="49"/>
      <c r="H476" s="49"/>
      <c r="I476" s="50"/>
      <c r="J476" s="50"/>
      <c r="K476" s="51" t="str">
        <f t="shared" si="21"/>
        <v/>
      </c>
      <c r="L476" s="52" t="str">
        <f t="shared" si="22"/>
        <v/>
      </c>
      <c r="M476" s="53" t="str">
        <f t="shared" si="23"/>
        <v/>
      </c>
      <c r="N476" s="49"/>
    </row>
    <row r="477" spans="2:14" ht="18" customHeight="1" x14ac:dyDescent="0.25">
      <c r="B477" s="47" t="str">
        <f>IF(C477="","",COUNT($C$7:C477))</f>
        <v/>
      </c>
      <c r="C477" s="48"/>
      <c r="D477" s="49"/>
      <c r="E477" s="49"/>
      <c r="F477" s="49"/>
      <c r="G477" s="49"/>
      <c r="H477" s="49"/>
      <c r="I477" s="50"/>
      <c r="J477" s="50"/>
      <c r="K477" s="51" t="str">
        <f t="shared" si="21"/>
        <v/>
      </c>
      <c r="L477" s="52" t="str">
        <f t="shared" si="22"/>
        <v/>
      </c>
      <c r="M477" s="53" t="str">
        <f t="shared" si="23"/>
        <v/>
      </c>
      <c r="N477" s="49"/>
    </row>
    <row r="478" spans="2:14" ht="18" customHeight="1" x14ac:dyDescent="0.25">
      <c r="B478" s="47" t="str">
        <f>IF(C478="","",COUNT($C$7:C478))</f>
        <v/>
      </c>
      <c r="C478" s="48"/>
      <c r="D478" s="49"/>
      <c r="E478" s="49"/>
      <c r="F478" s="49"/>
      <c r="G478" s="49"/>
      <c r="H478" s="49"/>
      <c r="I478" s="50"/>
      <c r="J478" s="50"/>
      <c r="K478" s="51" t="str">
        <f t="shared" si="21"/>
        <v/>
      </c>
      <c r="L478" s="52" t="str">
        <f t="shared" si="22"/>
        <v/>
      </c>
      <c r="M478" s="53" t="str">
        <f t="shared" si="23"/>
        <v/>
      </c>
      <c r="N478" s="49"/>
    </row>
    <row r="479" spans="2:14" ht="18" customHeight="1" x14ac:dyDescent="0.25">
      <c r="B479" s="47" t="str">
        <f>IF(C479="","",COUNT($C$7:C479))</f>
        <v/>
      </c>
      <c r="C479" s="48"/>
      <c r="D479" s="49"/>
      <c r="E479" s="49"/>
      <c r="F479" s="49"/>
      <c r="G479" s="49"/>
      <c r="H479" s="49"/>
      <c r="I479" s="50"/>
      <c r="J479" s="50"/>
      <c r="K479" s="51" t="str">
        <f t="shared" si="21"/>
        <v/>
      </c>
      <c r="L479" s="52" t="str">
        <f t="shared" si="22"/>
        <v/>
      </c>
      <c r="M479" s="53" t="str">
        <f t="shared" si="23"/>
        <v/>
      </c>
      <c r="N479" s="49"/>
    </row>
    <row r="480" spans="2:14" ht="18" customHeight="1" x14ac:dyDescent="0.25">
      <c r="B480" s="47" t="str">
        <f>IF(C480="","",COUNT($C$7:C480))</f>
        <v/>
      </c>
      <c r="C480" s="48"/>
      <c r="D480" s="49"/>
      <c r="E480" s="49"/>
      <c r="F480" s="49"/>
      <c r="G480" s="49"/>
      <c r="H480" s="49"/>
      <c r="I480" s="50"/>
      <c r="J480" s="50"/>
      <c r="K480" s="51" t="str">
        <f t="shared" si="21"/>
        <v/>
      </c>
      <c r="L480" s="52" t="str">
        <f t="shared" si="22"/>
        <v/>
      </c>
      <c r="M480" s="53" t="str">
        <f t="shared" si="23"/>
        <v/>
      </c>
      <c r="N480" s="49"/>
    </row>
    <row r="481" spans="2:14" ht="18" customHeight="1" x14ac:dyDescent="0.25">
      <c r="B481" s="47" t="str">
        <f>IF(C481="","",COUNT($C$7:C481))</f>
        <v/>
      </c>
      <c r="C481" s="48"/>
      <c r="D481" s="49"/>
      <c r="E481" s="49"/>
      <c r="F481" s="49"/>
      <c r="G481" s="49"/>
      <c r="H481" s="49"/>
      <c r="I481" s="50"/>
      <c r="J481" s="50"/>
      <c r="K481" s="51" t="str">
        <f t="shared" si="21"/>
        <v/>
      </c>
      <c r="L481" s="52" t="str">
        <f t="shared" si="22"/>
        <v/>
      </c>
      <c r="M481" s="53" t="str">
        <f t="shared" si="23"/>
        <v/>
      </c>
      <c r="N481" s="49"/>
    </row>
    <row r="482" spans="2:14" ht="18" customHeight="1" x14ac:dyDescent="0.25">
      <c r="B482" s="47" t="str">
        <f>IF(C482="","",COUNT($C$7:C482))</f>
        <v/>
      </c>
      <c r="C482" s="48"/>
      <c r="D482" s="49"/>
      <c r="E482" s="49"/>
      <c r="F482" s="49"/>
      <c r="G482" s="49"/>
      <c r="H482" s="49"/>
      <c r="I482" s="50"/>
      <c r="J482" s="50"/>
      <c r="K482" s="51" t="str">
        <f t="shared" si="21"/>
        <v/>
      </c>
      <c r="L482" s="52" t="str">
        <f t="shared" si="22"/>
        <v/>
      </c>
      <c r="M482" s="53" t="str">
        <f t="shared" si="23"/>
        <v/>
      </c>
      <c r="N482" s="49"/>
    </row>
    <row r="483" spans="2:14" ht="18" customHeight="1" x14ac:dyDescent="0.25">
      <c r="B483" s="47" t="str">
        <f>IF(C483="","",COUNT($C$7:C483))</f>
        <v/>
      </c>
      <c r="C483" s="48"/>
      <c r="D483" s="49"/>
      <c r="E483" s="49"/>
      <c r="F483" s="49"/>
      <c r="G483" s="49"/>
      <c r="H483" s="49"/>
      <c r="I483" s="50"/>
      <c r="J483" s="50"/>
      <c r="K483" s="51" t="str">
        <f t="shared" si="21"/>
        <v/>
      </c>
      <c r="L483" s="52" t="str">
        <f t="shared" si="22"/>
        <v/>
      </c>
      <c r="M483" s="53" t="str">
        <f t="shared" si="23"/>
        <v/>
      </c>
      <c r="N483" s="49"/>
    </row>
    <row r="484" spans="2:14" ht="18" customHeight="1" x14ac:dyDescent="0.25">
      <c r="B484" s="47" t="str">
        <f>IF(C484="","",COUNT($C$7:C484))</f>
        <v/>
      </c>
      <c r="C484" s="48"/>
      <c r="D484" s="49"/>
      <c r="E484" s="49"/>
      <c r="F484" s="49"/>
      <c r="G484" s="49"/>
      <c r="H484" s="49"/>
      <c r="I484" s="50"/>
      <c r="J484" s="50"/>
      <c r="K484" s="51" t="str">
        <f t="shared" si="21"/>
        <v/>
      </c>
      <c r="L484" s="52" t="str">
        <f t="shared" si="22"/>
        <v/>
      </c>
      <c r="M484" s="53" t="str">
        <f t="shared" si="23"/>
        <v/>
      </c>
      <c r="N484" s="49"/>
    </row>
    <row r="485" spans="2:14" ht="18" customHeight="1" x14ac:dyDescent="0.25">
      <c r="B485" s="47" t="str">
        <f>IF(C485="","",COUNT($C$7:C485))</f>
        <v/>
      </c>
      <c r="C485" s="48"/>
      <c r="D485" s="49"/>
      <c r="E485" s="49"/>
      <c r="F485" s="49"/>
      <c r="G485" s="49"/>
      <c r="H485" s="49"/>
      <c r="I485" s="50"/>
      <c r="J485" s="50"/>
      <c r="K485" s="51" t="str">
        <f t="shared" si="21"/>
        <v/>
      </c>
      <c r="L485" s="52" t="str">
        <f t="shared" si="22"/>
        <v/>
      </c>
      <c r="M485" s="53" t="str">
        <f t="shared" si="23"/>
        <v/>
      </c>
      <c r="N485" s="49"/>
    </row>
    <row r="486" spans="2:14" ht="18" customHeight="1" x14ac:dyDescent="0.25">
      <c r="B486" s="47" t="str">
        <f>IF(C486="","",COUNT($C$7:C486))</f>
        <v/>
      </c>
      <c r="C486" s="48"/>
      <c r="D486" s="49"/>
      <c r="E486" s="49"/>
      <c r="F486" s="49"/>
      <c r="G486" s="49"/>
      <c r="H486" s="49"/>
      <c r="I486" s="50"/>
      <c r="J486" s="50"/>
      <c r="K486" s="51" t="str">
        <f t="shared" si="21"/>
        <v/>
      </c>
      <c r="L486" s="52" t="str">
        <f t="shared" si="22"/>
        <v/>
      </c>
      <c r="M486" s="53" t="str">
        <f t="shared" si="23"/>
        <v/>
      </c>
      <c r="N486" s="49"/>
    </row>
    <row r="487" spans="2:14" ht="18" customHeight="1" x14ac:dyDescent="0.25">
      <c r="B487" s="47" t="str">
        <f>IF(C487="","",COUNT($C$7:C487))</f>
        <v/>
      </c>
      <c r="C487" s="48"/>
      <c r="D487" s="49"/>
      <c r="E487" s="49"/>
      <c r="F487" s="49"/>
      <c r="G487" s="49"/>
      <c r="H487" s="49"/>
      <c r="I487" s="50"/>
      <c r="J487" s="50"/>
      <c r="K487" s="51" t="str">
        <f t="shared" si="21"/>
        <v/>
      </c>
      <c r="L487" s="52" t="str">
        <f t="shared" si="22"/>
        <v/>
      </c>
      <c r="M487" s="53" t="str">
        <f t="shared" si="23"/>
        <v/>
      </c>
      <c r="N487" s="49"/>
    </row>
    <row r="488" spans="2:14" ht="18" customHeight="1" x14ac:dyDescent="0.25">
      <c r="B488" s="47" t="str">
        <f>IF(C488="","",COUNT($C$7:C488))</f>
        <v/>
      </c>
      <c r="C488" s="48"/>
      <c r="D488" s="49"/>
      <c r="E488" s="49"/>
      <c r="F488" s="49"/>
      <c r="G488" s="49"/>
      <c r="H488" s="49"/>
      <c r="I488" s="50"/>
      <c r="J488" s="50"/>
      <c r="K488" s="51" t="str">
        <f t="shared" si="21"/>
        <v/>
      </c>
      <c r="L488" s="52" t="str">
        <f t="shared" si="22"/>
        <v/>
      </c>
      <c r="M488" s="53" t="str">
        <f t="shared" si="23"/>
        <v/>
      </c>
      <c r="N488" s="49"/>
    </row>
    <row r="489" spans="2:14" ht="18" customHeight="1" x14ac:dyDescent="0.25">
      <c r="B489" s="47" t="str">
        <f>IF(C489="","",COUNT($C$7:C489))</f>
        <v/>
      </c>
      <c r="C489" s="48"/>
      <c r="D489" s="49"/>
      <c r="E489" s="49"/>
      <c r="F489" s="49"/>
      <c r="G489" s="49"/>
      <c r="H489" s="49"/>
      <c r="I489" s="50"/>
      <c r="J489" s="50"/>
      <c r="K489" s="51" t="str">
        <f t="shared" si="21"/>
        <v/>
      </c>
      <c r="L489" s="52" t="str">
        <f t="shared" si="22"/>
        <v/>
      </c>
      <c r="M489" s="53" t="str">
        <f t="shared" si="23"/>
        <v/>
      </c>
      <c r="N489" s="49"/>
    </row>
    <row r="490" spans="2:14" ht="18" customHeight="1" x14ac:dyDescent="0.25">
      <c r="B490" s="47" t="str">
        <f>IF(C490="","",COUNT($C$7:C490))</f>
        <v/>
      </c>
      <c r="C490" s="48"/>
      <c r="D490" s="49"/>
      <c r="E490" s="49"/>
      <c r="F490" s="49"/>
      <c r="G490" s="49"/>
      <c r="H490" s="49"/>
      <c r="I490" s="50"/>
      <c r="J490" s="50"/>
      <c r="K490" s="51" t="str">
        <f t="shared" si="21"/>
        <v/>
      </c>
      <c r="L490" s="52" t="str">
        <f t="shared" si="22"/>
        <v/>
      </c>
      <c r="M490" s="53" t="str">
        <f t="shared" si="23"/>
        <v/>
      </c>
      <c r="N490" s="49"/>
    </row>
    <row r="491" spans="2:14" ht="18" customHeight="1" x14ac:dyDescent="0.25">
      <c r="B491" s="47" t="str">
        <f>IF(C491="","",COUNT($C$7:C491))</f>
        <v/>
      </c>
      <c r="C491" s="48"/>
      <c r="D491" s="49"/>
      <c r="E491" s="49"/>
      <c r="F491" s="49"/>
      <c r="G491" s="49"/>
      <c r="H491" s="49"/>
      <c r="I491" s="50"/>
      <c r="J491" s="50"/>
      <c r="K491" s="51" t="str">
        <f t="shared" si="21"/>
        <v/>
      </c>
      <c r="L491" s="52" t="str">
        <f t="shared" si="22"/>
        <v/>
      </c>
      <c r="M491" s="53" t="str">
        <f t="shared" si="23"/>
        <v/>
      </c>
      <c r="N491" s="49"/>
    </row>
    <row r="492" spans="2:14" ht="18" customHeight="1" x14ac:dyDescent="0.25">
      <c r="B492" s="47" t="str">
        <f>IF(C492="","",COUNT($C$7:C492))</f>
        <v/>
      </c>
      <c r="C492" s="48"/>
      <c r="D492" s="49"/>
      <c r="E492" s="49"/>
      <c r="F492" s="49"/>
      <c r="G492" s="49"/>
      <c r="H492" s="49"/>
      <c r="I492" s="50"/>
      <c r="J492" s="50"/>
      <c r="K492" s="51" t="str">
        <f t="shared" si="21"/>
        <v/>
      </c>
      <c r="L492" s="52" t="str">
        <f t="shared" si="22"/>
        <v/>
      </c>
      <c r="M492" s="53" t="str">
        <f t="shared" si="23"/>
        <v/>
      </c>
      <c r="N492" s="49"/>
    </row>
    <row r="493" spans="2:14" ht="18" customHeight="1" x14ac:dyDescent="0.25">
      <c r="B493" s="47" t="str">
        <f>IF(C493="","",COUNT($C$7:C493))</f>
        <v/>
      </c>
      <c r="C493" s="48"/>
      <c r="D493" s="49"/>
      <c r="E493" s="49"/>
      <c r="F493" s="49"/>
      <c r="G493" s="49"/>
      <c r="H493" s="49"/>
      <c r="I493" s="50"/>
      <c r="J493" s="50"/>
      <c r="K493" s="51" t="str">
        <f t="shared" si="21"/>
        <v/>
      </c>
      <c r="L493" s="52" t="str">
        <f t="shared" si="22"/>
        <v/>
      </c>
      <c r="M493" s="53" t="str">
        <f t="shared" si="23"/>
        <v/>
      </c>
      <c r="N493" s="49"/>
    </row>
    <row r="494" spans="2:14" ht="18" customHeight="1" x14ac:dyDescent="0.25">
      <c r="B494" s="47" t="str">
        <f>IF(C494="","",COUNT($C$7:C494))</f>
        <v/>
      </c>
      <c r="C494" s="48"/>
      <c r="D494" s="49"/>
      <c r="E494" s="49"/>
      <c r="F494" s="49"/>
      <c r="G494" s="49"/>
      <c r="H494" s="49"/>
      <c r="I494" s="50"/>
      <c r="J494" s="50"/>
      <c r="K494" s="51" t="str">
        <f t="shared" si="21"/>
        <v/>
      </c>
      <c r="L494" s="52" t="str">
        <f t="shared" si="22"/>
        <v/>
      </c>
      <c r="M494" s="53" t="str">
        <f t="shared" si="23"/>
        <v/>
      </c>
      <c r="N494" s="49"/>
    </row>
    <row r="495" spans="2:14" ht="18" customHeight="1" x14ac:dyDescent="0.25">
      <c r="B495" s="47" t="str">
        <f>IF(C495="","",COUNT($C$7:C495))</f>
        <v/>
      </c>
      <c r="C495" s="48"/>
      <c r="D495" s="49"/>
      <c r="E495" s="49"/>
      <c r="F495" s="49"/>
      <c r="G495" s="49"/>
      <c r="H495" s="49"/>
      <c r="I495" s="50"/>
      <c r="J495" s="50"/>
      <c r="K495" s="51" t="str">
        <f t="shared" si="21"/>
        <v/>
      </c>
      <c r="L495" s="52" t="str">
        <f t="shared" si="22"/>
        <v/>
      </c>
      <c r="M495" s="53" t="str">
        <f t="shared" si="23"/>
        <v/>
      </c>
      <c r="N495" s="49"/>
    </row>
    <row r="496" spans="2:14" ht="18" customHeight="1" x14ac:dyDescent="0.25">
      <c r="B496" s="47" t="str">
        <f>IF(C496="","",COUNT($C$7:C496))</f>
        <v/>
      </c>
      <c r="C496" s="48"/>
      <c r="D496" s="49"/>
      <c r="E496" s="49"/>
      <c r="F496" s="49"/>
      <c r="G496" s="49"/>
      <c r="H496" s="49"/>
      <c r="I496" s="50"/>
      <c r="J496" s="50"/>
      <c r="K496" s="51" t="str">
        <f t="shared" si="21"/>
        <v/>
      </c>
      <c r="L496" s="52" t="str">
        <f t="shared" si="22"/>
        <v/>
      </c>
      <c r="M496" s="53" t="str">
        <f t="shared" si="23"/>
        <v/>
      </c>
      <c r="N496" s="49"/>
    </row>
    <row r="497" spans="2:14" ht="18" customHeight="1" x14ac:dyDescent="0.25">
      <c r="B497" s="47" t="str">
        <f>IF(C497="","",COUNT($C$7:C497))</f>
        <v/>
      </c>
      <c r="C497" s="48"/>
      <c r="D497" s="49"/>
      <c r="E497" s="49"/>
      <c r="F497" s="49"/>
      <c r="G497" s="49"/>
      <c r="H497" s="49"/>
      <c r="I497" s="50"/>
      <c r="J497" s="50"/>
      <c r="K497" s="51" t="str">
        <f t="shared" si="21"/>
        <v/>
      </c>
      <c r="L497" s="52" t="str">
        <f t="shared" si="22"/>
        <v/>
      </c>
      <c r="M497" s="53" t="str">
        <f t="shared" si="23"/>
        <v/>
      </c>
      <c r="N497" s="49"/>
    </row>
    <row r="498" spans="2:14" ht="18" customHeight="1" x14ac:dyDescent="0.25">
      <c r="B498" s="47" t="str">
        <f>IF(C498="","",COUNT($C$7:C498))</f>
        <v/>
      </c>
      <c r="C498" s="48"/>
      <c r="D498" s="49"/>
      <c r="E498" s="49"/>
      <c r="F498" s="49"/>
      <c r="G498" s="49"/>
      <c r="H498" s="49"/>
      <c r="I498" s="50"/>
      <c r="J498" s="50"/>
      <c r="K498" s="51" t="str">
        <f t="shared" si="21"/>
        <v/>
      </c>
      <c r="L498" s="52" t="str">
        <f t="shared" si="22"/>
        <v/>
      </c>
      <c r="M498" s="53" t="str">
        <f t="shared" si="23"/>
        <v/>
      </c>
      <c r="N498" s="49"/>
    </row>
    <row r="499" spans="2:14" ht="18" customHeight="1" x14ac:dyDescent="0.25">
      <c r="B499" s="47" t="str">
        <f>IF(C499="","",COUNT($C$7:C499))</f>
        <v/>
      </c>
      <c r="C499" s="48"/>
      <c r="D499" s="49"/>
      <c r="E499" s="49"/>
      <c r="F499" s="49"/>
      <c r="G499" s="49"/>
      <c r="H499" s="49"/>
      <c r="I499" s="50"/>
      <c r="J499" s="50"/>
      <c r="K499" s="51" t="str">
        <f t="shared" si="21"/>
        <v/>
      </c>
      <c r="L499" s="52" t="str">
        <f t="shared" si="22"/>
        <v/>
      </c>
      <c r="M499" s="53" t="str">
        <f t="shared" si="23"/>
        <v/>
      </c>
      <c r="N499" s="49"/>
    </row>
    <row r="500" spans="2:14" ht="18" customHeight="1" x14ac:dyDescent="0.25">
      <c r="B500" s="47" t="str">
        <f>IF(C500="","",COUNT($C$7:C500))</f>
        <v/>
      </c>
      <c r="C500" s="48"/>
      <c r="D500" s="49"/>
      <c r="E500" s="49"/>
      <c r="F500" s="49"/>
      <c r="G500" s="49"/>
      <c r="H500" s="49"/>
      <c r="I500" s="50"/>
      <c r="J500" s="50"/>
      <c r="K500" s="51" t="str">
        <f t="shared" si="21"/>
        <v/>
      </c>
      <c r="L500" s="52" t="str">
        <f t="shared" si="22"/>
        <v/>
      </c>
      <c r="M500" s="53" t="str">
        <f t="shared" si="23"/>
        <v/>
      </c>
      <c r="N500" s="49"/>
    </row>
    <row r="501" spans="2:14" ht="18" customHeight="1" x14ac:dyDescent="0.25">
      <c r="B501" s="47" t="str">
        <f>IF(C501="","",COUNT($C$7:C501))</f>
        <v/>
      </c>
      <c r="C501" s="48"/>
      <c r="D501" s="49"/>
      <c r="E501" s="49"/>
      <c r="F501" s="49"/>
      <c r="G501" s="49"/>
      <c r="H501" s="49"/>
      <c r="I501" s="50"/>
      <c r="J501" s="50"/>
      <c r="K501" s="51" t="str">
        <f t="shared" si="21"/>
        <v/>
      </c>
      <c r="L501" s="52" t="str">
        <f t="shared" si="22"/>
        <v/>
      </c>
      <c r="M501" s="53" t="str">
        <f t="shared" si="23"/>
        <v/>
      </c>
      <c r="N501" s="49"/>
    </row>
    <row r="502" spans="2:14" ht="18" customHeight="1" x14ac:dyDescent="0.25">
      <c r="B502" s="47" t="str">
        <f>IF(C502="","",COUNT($C$7:C502))</f>
        <v/>
      </c>
      <c r="C502" s="48"/>
      <c r="D502" s="49"/>
      <c r="E502" s="49"/>
      <c r="F502" s="49"/>
      <c r="G502" s="49"/>
      <c r="H502" s="49"/>
      <c r="I502" s="50"/>
      <c r="J502" s="50"/>
      <c r="K502" s="51" t="str">
        <f t="shared" si="21"/>
        <v/>
      </c>
      <c r="L502" s="52" t="str">
        <f t="shared" si="22"/>
        <v/>
      </c>
      <c r="M502" s="53" t="str">
        <f t="shared" si="23"/>
        <v/>
      </c>
      <c r="N502" s="49"/>
    </row>
    <row r="503" spans="2:14" ht="18" customHeight="1" x14ac:dyDescent="0.25">
      <c r="B503" s="47" t="str">
        <f>IF(C503="","",COUNT($C$7:C503))</f>
        <v/>
      </c>
      <c r="C503" s="48"/>
      <c r="D503" s="49"/>
      <c r="E503" s="49"/>
      <c r="F503" s="49"/>
      <c r="G503" s="49"/>
      <c r="H503" s="49"/>
      <c r="I503" s="50"/>
      <c r="J503" s="50"/>
      <c r="K503" s="51" t="str">
        <f t="shared" si="21"/>
        <v/>
      </c>
      <c r="L503" s="52" t="str">
        <f t="shared" si="22"/>
        <v/>
      </c>
      <c r="M503" s="53" t="str">
        <f t="shared" si="23"/>
        <v/>
      </c>
      <c r="N503" s="49"/>
    </row>
    <row r="504" spans="2:14" ht="18" customHeight="1" x14ac:dyDescent="0.25">
      <c r="B504" s="47" t="str">
        <f>IF(C504="","",COUNT($C$7:C504))</f>
        <v/>
      </c>
      <c r="C504" s="48"/>
      <c r="D504" s="49"/>
      <c r="E504" s="49"/>
      <c r="F504" s="49"/>
      <c r="G504" s="49"/>
      <c r="H504" s="49"/>
      <c r="I504" s="50"/>
      <c r="J504" s="50"/>
      <c r="K504" s="51" t="str">
        <f t="shared" si="21"/>
        <v/>
      </c>
      <c r="L504" s="52" t="str">
        <f t="shared" si="22"/>
        <v/>
      </c>
      <c r="M504" s="53" t="str">
        <f t="shared" si="23"/>
        <v/>
      </c>
      <c r="N504" s="49"/>
    </row>
    <row r="505" spans="2:14" ht="18" customHeight="1" x14ac:dyDescent="0.25">
      <c r="B505" s="47" t="str">
        <f>IF(C505="","",COUNT($C$7:C505))</f>
        <v/>
      </c>
      <c r="C505" s="48"/>
      <c r="D505" s="49"/>
      <c r="E505" s="49"/>
      <c r="F505" s="49"/>
      <c r="G505" s="49"/>
      <c r="H505" s="49"/>
      <c r="I505" s="50"/>
      <c r="J505" s="50"/>
      <c r="K505" s="51" t="str">
        <f t="shared" si="21"/>
        <v/>
      </c>
      <c r="L505" s="52" t="str">
        <f t="shared" si="22"/>
        <v/>
      </c>
      <c r="M505" s="53" t="str">
        <f t="shared" si="23"/>
        <v/>
      </c>
      <c r="N505" s="49"/>
    </row>
    <row r="506" spans="2:14" ht="18" customHeight="1" x14ac:dyDescent="0.25">
      <c r="B506" s="47" t="str">
        <f>IF(C506="","",COUNT($C$7:C506))</f>
        <v/>
      </c>
      <c r="C506" s="48"/>
      <c r="D506" s="49"/>
      <c r="E506" s="49"/>
      <c r="F506" s="49"/>
      <c r="G506" s="49"/>
      <c r="H506" s="49"/>
      <c r="I506" s="50"/>
      <c r="J506" s="50"/>
      <c r="K506" s="51" t="str">
        <f t="shared" si="21"/>
        <v/>
      </c>
      <c r="L506" s="52" t="str">
        <f t="shared" si="22"/>
        <v/>
      </c>
      <c r="M506" s="53" t="str">
        <f t="shared" si="23"/>
        <v/>
      </c>
      <c r="N506" s="49"/>
    </row>
    <row r="507" spans="2:14" ht="18" customHeight="1" x14ac:dyDescent="0.25">
      <c r="B507" s="47" t="str">
        <f>IF(C507="","",COUNT($C$7:C507))</f>
        <v/>
      </c>
      <c r="C507" s="48"/>
      <c r="D507" s="49"/>
      <c r="E507" s="49"/>
      <c r="F507" s="49"/>
      <c r="G507" s="49"/>
      <c r="H507" s="49"/>
      <c r="I507" s="50"/>
      <c r="J507" s="50"/>
      <c r="K507" s="51" t="str">
        <f t="shared" si="21"/>
        <v/>
      </c>
      <c r="L507" s="52" t="str">
        <f t="shared" si="22"/>
        <v/>
      </c>
      <c r="M507" s="53" t="str">
        <f t="shared" si="23"/>
        <v/>
      </c>
      <c r="N507" s="49"/>
    </row>
    <row r="508" spans="2:14" ht="18" customHeight="1" x14ac:dyDescent="0.25">
      <c r="B508" s="47" t="str">
        <f>IF(C508="","",COUNT($C$7:C508))</f>
        <v/>
      </c>
      <c r="C508" s="48"/>
      <c r="D508" s="49"/>
      <c r="E508" s="49"/>
      <c r="F508" s="49"/>
      <c r="G508" s="49"/>
      <c r="H508" s="49"/>
      <c r="I508" s="50"/>
      <c r="J508" s="50"/>
      <c r="K508" s="51" t="str">
        <f t="shared" si="21"/>
        <v/>
      </c>
      <c r="L508" s="52" t="str">
        <f t="shared" si="22"/>
        <v/>
      </c>
      <c r="M508" s="53" t="str">
        <f t="shared" si="23"/>
        <v/>
      </c>
      <c r="N508" s="49"/>
    </row>
    <row r="509" spans="2:14" ht="18" customHeight="1" x14ac:dyDescent="0.25">
      <c r="B509" s="47" t="str">
        <f>IF(C509="","",COUNT($C$7:C509))</f>
        <v/>
      </c>
      <c r="C509" s="48"/>
      <c r="D509" s="49"/>
      <c r="E509" s="49"/>
      <c r="F509" s="49"/>
      <c r="G509" s="49"/>
      <c r="H509" s="49"/>
      <c r="I509" s="50"/>
      <c r="J509" s="50"/>
      <c r="K509" s="51" t="str">
        <f t="shared" si="21"/>
        <v/>
      </c>
      <c r="L509" s="52" t="str">
        <f t="shared" si="22"/>
        <v/>
      </c>
      <c r="M509" s="53" t="str">
        <f t="shared" si="23"/>
        <v/>
      </c>
      <c r="N509" s="49"/>
    </row>
    <row r="510" spans="2:14" ht="18" customHeight="1" x14ac:dyDescent="0.25">
      <c r="B510" s="47" t="str">
        <f>IF(C510="","",COUNT($C$7:C510))</f>
        <v/>
      </c>
      <c r="C510" s="48"/>
      <c r="D510" s="49"/>
      <c r="E510" s="49"/>
      <c r="F510" s="49"/>
      <c r="G510" s="49"/>
      <c r="H510" s="49"/>
      <c r="I510" s="50"/>
      <c r="J510" s="50"/>
      <c r="K510" s="51" t="str">
        <f t="shared" si="21"/>
        <v/>
      </c>
      <c r="L510" s="52" t="str">
        <f t="shared" si="22"/>
        <v/>
      </c>
      <c r="M510" s="53" t="str">
        <f t="shared" si="23"/>
        <v/>
      </c>
      <c r="N510" s="49"/>
    </row>
    <row r="511" spans="2:14" ht="18" customHeight="1" x14ac:dyDescent="0.25">
      <c r="B511" s="47" t="str">
        <f>IF(C511="","",COUNT($C$7:C511))</f>
        <v/>
      </c>
      <c r="C511" s="48"/>
      <c r="D511" s="49"/>
      <c r="E511" s="49"/>
      <c r="F511" s="49"/>
      <c r="G511" s="49"/>
      <c r="H511" s="49"/>
      <c r="I511" s="50"/>
      <c r="J511" s="50"/>
      <c r="K511" s="51" t="str">
        <f t="shared" si="21"/>
        <v/>
      </c>
      <c r="L511" s="52" t="str">
        <f t="shared" si="22"/>
        <v/>
      </c>
      <c r="M511" s="53" t="str">
        <f t="shared" si="23"/>
        <v/>
      </c>
      <c r="N511" s="49"/>
    </row>
    <row r="512" spans="2:14" ht="18" customHeight="1" x14ac:dyDescent="0.25">
      <c r="B512" s="47" t="str">
        <f>IF(C512="","",COUNT($C$7:C512))</f>
        <v/>
      </c>
      <c r="C512" s="48"/>
      <c r="D512" s="49"/>
      <c r="E512" s="49"/>
      <c r="F512" s="49"/>
      <c r="G512" s="49"/>
      <c r="H512" s="49"/>
      <c r="I512" s="50"/>
      <c r="J512" s="50"/>
      <c r="K512" s="51" t="str">
        <f t="shared" si="21"/>
        <v/>
      </c>
      <c r="L512" s="52" t="str">
        <f t="shared" si="22"/>
        <v/>
      </c>
      <c r="M512" s="53" t="str">
        <f t="shared" si="23"/>
        <v/>
      </c>
      <c r="N512" s="49"/>
    </row>
    <row r="513" spans="2:14" ht="18" customHeight="1" x14ac:dyDescent="0.25">
      <c r="B513" s="47" t="str">
        <f>IF(C513="","",COUNT($C$7:C513))</f>
        <v/>
      </c>
      <c r="C513" s="48"/>
      <c r="D513" s="49"/>
      <c r="E513" s="49"/>
      <c r="F513" s="49"/>
      <c r="G513" s="49"/>
      <c r="H513" s="49"/>
      <c r="I513" s="50"/>
      <c r="J513" s="50"/>
      <c r="K513" s="51" t="str">
        <f t="shared" si="21"/>
        <v/>
      </c>
      <c r="L513" s="52" t="str">
        <f t="shared" si="22"/>
        <v/>
      </c>
      <c r="M513" s="53" t="str">
        <f t="shared" si="23"/>
        <v/>
      </c>
      <c r="N513" s="49"/>
    </row>
    <row r="514" spans="2:14" ht="18" customHeight="1" x14ac:dyDescent="0.25">
      <c r="B514" s="47" t="str">
        <f>IF(C514="","",COUNT($C$7:C514))</f>
        <v/>
      </c>
      <c r="C514" s="48"/>
      <c r="D514" s="49"/>
      <c r="E514" s="49"/>
      <c r="F514" s="49"/>
      <c r="G514" s="49"/>
      <c r="H514" s="49"/>
      <c r="I514" s="50"/>
      <c r="J514" s="50"/>
      <c r="K514" s="51" t="str">
        <f t="shared" si="21"/>
        <v/>
      </c>
      <c r="L514" s="52" t="str">
        <f t="shared" si="22"/>
        <v/>
      </c>
      <c r="M514" s="53" t="str">
        <f t="shared" si="23"/>
        <v/>
      </c>
      <c r="N514" s="49"/>
    </row>
    <row r="515" spans="2:14" ht="18" customHeight="1" x14ac:dyDescent="0.25">
      <c r="B515" s="47" t="str">
        <f>IF(C515="","",COUNT($C$7:C515))</f>
        <v/>
      </c>
      <c r="C515" s="48"/>
      <c r="D515" s="49"/>
      <c r="E515" s="49"/>
      <c r="F515" s="49"/>
      <c r="G515" s="49"/>
      <c r="H515" s="49"/>
      <c r="I515" s="50"/>
      <c r="J515" s="50"/>
      <c r="K515" s="51" t="str">
        <f t="shared" si="21"/>
        <v/>
      </c>
      <c r="L515" s="52" t="str">
        <f t="shared" si="22"/>
        <v/>
      </c>
      <c r="M515" s="53" t="str">
        <f t="shared" si="23"/>
        <v/>
      </c>
      <c r="N515" s="49"/>
    </row>
    <row r="516" spans="2:14" ht="18" customHeight="1" x14ac:dyDescent="0.25">
      <c r="B516" s="47" t="str">
        <f>IF(C516="","",COUNT($C$7:C516))</f>
        <v/>
      </c>
      <c r="C516" s="48"/>
      <c r="D516" s="49"/>
      <c r="E516" s="49"/>
      <c r="F516" s="49"/>
      <c r="G516" s="49"/>
      <c r="H516" s="49"/>
      <c r="I516" s="50"/>
      <c r="J516" s="50"/>
      <c r="K516" s="51" t="str">
        <f t="shared" si="21"/>
        <v/>
      </c>
      <c r="L516" s="52" t="str">
        <f t="shared" si="22"/>
        <v/>
      </c>
      <c r="M516" s="53" t="str">
        <f t="shared" si="23"/>
        <v/>
      </c>
      <c r="N516" s="49"/>
    </row>
    <row r="517" spans="2:14" ht="18" customHeight="1" x14ac:dyDescent="0.25">
      <c r="B517" s="47" t="str">
        <f>IF(C517="","",COUNT($C$7:C517))</f>
        <v/>
      </c>
      <c r="C517" s="48"/>
      <c r="D517" s="49"/>
      <c r="E517" s="49"/>
      <c r="F517" s="49"/>
      <c r="G517" s="49"/>
      <c r="H517" s="49"/>
      <c r="I517" s="50"/>
      <c r="J517" s="50"/>
      <c r="K517" s="51" t="str">
        <f t="shared" si="21"/>
        <v/>
      </c>
      <c r="L517" s="52" t="str">
        <f t="shared" si="22"/>
        <v/>
      </c>
      <c r="M517" s="53" t="str">
        <f t="shared" si="23"/>
        <v/>
      </c>
      <c r="N517" s="49"/>
    </row>
    <row r="518" spans="2:14" ht="18" customHeight="1" x14ac:dyDescent="0.25">
      <c r="B518" s="47" t="str">
        <f>IF(C518="","",COUNT($C$7:C518))</f>
        <v/>
      </c>
      <c r="C518" s="48"/>
      <c r="D518" s="49"/>
      <c r="E518" s="49"/>
      <c r="F518" s="49"/>
      <c r="G518" s="49"/>
      <c r="H518" s="49"/>
      <c r="I518" s="50"/>
      <c r="J518" s="50"/>
      <c r="K518" s="51" t="str">
        <f t="shared" si="21"/>
        <v/>
      </c>
      <c r="L518" s="52" t="str">
        <f t="shared" si="22"/>
        <v/>
      </c>
      <c r="M518" s="53" t="str">
        <f t="shared" si="23"/>
        <v/>
      </c>
      <c r="N518" s="49"/>
    </row>
    <row r="519" spans="2:14" ht="18" customHeight="1" x14ac:dyDescent="0.25">
      <c r="B519" s="47" t="str">
        <f>IF(C519="","",COUNT($C$7:C519))</f>
        <v/>
      </c>
      <c r="C519" s="48"/>
      <c r="D519" s="49"/>
      <c r="E519" s="49"/>
      <c r="F519" s="49"/>
      <c r="G519" s="49"/>
      <c r="H519" s="49"/>
      <c r="I519" s="50"/>
      <c r="J519" s="50"/>
      <c r="K519" s="51" t="str">
        <f t="shared" ref="K519:K582" si="24">IF(OR(I519="",J519=""),"",J519-I519)</f>
        <v/>
      </c>
      <c r="L519" s="52" t="str">
        <f t="shared" si="22"/>
        <v/>
      </c>
      <c r="M519" s="53" t="str">
        <f t="shared" si="23"/>
        <v/>
      </c>
      <c r="N519" s="49"/>
    </row>
    <row r="520" spans="2:14" ht="18" customHeight="1" x14ac:dyDescent="0.25">
      <c r="B520" s="47" t="str">
        <f>IF(C520="","",COUNT($C$7:C520))</f>
        <v/>
      </c>
      <c r="C520" s="48"/>
      <c r="D520" s="49"/>
      <c r="E520" s="49"/>
      <c r="F520" s="49"/>
      <c r="G520" s="49"/>
      <c r="H520" s="49"/>
      <c r="I520" s="50"/>
      <c r="J520" s="50"/>
      <c r="K520" s="51" t="str">
        <f t="shared" si="24"/>
        <v/>
      </c>
      <c r="L520" s="52" t="str">
        <f t="shared" ref="L520:L583" si="25">IF(OR(C520="",I520="",J519=""),"",I520-J519)</f>
        <v/>
      </c>
      <c r="M520" s="53" t="str">
        <f t="shared" ref="M520:M583" si="26">IF(C520="","",IF(OR(D520="",E520="",F520="",H520="",I520="",J520="",AND(H520="Professionnel",G520="")),"Incomplet",IF(AND(ISNUMBER(C519),C520&lt;C519),"Ordre des dates",IF(J520&lt;I520,"Compteur incohérent",IF(AND(ISNUMBER(L520),L520&gt;ToleranceKm),"Km non enregistrés",IF(AND(ISNUMBER(L520),L520&lt;-ToleranceKm),"Chevauchement","Conforme"))))))</f>
        <v/>
      </c>
      <c r="N520" s="49"/>
    </row>
    <row r="521" spans="2:14" ht="18" customHeight="1" x14ac:dyDescent="0.25">
      <c r="B521" s="47" t="str">
        <f>IF(C521="","",COUNT($C$7:C521))</f>
        <v/>
      </c>
      <c r="C521" s="48"/>
      <c r="D521" s="49"/>
      <c r="E521" s="49"/>
      <c r="F521" s="49"/>
      <c r="G521" s="49"/>
      <c r="H521" s="49"/>
      <c r="I521" s="50"/>
      <c r="J521" s="50"/>
      <c r="K521" s="51" t="str">
        <f t="shared" si="24"/>
        <v/>
      </c>
      <c r="L521" s="52" t="str">
        <f t="shared" si="25"/>
        <v/>
      </c>
      <c r="M521" s="53" t="str">
        <f t="shared" si="26"/>
        <v/>
      </c>
      <c r="N521" s="49"/>
    </row>
    <row r="522" spans="2:14" ht="18" customHeight="1" x14ac:dyDescent="0.25">
      <c r="B522" s="47" t="str">
        <f>IF(C522="","",COUNT($C$7:C522))</f>
        <v/>
      </c>
      <c r="C522" s="48"/>
      <c r="D522" s="49"/>
      <c r="E522" s="49"/>
      <c r="F522" s="49"/>
      <c r="G522" s="49"/>
      <c r="H522" s="49"/>
      <c r="I522" s="50"/>
      <c r="J522" s="50"/>
      <c r="K522" s="51" t="str">
        <f t="shared" si="24"/>
        <v/>
      </c>
      <c r="L522" s="52" t="str">
        <f t="shared" si="25"/>
        <v/>
      </c>
      <c r="M522" s="53" t="str">
        <f t="shared" si="26"/>
        <v/>
      </c>
      <c r="N522" s="49"/>
    </row>
    <row r="523" spans="2:14" ht="18" customHeight="1" x14ac:dyDescent="0.25">
      <c r="B523" s="47" t="str">
        <f>IF(C523="","",COUNT($C$7:C523))</f>
        <v/>
      </c>
      <c r="C523" s="48"/>
      <c r="D523" s="49"/>
      <c r="E523" s="49"/>
      <c r="F523" s="49"/>
      <c r="G523" s="49"/>
      <c r="H523" s="49"/>
      <c r="I523" s="50"/>
      <c r="J523" s="50"/>
      <c r="K523" s="51" t="str">
        <f t="shared" si="24"/>
        <v/>
      </c>
      <c r="L523" s="52" t="str">
        <f t="shared" si="25"/>
        <v/>
      </c>
      <c r="M523" s="53" t="str">
        <f t="shared" si="26"/>
        <v/>
      </c>
      <c r="N523" s="49"/>
    </row>
    <row r="524" spans="2:14" ht="18" customHeight="1" x14ac:dyDescent="0.25">
      <c r="B524" s="47" t="str">
        <f>IF(C524="","",COUNT($C$7:C524))</f>
        <v/>
      </c>
      <c r="C524" s="48"/>
      <c r="D524" s="49"/>
      <c r="E524" s="49"/>
      <c r="F524" s="49"/>
      <c r="G524" s="49"/>
      <c r="H524" s="49"/>
      <c r="I524" s="50"/>
      <c r="J524" s="50"/>
      <c r="K524" s="51" t="str">
        <f t="shared" si="24"/>
        <v/>
      </c>
      <c r="L524" s="52" t="str">
        <f t="shared" si="25"/>
        <v/>
      </c>
      <c r="M524" s="53" t="str">
        <f t="shared" si="26"/>
        <v/>
      </c>
      <c r="N524" s="49"/>
    </row>
    <row r="525" spans="2:14" ht="18" customHeight="1" x14ac:dyDescent="0.25">
      <c r="B525" s="47" t="str">
        <f>IF(C525="","",COUNT($C$7:C525))</f>
        <v/>
      </c>
      <c r="C525" s="48"/>
      <c r="D525" s="49"/>
      <c r="E525" s="49"/>
      <c r="F525" s="49"/>
      <c r="G525" s="49"/>
      <c r="H525" s="49"/>
      <c r="I525" s="50"/>
      <c r="J525" s="50"/>
      <c r="K525" s="51" t="str">
        <f t="shared" si="24"/>
        <v/>
      </c>
      <c r="L525" s="52" t="str">
        <f t="shared" si="25"/>
        <v/>
      </c>
      <c r="M525" s="53" t="str">
        <f t="shared" si="26"/>
        <v/>
      </c>
      <c r="N525" s="49"/>
    </row>
    <row r="526" spans="2:14" ht="18" customHeight="1" x14ac:dyDescent="0.25">
      <c r="B526" s="47" t="str">
        <f>IF(C526="","",COUNT($C$7:C526))</f>
        <v/>
      </c>
      <c r="C526" s="48"/>
      <c r="D526" s="49"/>
      <c r="E526" s="49"/>
      <c r="F526" s="49"/>
      <c r="G526" s="49"/>
      <c r="H526" s="49"/>
      <c r="I526" s="50"/>
      <c r="J526" s="50"/>
      <c r="K526" s="51" t="str">
        <f t="shared" si="24"/>
        <v/>
      </c>
      <c r="L526" s="52" t="str">
        <f t="shared" si="25"/>
        <v/>
      </c>
      <c r="M526" s="53" t="str">
        <f t="shared" si="26"/>
        <v/>
      </c>
      <c r="N526" s="49"/>
    </row>
    <row r="527" spans="2:14" ht="18" customHeight="1" x14ac:dyDescent="0.25">
      <c r="B527" s="47" t="str">
        <f>IF(C527="","",COUNT($C$7:C527))</f>
        <v/>
      </c>
      <c r="C527" s="48"/>
      <c r="D527" s="49"/>
      <c r="E527" s="49"/>
      <c r="F527" s="49"/>
      <c r="G527" s="49"/>
      <c r="H527" s="49"/>
      <c r="I527" s="50"/>
      <c r="J527" s="50"/>
      <c r="K527" s="51" t="str">
        <f t="shared" si="24"/>
        <v/>
      </c>
      <c r="L527" s="52" t="str">
        <f t="shared" si="25"/>
        <v/>
      </c>
      <c r="M527" s="53" t="str">
        <f t="shared" si="26"/>
        <v/>
      </c>
      <c r="N527" s="49"/>
    </row>
    <row r="528" spans="2:14" ht="18" customHeight="1" x14ac:dyDescent="0.25">
      <c r="B528" s="47" t="str">
        <f>IF(C528="","",COUNT($C$7:C528))</f>
        <v/>
      </c>
      <c r="C528" s="48"/>
      <c r="D528" s="49"/>
      <c r="E528" s="49"/>
      <c r="F528" s="49"/>
      <c r="G528" s="49"/>
      <c r="H528" s="49"/>
      <c r="I528" s="50"/>
      <c r="J528" s="50"/>
      <c r="K528" s="51" t="str">
        <f t="shared" si="24"/>
        <v/>
      </c>
      <c r="L528" s="52" t="str">
        <f t="shared" si="25"/>
        <v/>
      </c>
      <c r="M528" s="53" t="str">
        <f t="shared" si="26"/>
        <v/>
      </c>
      <c r="N528" s="49"/>
    </row>
    <row r="529" spans="2:14" ht="18" customHeight="1" x14ac:dyDescent="0.25">
      <c r="B529" s="47" t="str">
        <f>IF(C529="","",COUNT($C$7:C529))</f>
        <v/>
      </c>
      <c r="C529" s="48"/>
      <c r="D529" s="49"/>
      <c r="E529" s="49"/>
      <c r="F529" s="49"/>
      <c r="G529" s="49"/>
      <c r="H529" s="49"/>
      <c r="I529" s="50"/>
      <c r="J529" s="50"/>
      <c r="K529" s="51" t="str">
        <f t="shared" si="24"/>
        <v/>
      </c>
      <c r="L529" s="52" t="str">
        <f t="shared" si="25"/>
        <v/>
      </c>
      <c r="M529" s="53" t="str">
        <f t="shared" si="26"/>
        <v/>
      </c>
      <c r="N529" s="49"/>
    </row>
    <row r="530" spans="2:14" ht="18" customHeight="1" x14ac:dyDescent="0.25">
      <c r="B530" s="47" t="str">
        <f>IF(C530="","",COUNT($C$7:C530))</f>
        <v/>
      </c>
      <c r="C530" s="48"/>
      <c r="D530" s="49"/>
      <c r="E530" s="49"/>
      <c r="F530" s="49"/>
      <c r="G530" s="49"/>
      <c r="H530" s="49"/>
      <c r="I530" s="50"/>
      <c r="J530" s="50"/>
      <c r="K530" s="51" t="str">
        <f t="shared" si="24"/>
        <v/>
      </c>
      <c r="L530" s="52" t="str">
        <f t="shared" si="25"/>
        <v/>
      </c>
      <c r="M530" s="53" t="str">
        <f t="shared" si="26"/>
        <v/>
      </c>
      <c r="N530" s="49"/>
    </row>
    <row r="531" spans="2:14" ht="18" customHeight="1" x14ac:dyDescent="0.25">
      <c r="B531" s="47" t="str">
        <f>IF(C531="","",COUNT($C$7:C531))</f>
        <v/>
      </c>
      <c r="C531" s="48"/>
      <c r="D531" s="49"/>
      <c r="E531" s="49"/>
      <c r="F531" s="49"/>
      <c r="G531" s="49"/>
      <c r="H531" s="49"/>
      <c r="I531" s="50"/>
      <c r="J531" s="50"/>
      <c r="K531" s="51" t="str">
        <f t="shared" si="24"/>
        <v/>
      </c>
      <c r="L531" s="52" t="str">
        <f t="shared" si="25"/>
        <v/>
      </c>
      <c r="M531" s="53" t="str">
        <f t="shared" si="26"/>
        <v/>
      </c>
      <c r="N531" s="49"/>
    </row>
    <row r="532" spans="2:14" ht="18" customHeight="1" x14ac:dyDescent="0.25">
      <c r="B532" s="47" t="str">
        <f>IF(C532="","",COUNT($C$7:C532))</f>
        <v/>
      </c>
      <c r="C532" s="48"/>
      <c r="D532" s="49"/>
      <c r="E532" s="49"/>
      <c r="F532" s="49"/>
      <c r="G532" s="49"/>
      <c r="H532" s="49"/>
      <c r="I532" s="50"/>
      <c r="J532" s="50"/>
      <c r="K532" s="51" t="str">
        <f t="shared" si="24"/>
        <v/>
      </c>
      <c r="L532" s="52" t="str">
        <f t="shared" si="25"/>
        <v/>
      </c>
      <c r="M532" s="53" t="str">
        <f t="shared" si="26"/>
        <v/>
      </c>
      <c r="N532" s="49"/>
    </row>
    <row r="533" spans="2:14" ht="18" customHeight="1" x14ac:dyDescent="0.25">
      <c r="B533" s="47" t="str">
        <f>IF(C533="","",COUNT($C$7:C533))</f>
        <v/>
      </c>
      <c r="C533" s="48"/>
      <c r="D533" s="49"/>
      <c r="E533" s="49"/>
      <c r="F533" s="49"/>
      <c r="G533" s="49"/>
      <c r="H533" s="49"/>
      <c r="I533" s="50"/>
      <c r="J533" s="50"/>
      <c r="K533" s="51" t="str">
        <f t="shared" si="24"/>
        <v/>
      </c>
      <c r="L533" s="52" t="str">
        <f t="shared" si="25"/>
        <v/>
      </c>
      <c r="M533" s="53" t="str">
        <f t="shared" si="26"/>
        <v/>
      </c>
      <c r="N533" s="49"/>
    </row>
    <row r="534" spans="2:14" ht="18" customHeight="1" x14ac:dyDescent="0.25">
      <c r="B534" s="47" t="str">
        <f>IF(C534="","",COUNT($C$7:C534))</f>
        <v/>
      </c>
      <c r="C534" s="48"/>
      <c r="D534" s="49"/>
      <c r="E534" s="49"/>
      <c r="F534" s="49"/>
      <c r="G534" s="49"/>
      <c r="H534" s="49"/>
      <c r="I534" s="50"/>
      <c r="J534" s="50"/>
      <c r="K534" s="51" t="str">
        <f t="shared" si="24"/>
        <v/>
      </c>
      <c r="L534" s="52" t="str">
        <f t="shared" si="25"/>
        <v/>
      </c>
      <c r="M534" s="53" t="str">
        <f t="shared" si="26"/>
        <v/>
      </c>
      <c r="N534" s="49"/>
    </row>
    <row r="535" spans="2:14" ht="18" customHeight="1" x14ac:dyDescent="0.25">
      <c r="B535" s="47" t="str">
        <f>IF(C535="","",COUNT($C$7:C535))</f>
        <v/>
      </c>
      <c r="C535" s="48"/>
      <c r="D535" s="49"/>
      <c r="E535" s="49"/>
      <c r="F535" s="49"/>
      <c r="G535" s="49"/>
      <c r="H535" s="49"/>
      <c r="I535" s="50"/>
      <c r="J535" s="50"/>
      <c r="K535" s="51" t="str">
        <f t="shared" si="24"/>
        <v/>
      </c>
      <c r="L535" s="52" t="str">
        <f t="shared" si="25"/>
        <v/>
      </c>
      <c r="M535" s="53" t="str">
        <f t="shared" si="26"/>
        <v/>
      </c>
      <c r="N535" s="49"/>
    </row>
    <row r="536" spans="2:14" ht="18" customHeight="1" x14ac:dyDescent="0.25">
      <c r="B536" s="47" t="str">
        <f>IF(C536="","",COUNT($C$7:C536))</f>
        <v/>
      </c>
      <c r="C536" s="48"/>
      <c r="D536" s="49"/>
      <c r="E536" s="49"/>
      <c r="F536" s="49"/>
      <c r="G536" s="49"/>
      <c r="H536" s="49"/>
      <c r="I536" s="50"/>
      <c r="J536" s="50"/>
      <c r="K536" s="51" t="str">
        <f t="shared" si="24"/>
        <v/>
      </c>
      <c r="L536" s="52" t="str">
        <f t="shared" si="25"/>
        <v/>
      </c>
      <c r="M536" s="53" t="str">
        <f t="shared" si="26"/>
        <v/>
      </c>
      <c r="N536" s="49"/>
    </row>
    <row r="537" spans="2:14" ht="18" customHeight="1" x14ac:dyDescent="0.25">
      <c r="B537" s="47" t="str">
        <f>IF(C537="","",COUNT($C$7:C537))</f>
        <v/>
      </c>
      <c r="C537" s="48"/>
      <c r="D537" s="49"/>
      <c r="E537" s="49"/>
      <c r="F537" s="49"/>
      <c r="G537" s="49"/>
      <c r="H537" s="49"/>
      <c r="I537" s="50"/>
      <c r="J537" s="50"/>
      <c r="K537" s="51" t="str">
        <f t="shared" si="24"/>
        <v/>
      </c>
      <c r="L537" s="52" t="str">
        <f t="shared" si="25"/>
        <v/>
      </c>
      <c r="M537" s="53" t="str">
        <f t="shared" si="26"/>
        <v/>
      </c>
      <c r="N537" s="49"/>
    </row>
    <row r="538" spans="2:14" ht="18" customHeight="1" x14ac:dyDescent="0.25">
      <c r="B538" s="47" t="str">
        <f>IF(C538="","",COUNT($C$7:C538))</f>
        <v/>
      </c>
      <c r="C538" s="48"/>
      <c r="D538" s="49"/>
      <c r="E538" s="49"/>
      <c r="F538" s="49"/>
      <c r="G538" s="49"/>
      <c r="H538" s="49"/>
      <c r="I538" s="50"/>
      <c r="J538" s="50"/>
      <c r="K538" s="51" t="str">
        <f t="shared" si="24"/>
        <v/>
      </c>
      <c r="L538" s="52" t="str">
        <f t="shared" si="25"/>
        <v/>
      </c>
      <c r="M538" s="53" t="str">
        <f t="shared" si="26"/>
        <v/>
      </c>
      <c r="N538" s="49"/>
    </row>
    <row r="539" spans="2:14" ht="18" customHeight="1" x14ac:dyDescent="0.25">
      <c r="B539" s="47" t="str">
        <f>IF(C539="","",COUNT($C$7:C539))</f>
        <v/>
      </c>
      <c r="C539" s="48"/>
      <c r="D539" s="49"/>
      <c r="E539" s="49"/>
      <c r="F539" s="49"/>
      <c r="G539" s="49"/>
      <c r="H539" s="49"/>
      <c r="I539" s="50"/>
      <c r="J539" s="50"/>
      <c r="K539" s="51" t="str">
        <f t="shared" si="24"/>
        <v/>
      </c>
      <c r="L539" s="52" t="str">
        <f t="shared" si="25"/>
        <v/>
      </c>
      <c r="M539" s="53" t="str">
        <f t="shared" si="26"/>
        <v/>
      </c>
      <c r="N539" s="49"/>
    </row>
    <row r="540" spans="2:14" ht="18" customHeight="1" x14ac:dyDescent="0.25">
      <c r="B540" s="47" t="str">
        <f>IF(C540="","",COUNT($C$7:C540))</f>
        <v/>
      </c>
      <c r="C540" s="48"/>
      <c r="D540" s="49"/>
      <c r="E540" s="49"/>
      <c r="F540" s="49"/>
      <c r="G540" s="49"/>
      <c r="H540" s="49"/>
      <c r="I540" s="50"/>
      <c r="J540" s="50"/>
      <c r="K540" s="51" t="str">
        <f t="shared" si="24"/>
        <v/>
      </c>
      <c r="L540" s="52" t="str">
        <f t="shared" si="25"/>
        <v/>
      </c>
      <c r="M540" s="53" t="str">
        <f t="shared" si="26"/>
        <v/>
      </c>
      <c r="N540" s="49"/>
    </row>
    <row r="541" spans="2:14" ht="18" customHeight="1" x14ac:dyDescent="0.25">
      <c r="B541" s="47" t="str">
        <f>IF(C541="","",COUNT($C$7:C541))</f>
        <v/>
      </c>
      <c r="C541" s="48"/>
      <c r="D541" s="49"/>
      <c r="E541" s="49"/>
      <c r="F541" s="49"/>
      <c r="G541" s="49"/>
      <c r="H541" s="49"/>
      <c r="I541" s="50"/>
      <c r="J541" s="50"/>
      <c r="K541" s="51" t="str">
        <f t="shared" si="24"/>
        <v/>
      </c>
      <c r="L541" s="52" t="str">
        <f t="shared" si="25"/>
        <v/>
      </c>
      <c r="M541" s="53" t="str">
        <f t="shared" si="26"/>
        <v/>
      </c>
      <c r="N541" s="49"/>
    </row>
    <row r="542" spans="2:14" ht="18" customHeight="1" x14ac:dyDescent="0.25">
      <c r="B542" s="47" t="str">
        <f>IF(C542="","",COUNT($C$7:C542))</f>
        <v/>
      </c>
      <c r="C542" s="48"/>
      <c r="D542" s="49"/>
      <c r="E542" s="49"/>
      <c r="F542" s="49"/>
      <c r="G542" s="49"/>
      <c r="H542" s="49"/>
      <c r="I542" s="50"/>
      <c r="J542" s="50"/>
      <c r="K542" s="51" t="str">
        <f t="shared" si="24"/>
        <v/>
      </c>
      <c r="L542" s="52" t="str">
        <f t="shared" si="25"/>
        <v/>
      </c>
      <c r="M542" s="53" t="str">
        <f t="shared" si="26"/>
        <v/>
      </c>
      <c r="N542" s="49"/>
    </row>
    <row r="543" spans="2:14" ht="18" customHeight="1" x14ac:dyDescent="0.25">
      <c r="B543" s="47" t="str">
        <f>IF(C543="","",COUNT($C$7:C543))</f>
        <v/>
      </c>
      <c r="C543" s="48"/>
      <c r="D543" s="49"/>
      <c r="E543" s="49"/>
      <c r="F543" s="49"/>
      <c r="G543" s="49"/>
      <c r="H543" s="49"/>
      <c r="I543" s="50"/>
      <c r="J543" s="50"/>
      <c r="K543" s="51" t="str">
        <f t="shared" si="24"/>
        <v/>
      </c>
      <c r="L543" s="52" t="str">
        <f t="shared" si="25"/>
        <v/>
      </c>
      <c r="M543" s="53" t="str">
        <f t="shared" si="26"/>
        <v/>
      </c>
      <c r="N543" s="49"/>
    </row>
    <row r="544" spans="2:14" ht="18" customHeight="1" x14ac:dyDescent="0.25">
      <c r="B544" s="47" t="str">
        <f>IF(C544="","",COUNT($C$7:C544))</f>
        <v/>
      </c>
      <c r="C544" s="48"/>
      <c r="D544" s="49"/>
      <c r="E544" s="49"/>
      <c r="F544" s="49"/>
      <c r="G544" s="49"/>
      <c r="H544" s="49"/>
      <c r="I544" s="50"/>
      <c r="J544" s="50"/>
      <c r="K544" s="51" t="str">
        <f t="shared" si="24"/>
        <v/>
      </c>
      <c r="L544" s="52" t="str">
        <f t="shared" si="25"/>
        <v/>
      </c>
      <c r="M544" s="53" t="str">
        <f t="shared" si="26"/>
        <v/>
      </c>
      <c r="N544" s="49"/>
    </row>
    <row r="545" spans="2:14" ht="18" customHeight="1" x14ac:dyDescent="0.25">
      <c r="B545" s="47" t="str">
        <f>IF(C545="","",COUNT($C$7:C545))</f>
        <v/>
      </c>
      <c r="C545" s="48"/>
      <c r="D545" s="49"/>
      <c r="E545" s="49"/>
      <c r="F545" s="49"/>
      <c r="G545" s="49"/>
      <c r="H545" s="49"/>
      <c r="I545" s="50"/>
      <c r="J545" s="50"/>
      <c r="K545" s="51" t="str">
        <f t="shared" si="24"/>
        <v/>
      </c>
      <c r="L545" s="52" t="str">
        <f t="shared" si="25"/>
        <v/>
      </c>
      <c r="M545" s="53" t="str">
        <f t="shared" si="26"/>
        <v/>
      </c>
      <c r="N545" s="49"/>
    </row>
    <row r="546" spans="2:14" ht="18" customHeight="1" x14ac:dyDescent="0.25">
      <c r="B546" s="47" t="str">
        <f>IF(C546="","",COUNT($C$7:C546))</f>
        <v/>
      </c>
      <c r="C546" s="48"/>
      <c r="D546" s="49"/>
      <c r="E546" s="49"/>
      <c r="F546" s="49"/>
      <c r="G546" s="49"/>
      <c r="H546" s="49"/>
      <c r="I546" s="50"/>
      <c r="J546" s="50"/>
      <c r="K546" s="51" t="str">
        <f t="shared" si="24"/>
        <v/>
      </c>
      <c r="L546" s="52" t="str">
        <f t="shared" si="25"/>
        <v/>
      </c>
      <c r="M546" s="53" t="str">
        <f t="shared" si="26"/>
        <v/>
      </c>
      <c r="N546" s="49"/>
    </row>
    <row r="547" spans="2:14" ht="18" customHeight="1" x14ac:dyDescent="0.25">
      <c r="B547" s="47" t="str">
        <f>IF(C547="","",COUNT($C$7:C547))</f>
        <v/>
      </c>
      <c r="C547" s="48"/>
      <c r="D547" s="49"/>
      <c r="E547" s="49"/>
      <c r="F547" s="49"/>
      <c r="G547" s="49"/>
      <c r="H547" s="49"/>
      <c r="I547" s="50"/>
      <c r="J547" s="50"/>
      <c r="K547" s="51" t="str">
        <f t="shared" si="24"/>
        <v/>
      </c>
      <c r="L547" s="52" t="str">
        <f t="shared" si="25"/>
        <v/>
      </c>
      <c r="M547" s="53" t="str">
        <f t="shared" si="26"/>
        <v/>
      </c>
      <c r="N547" s="49"/>
    </row>
    <row r="548" spans="2:14" ht="18" customHeight="1" x14ac:dyDescent="0.25">
      <c r="B548" s="47" t="str">
        <f>IF(C548="","",COUNT($C$7:C548))</f>
        <v/>
      </c>
      <c r="C548" s="48"/>
      <c r="D548" s="49"/>
      <c r="E548" s="49"/>
      <c r="F548" s="49"/>
      <c r="G548" s="49"/>
      <c r="H548" s="49"/>
      <c r="I548" s="50"/>
      <c r="J548" s="50"/>
      <c r="K548" s="51" t="str">
        <f t="shared" si="24"/>
        <v/>
      </c>
      <c r="L548" s="52" t="str">
        <f t="shared" si="25"/>
        <v/>
      </c>
      <c r="M548" s="53" t="str">
        <f t="shared" si="26"/>
        <v/>
      </c>
      <c r="N548" s="49"/>
    </row>
    <row r="549" spans="2:14" ht="18" customHeight="1" x14ac:dyDescent="0.25">
      <c r="B549" s="47" t="str">
        <f>IF(C549="","",COUNT($C$7:C549))</f>
        <v/>
      </c>
      <c r="C549" s="48"/>
      <c r="D549" s="49"/>
      <c r="E549" s="49"/>
      <c r="F549" s="49"/>
      <c r="G549" s="49"/>
      <c r="H549" s="49"/>
      <c r="I549" s="50"/>
      <c r="J549" s="50"/>
      <c r="K549" s="51" t="str">
        <f t="shared" si="24"/>
        <v/>
      </c>
      <c r="L549" s="52" t="str">
        <f t="shared" si="25"/>
        <v/>
      </c>
      <c r="M549" s="53" t="str">
        <f t="shared" si="26"/>
        <v/>
      </c>
      <c r="N549" s="49"/>
    </row>
    <row r="550" spans="2:14" ht="18" customHeight="1" x14ac:dyDescent="0.25">
      <c r="B550" s="47" t="str">
        <f>IF(C550="","",COUNT($C$7:C550))</f>
        <v/>
      </c>
      <c r="C550" s="48"/>
      <c r="D550" s="49"/>
      <c r="E550" s="49"/>
      <c r="F550" s="49"/>
      <c r="G550" s="49"/>
      <c r="H550" s="49"/>
      <c r="I550" s="50"/>
      <c r="J550" s="50"/>
      <c r="K550" s="51" t="str">
        <f t="shared" si="24"/>
        <v/>
      </c>
      <c r="L550" s="52" t="str">
        <f t="shared" si="25"/>
        <v/>
      </c>
      <c r="M550" s="53" t="str">
        <f t="shared" si="26"/>
        <v/>
      </c>
      <c r="N550" s="49"/>
    </row>
    <row r="551" spans="2:14" ht="18" customHeight="1" x14ac:dyDescent="0.25">
      <c r="B551" s="47" t="str">
        <f>IF(C551="","",COUNT($C$7:C551))</f>
        <v/>
      </c>
      <c r="C551" s="48"/>
      <c r="D551" s="49"/>
      <c r="E551" s="49"/>
      <c r="F551" s="49"/>
      <c r="G551" s="49"/>
      <c r="H551" s="49"/>
      <c r="I551" s="50"/>
      <c r="J551" s="50"/>
      <c r="K551" s="51" t="str">
        <f t="shared" si="24"/>
        <v/>
      </c>
      <c r="L551" s="52" t="str">
        <f t="shared" si="25"/>
        <v/>
      </c>
      <c r="M551" s="53" t="str">
        <f t="shared" si="26"/>
        <v/>
      </c>
      <c r="N551" s="49"/>
    </row>
    <row r="552" spans="2:14" ht="18" customHeight="1" x14ac:dyDescent="0.25">
      <c r="B552" s="47" t="str">
        <f>IF(C552="","",COUNT($C$7:C552))</f>
        <v/>
      </c>
      <c r="C552" s="48"/>
      <c r="D552" s="49"/>
      <c r="E552" s="49"/>
      <c r="F552" s="49"/>
      <c r="G552" s="49"/>
      <c r="H552" s="49"/>
      <c r="I552" s="50"/>
      <c r="J552" s="50"/>
      <c r="K552" s="51" t="str">
        <f t="shared" si="24"/>
        <v/>
      </c>
      <c r="L552" s="52" t="str">
        <f t="shared" si="25"/>
        <v/>
      </c>
      <c r="M552" s="53" t="str">
        <f t="shared" si="26"/>
        <v/>
      </c>
      <c r="N552" s="49"/>
    </row>
    <row r="553" spans="2:14" ht="18" customHeight="1" x14ac:dyDescent="0.25">
      <c r="B553" s="47" t="str">
        <f>IF(C553="","",COUNT($C$7:C553))</f>
        <v/>
      </c>
      <c r="C553" s="48"/>
      <c r="D553" s="49"/>
      <c r="E553" s="49"/>
      <c r="F553" s="49"/>
      <c r="G553" s="49"/>
      <c r="H553" s="49"/>
      <c r="I553" s="50"/>
      <c r="J553" s="50"/>
      <c r="K553" s="51" t="str">
        <f t="shared" si="24"/>
        <v/>
      </c>
      <c r="L553" s="52" t="str">
        <f t="shared" si="25"/>
        <v/>
      </c>
      <c r="M553" s="53" t="str">
        <f t="shared" si="26"/>
        <v/>
      </c>
      <c r="N553" s="49"/>
    </row>
    <row r="554" spans="2:14" ht="18" customHeight="1" x14ac:dyDescent="0.25">
      <c r="B554" s="47" t="str">
        <f>IF(C554="","",COUNT($C$7:C554))</f>
        <v/>
      </c>
      <c r="C554" s="48"/>
      <c r="D554" s="49"/>
      <c r="E554" s="49"/>
      <c r="F554" s="49"/>
      <c r="G554" s="49"/>
      <c r="H554" s="49"/>
      <c r="I554" s="50"/>
      <c r="J554" s="50"/>
      <c r="K554" s="51" t="str">
        <f t="shared" si="24"/>
        <v/>
      </c>
      <c r="L554" s="52" t="str">
        <f t="shared" si="25"/>
        <v/>
      </c>
      <c r="M554" s="53" t="str">
        <f t="shared" si="26"/>
        <v/>
      </c>
      <c r="N554" s="49"/>
    </row>
    <row r="555" spans="2:14" ht="18" customHeight="1" x14ac:dyDescent="0.25">
      <c r="B555" s="47" t="str">
        <f>IF(C555="","",COUNT($C$7:C555))</f>
        <v/>
      </c>
      <c r="C555" s="48"/>
      <c r="D555" s="49"/>
      <c r="E555" s="49"/>
      <c r="F555" s="49"/>
      <c r="G555" s="49"/>
      <c r="H555" s="49"/>
      <c r="I555" s="50"/>
      <c r="J555" s="50"/>
      <c r="K555" s="51" t="str">
        <f t="shared" si="24"/>
        <v/>
      </c>
      <c r="L555" s="52" t="str">
        <f t="shared" si="25"/>
        <v/>
      </c>
      <c r="M555" s="53" t="str">
        <f t="shared" si="26"/>
        <v/>
      </c>
      <c r="N555" s="49"/>
    </row>
    <row r="556" spans="2:14" ht="18" customHeight="1" x14ac:dyDescent="0.25">
      <c r="B556" s="47" t="str">
        <f>IF(C556="","",COUNT($C$7:C556))</f>
        <v/>
      </c>
      <c r="C556" s="48"/>
      <c r="D556" s="49"/>
      <c r="E556" s="49"/>
      <c r="F556" s="49"/>
      <c r="G556" s="49"/>
      <c r="H556" s="49"/>
      <c r="I556" s="50"/>
      <c r="J556" s="50"/>
      <c r="K556" s="51" t="str">
        <f t="shared" si="24"/>
        <v/>
      </c>
      <c r="L556" s="52" t="str">
        <f t="shared" si="25"/>
        <v/>
      </c>
      <c r="M556" s="53" t="str">
        <f t="shared" si="26"/>
        <v/>
      </c>
      <c r="N556" s="49"/>
    </row>
    <row r="557" spans="2:14" ht="18" customHeight="1" x14ac:dyDescent="0.25">
      <c r="B557" s="47" t="str">
        <f>IF(C557="","",COUNT($C$7:C557))</f>
        <v/>
      </c>
      <c r="C557" s="48"/>
      <c r="D557" s="49"/>
      <c r="E557" s="49"/>
      <c r="F557" s="49"/>
      <c r="G557" s="49"/>
      <c r="H557" s="49"/>
      <c r="I557" s="50"/>
      <c r="J557" s="50"/>
      <c r="K557" s="51" t="str">
        <f t="shared" si="24"/>
        <v/>
      </c>
      <c r="L557" s="52" t="str">
        <f t="shared" si="25"/>
        <v/>
      </c>
      <c r="M557" s="53" t="str">
        <f t="shared" si="26"/>
        <v/>
      </c>
      <c r="N557" s="49"/>
    </row>
    <row r="558" spans="2:14" ht="18" customHeight="1" x14ac:dyDescent="0.25">
      <c r="B558" s="47" t="str">
        <f>IF(C558="","",COUNT($C$7:C558))</f>
        <v/>
      </c>
      <c r="C558" s="48"/>
      <c r="D558" s="49"/>
      <c r="E558" s="49"/>
      <c r="F558" s="49"/>
      <c r="G558" s="49"/>
      <c r="H558" s="49"/>
      <c r="I558" s="50"/>
      <c r="J558" s="50"/>
      <c r="K558" s="51" t="str">
        <f t="shared" si="24"/>
        <v/>
      </c>
      <c r="L558" s="52" t="str">
        <f t="shared" si="25"/>
        <v/>
      </c>
      <c r="M558" s="53" t="str">
        <f t="shared" si="26"/>
        <v/>
      </c>
      <c r="N558" s="49"/>
    </row>
    <row r="559" spans="2:14" ht="18" customHeight="1" x14ac:dyDescent="0.25">
      <c r="B559" s="47" t="str">
        <f>IF(C559="","",COUNT($C$7:C559))</f>
        <v/>
      </c>
      <c r="C559" s="48"/>
      <c r="D559" s="49"/>
      <c r="E559" s="49"/>
      <c r="F559" s="49"/>
      <c r="G559" s="49"/>
      <c r="H559" s="49"/>
      <c r="I559" s="50"/>
      <c r="J559" s="50"/>
      <c r="K559" s="51" t="str">
        <f t="shared" si="24"/>
        <v/>
      </c>
      <c r="L559" s="52" t="str">
        <f t="shared" si="25"/>
        <v/>
      </c>
      <c r="M559" s="53" t="str">
        <f t="shared" si="26"/>
        <v/>
      </c>
      <c r="N559" s="49"/>
    </row>
    <row r="560" spans="2:14" ht="18" customHeight="1" x14ac:dyDescent="0.25">
      <c r="B560" s="47" t="str">
        <f>IF(C560="","",COUNT($C$7:C560))</f>
        <v/>
      </c>
      <c r="C560" s="48"/>
      <c r="D560" s="49"/>
      <c r="E560" s="49"/>
      <c r="F560" s="49"/>
      <c r="G560" s="49"/>
      <c r="H560" s="49"/>
      <c r="I560" s="50"/>
      <c r="J560" s="50"/>
      <c r="K560" s="51" t="str">
        <f t="shared" si="24"/>
        <v/>
      </c>
      <c r="L560" s="52" t="str">
        <f t="shared" si="25"/>
        <v/>
      </c>
      <c r="M560" s="53" t="str">
        <f t="shared" si="26"/>
        <v/>
      </c>
      <c r="N560" s="49"/>
    </row>
    <row r="561" spans="2:14" ht="18" customHeight="1" x14ac:dyDescent="0.25">
      <c r="B561" s="47" t="str">
        <f>IF(C561="","",COUNT($C$7:C561))</f>
        <v/>
      </c>
      <c r="C561" s="48"/>
      <c r="D561" s="49"/>
      <c r="E561" s="49"/>
      <c r="F561" s="49"/>
      <c r="G561" s="49"/>
      <c r="H561" s="49"/>
      <c r="I561" s="50"/>
      <c r="J561" s="50"/>
      <c r="K561" s="51" t="str">
        <f t="shared" si="24"/>
        <v/>
      </c>
      <c r="L561" s="52" t="str">
        <f t="shared" si="25"/>
        <v/>
      </c>
      <c r="M561" s="53" t="str">
        <f t="shared" si="26"/>
        <v/>
      </c>
      <c r="N561" s="49"/>
    </row>
    <row r="562" spans="2:14" ht="18" customHeight="1" x14ac:dyDescent="0.25">
      <c r="B562" s="47" t="str">
        <f>IF(C562="","",COUNT($C$7:C562))</f>
        <v/>
      </c>
      <c r="C562" s="48"/>
      <c r="D562" s="49"/>
      <c r="E562" s="49"/>
      <c r="F562" s="49"/>
      <c r="G562" s="49"/>
      <c r="H562" s="49"/>
      <c r="I562" s="50"/>
      <c r="J562" s="50"/>
      <c r="K562" s="51" t="str">
        <f t="shared" si="24"/>
        <v/>
      </c>
      <c r="L562" s="52" t="str">
        <f t="shared" si="25"/>
        <v/>
      </c>
      <c r="M562" s="53" t="str">
        <f t="shared" si="26"/>
        <v/>
      </c>
      <c r="N562" s="49"/>
    </row>
    <row r="563" spans="2:14" ht="18" customHeight="1" x14ac:dyDescent="0.25">
      <c r="B563" s="47" t="str">
        <f>IF(C563="","",COUNT($C$7:C563))</f>
        <v/>
      </c>
      <c r="C563" s="48"/>
      <c r="D563" s="49"/>
      <c r="E563" s="49"/>
      <c r="F563" s="49"/>
      <c r="G563" s="49"/>
      <c r="H563" s="49"/>
      <c r="I563" s="50"/>
      <c r="J563" s="50"/>
      <c r="K563" s="51" t="str">
        <f t="shared" si="24"/>
        <v/>
      </c>
      <c r="L563" s="52" t="str">
        <f t="shared" si="25"/>
        <v/>
      </c>
      <c r="M563" s="53" t="str">
        <f t="shared" si="26"/>
        <v/>
      </c>
      <c r="N563" s="49"/>
    </row>
    <row r="564" spans="2:14" ht="18" customHeight="1" x14ac:dyDescent="0.25">
      <c r="B564" s="47" t="str">
        <f>IF(C564="","",COUNT($C$7:C564))</f>
        <v/>
      </c>
      <c r="C564" s="48"/>
      <c r="D564" s="49"/>
      <c r="E564" s="49"/>
      <c r="F564" s="49"/>
      <c r="G564" s="49"/>
      <c r="H564" s="49"/>
      <c r="I564" s="50"/>
      <c r="J564" s="50"/>
      <c r="K564" s="51" t="str">
        <f t="shared" si="24"/>
        <v/>
      </c>
      <c r="L564" s="52" t="str">
        <f t="shared" si="25"/>
        <v/>
      </c>
      <c r="M564" s="53" t="str">
        <f t="shared" si="26"/>
        <v/>
      </c>
      <c r="N564" s="49"/>
    </row>
    <row r="565" spans="2:14" ht="18" customHeight="1" x14ac:dyDescent="0.25">
      <c r="B565" s="47" t="str">
        <f>IF(C565="","",COUNT($C$7:C565))</f>
        <v/>
      </c>
      <c r="C565" s="48"/>
      <c r="D565" s="49"/>
      <c r="E565" s="49"/>
      <c r="F565" s="49"/>
      <c r="G565" s="49"/>
      <c r="H565" s="49"/>
      <c r="I565" s="50"/>
      <c r="J565" s="50"/>
      <c r="K565" s="51" t="str">
        <f t="shared" si="24"/>
        <v/>
      </c>
      <c r="L565" s="52" t="str">
        <f t="shared" si="25"/>
        <v/>
      </c>
      <c r="M565" s="53" t="str">
        <f t="shared" si="26"/>
        <v/>
      </c>
      <c r="N565" s="49"/>
    </row>
    <row r="566" spans="2:14" ht="18" customHeight="1" x14ac:dyDescent="0.25">
      <c r="B566" s="47" t="str">
        <f>IF(C566="","",COUNT($C$7:C566))</f>
        <v/>
      </c>
      <c r="C566" s="48"/>
      <c r="D566" s="49"/>
      <c r="E566" s="49"/>
      <c r="F566" s="49"/>
      <c r="G566" s="49"/>
      <c r="H566" s="49"/>
      <c r="I566" s="50"/>
      <c r="J566" s="50"/>
      <c r="K566" s="51" t="str">
        <f t="shared" si="24"/>
        <v/>
      </c>
      <c r="L566" s="52" t="str">
        <f t="shared" si="25"/>
        <v/>
      </c>
      <c r="M566" s="53" t="str">
        <f t="shared" si="26"/>
        <v/>
      </c>
      <c r="N566" s="49"/>
    </row>
    <row r="567" spans="2:14" ht="18" customHeight="1" x14ac:dyDescent="0.25">
      <c r="B567" s="47" t="str">
        <f>IF(C567="","",COUNT($C$7:C567))</f>
        <v/>
      </c>
      <c r="C567" s="48"/>
      <c r="D567" s="49"/>
      <c r="E567" s="49"/>
      <c r="F567" s="49"/>
      <c r="G567" s="49"/>
      <c r="H567" s="49"/>
      <c r="I567" s="50"/>
      <c r="J567" s="50"/>
      <c r="K567" s="51" t="str">
        <f t="shared" si="24"/>
        <v/>
      </c>
      <c r="L567" s="52" t="str">
        <f t="shared" si="25"/>
        <v/>
      </c>
      <c r="M567" s="53" t="str">
        <f t="shared" si="26"/>
        <v/>
      </c>
      <c r="N567" s="49"/>
    </row>
    <row r="568" spans="2:14" ht="18" customHeight="1" x14ac:dyDescent="0.25">
      <c r="B568" s="47" t="str">
        <f>IF(C568="","",COUNT($C$7:C568))</f>
        <v/>
      </c>
      <c r="C568" s="48"/>
      <c r="D568" s="49"/>
      <c r="E568" s="49"/>
      <c r="F568" s="49"/>
      <c r="G568" s="49"/>
      <c r="H568" s="49"/>
      <c r="I568" s="50"/>
      <c r="J568" s="50"/>
      <c r="K568" s="51" t="str">
        <f t="shared" si="24"/>
        <v/>
      </c>
      <c r="L568" s="52" t="str">
        <f t="shared" si="25"/>
        <v/>
      </c>
      <c r="M568" s="53" t="str">
        <f t="shared" si="26"/>
        <v/>
      </c>
      <c r="N568" s="49"/>
    </row>
    <row r="569" spans="2:14" ht="18" customHeight="1" x14ac:dyDescent="0.25">
      <c r="B569" s="47" t="str">
        <f>IF(C569="","",COUNT($C$7:C569))</f>
        <v/>
      </c>
      <c r="C569" s="48"/>
      <c r="D569" s="49"/>
      <c r="E569" s="49"/>
      <c r="F569" s="49"/>
      <c r="G569" s="49"/>
      <c r="H569" s="49"/>
      <c r="I569" s="50"/>
      <c r="J569" s="50"/>
      <c r="K569" s="51" t="str">
        <f t="shared" si="24"/>
        <v/>
      </c>
      <c r="L569" s="52" t="str">
        <f t="shared" si="25"/>
        <v/>
      </c>
      <c r="M569" s="53" t="str">
        <f t="shared" si="26"/>
        <v/>
      </c>
      <c r="N569" s="49"/>
    </row>
    <row r="570" spans="2:14" ht="18" customHeight="1" x14ac:dyDescent="0.25">
      <c r="B570" s="47" t="str">
        <f>IF(C570="","",COUNT($C$7:C570))</f>
        <v/>
      </c>
      <c r="C570" s="48"/>
      <c r="D570" s="49"/>
      <c r="E570" s="49"/>
      <c r="F570" s="49"/>
      <c r="G570" s="49"/>
      <c r="H570" s="49"/>
      <c r="I570" s="50"/>
      <c r="J570" s="50"/>
      <c r="K570" s="51" t="str">
        <f t="shared" si="24"/>
        <v/>
      </c>
      <c r="L570" s="52" t="str">
        <f t="shared" si="25"/>
        <v/>
      </c>
      <c r="M570" s="53" t="str">
        <f t="shared" si="26"/>
        <v/>
      </c>
      <c r="N570" s="49"/>
    </row>
    <row r="571" spans="2:14" ht="18" customHeight="1" x14ac:dyDescent="0.25">
      <c r="B571" s="47" t="str">
        <f>IF(C571="","",COUNT($C$7:C571))</f>
        <v/>
      </c>
      <c r="C571" s="48"/>
      <c r="D571" s="49"/>
      <c r="E571" s="49"/>
      <c r="F571" s="49"/>
      <c r="G571" s="49"/>
      <c r="H571" s="49"/>
      <c r="I571" s="50"/>
      <c r="J571" s="50"/>
      <c r="K571" s="51" t="str">
        <f t="shared" si="24"/>
        <v/>
      </c>
      <c r="L571" s="52" t="str">
        <f t="shared" si="25"/>
        <v/>
      </c>
      <c r="M571" s="53" t="str">
        <f t="shared" si="26"/>
        <v/>
      </c>
      <c r="N571" s="49"/>
    </row>
    <row r="572" spans="2:14" ht="18" customHeight="1" x14ac:dyDescent="0.25">
      <c r="B572" s="47" t="str">
        <f>IF(C572="","",COUNT($C$7:C572))</f>
        <v/>
      </c>
      <c r="C572" s="48"/>
      <c r="D572" s="49"/>
      <c r="E572" s="49"/>
      <c r="F572" s="49"/>
      <c r="G572" s="49"/>
      <c r="H572" s="49"/>
      <c r="I572" s="50"/>
      <c r="J572" s="50"/>
      <c r="K572" s="51" t="str">
        <f t="shared" si="24"/>
        <v/>
      </c>
      <c r="L572" s="52" t="str">
        <f t="shared" si="25"/>
        <v/>
      </c>
      <c r="M572" s="53" t="str">
        <f t="shared" si="26"/>
        <v/>
      </c>
      <c r="N572" s="49"/>
    </row>
    <row r="573" spans="2:14" ht="18" customHeight="1" x14ac:dyDescent="0.25">
      <c r="B573" s="47" t="str">
        <f>IF(C573="","",COUNT($C$7:C573))</f>
        <v/>
      </c>
      <c r="C573" s="48"/>
      <c r="D573" s="49"/>
      <c r="E573" s="49"/>
      <c r="F573" s="49"/>
      <c r="G573" s="49"/>
      <c r="H573" s="49"/>
      <c r="I573" s="50"/>
      <c r="J573" s="50"/>
      <c r="K573" s="51" t="str">
        <f t="shared" si="24"/>
        <v/>
      </c>
      <c r="L573" s="52" t="str">
        <f t="shared" si="25"/>
        <v/>
      </c>
      <c r="M573" s="53" t="str">
        <f t="shared" si="26"/>
        <v/>
      </c>
      <c r="N573" s="49"/>
    </row>
    <row r="574" spans="2:14" ht="18" customHeight="1" x14ac:dyDescent="0.25">
      <c r="B574" s="47" t="str">
        <f>IF(C574="","",COUNT($C$7:C574))</f>
        <v/>
      </c>
      <c r="C574" s="48"/>
      <c r="D574" s="49"/>
      <c r="E574" s="49"/>
      <c r="F574" s="49"/>
      <c r="G574" s="49"/>
      <c r="H574" s="49"/>
      <c r="I574" s="50"/>
      <c r="J574" s="50"/>
      <c r="K574" s="51" t="str">
        <f t="shared" si="24"/>
        <v/>
      </c>
      <c r="L574" s="52" t="str">
        <f t="shared" si="25"/>
        <v/>
      </c>
      <c r="M574" s="53" t="str">
        <f t="shared" si="26"/>
        <v/>
      </c>
      <c r="N574" s="49"/>
    </row>
    <row r="575" spans="2:14" ht="18" customHeight="1" x14ac:dyDescent="0.25">
      <c r="B575" s="47" t="str">
        <f>IF(C575="","",COUNT($C$7:C575))</f>
        <v/>
      </c>
      <c r="C575" s="48"/>
      <c r="D575" s="49"/>
      <c r="E575" s="49"/>
      <c r="F575" s="49"/>
      <c r="G575" s="49"/>
      <c r="H575" s="49"/>
      <c r="I575" s="50"/>
      <c r="J575" s="50"/>
      <c r="K575" s="51" t="str">
        <f t="shared" si="24"/>
        <v/>
      </c>
      <c r="L575" s="52" t="str">
        <f t="shared" si="25"/>
        <v/>
      </c>
      <c r="M575" s="53" t="str">
        <f t="shared" si="26"/>
        <v/>
      </c>
      <c r="N575" s="49"/>
    </row>
    <row r="576" spans="2:14" ht="18" customHeight="1" x14ac:dyDescent="0.25">
      <c r="B576" s="47" t="str">
        <f>IF(C576="","",COUNT($C$7:C576))</f>
        <v/>
      </c>
      <c r="C576" s="48"/>
      <c r="D576" s="49"/>
      <c r="E576" s="49"/>
      <c r="F576" s="49"/>
      <c r="G576" s="49"/>
      <c r="H576" s="49"/>
      <c r="I576" s="50"/>
      <c r="J576" s="50"/>
      <c r="K576" s="51" t="str">
        <f t="shared" si="24"/>
        <v/>
      </c>
      <c r="L576" s="52" t="str">
        <f t="shared" si="25"/>
        <v/>
      </c>
      <c r="M576" s="53" t="str">
        <f t="shared" si="26"/>
        <v/>
      </c>
      <c r="N576" s="49"/>
    </row>
    <row r="577" spans="2:14" ht="18" customHeight="1" x14ac:dyDescent="0.25">
      <c r="B577" s="47" t="str">
        <f>IF(C577="","",COUNT($C$7:C577))</f>
        <v/>
      </c>
      <c r="C577" s="48"/>
      <c r="D577" s="49"/>
      <c r="E577" s="49"/>
      <c r="F577" s="49"/>
      <c r="G577" s="49"/>
      <c r="H577" s="49"/>
      <c r="I577" s="50"/>
      <c r="J577" s="50"/>
      <c r="K577" s="51" t="str">
        <f t="shared" si="24"/>
        <v/>
      </c>
      <c r="L577" s="52" t="str">
        <f t="shared" si="25"/>
        <v/>
      </c>
      <c r="M577" s="53" t="str">
        <f t="shared" si="26"/>
        <v/>
      </c>
      <c r="N577" s="49"/>
    </row>
    <row r="578" spans="2:14" ht="18" customHeight="1" x14ac:dyDescent="0.25">
      <c r="B578" s="47" t="str">
        <f>IF(C578="","",COUNT($C$7:C578))</f>
        <v/>
      </c>
      <c r="C578" s="48"/>
      <c r="D578" s="49"/>
      <c r="E578" s="49"/>
      <c r="F578" s="49"/>
      <c r="G578" s="49"/>
      <c r="H578" s="49"/>
      <c r="I578" s="50"/>
      <c r="J578" s="50"/>
      <c r="K578" s="51" t="str">
        <f t="shared" si="24"/>
        <v/>
      </c>
      <c r="L578" s="52" t="str">
        <f t="shared" si="25"/>
        <v/>
      </c>
      <c r="M578" s="53" t="str">
        <f t="shared" si="26"/>
        <v/>
      </c>
      <c r="N578" s="49"/>
    </row>
    <row r="579" spans="2:14" ht="18" customHeight="1" x14ac:dyDescent="0.25">
      <c r="B579" s="47" t="str">
        <f>IF(C579="","",COUNT($C$7:C579))</f>
        <v/>
      </c>
      <c r="C579" s="48"/>
      <c r="D579" s="49"/>
      <c r="E579" s="49"/>
      <c r="F579" s="49"/>
      <c r="G579" s="49"/>
      <c r="H579" s="49"/>
      <c r="I579" s="50"/>
      <c r="J579" s="50"/>
      <c r="K579" s="51" t="str">
        <f t="shared" si="24"/>
        <v/>
      </c>
      <c r="L579" s="52" t="str">
        <f t="shared" si="25"/>
        <v/>
      </c>
      <c r="M579" s="53" t="str">
        <f t="shared" si="26"/>
        <v/>
      </c>
      <c r="N579" s="49"/>
    </row>
    <row r="580" spans="2:14" ht="18" customHeight="1" x14ac:dyDescent="0.25">
      <c r="B580" s="47" t="str">
        <f>IF(C580="","",COUNT($C$7:C580))</f>
        <v/>
      </c>
      <c r="C580" s="48"/>
      <c r="D580" s="49"/>
      <c r="E580" s="49"/>
      <c r="F580" s="49"/>
      <c r="G580" s="49"/>
      <c r="H580" s="49"/>
      <c r="I580" s="50"/>
      <c r="J580" s="50"/>
      <c r="K580" s="51" t="str">
        <f t="shared" si="24"/>
        <v/>
      </c>
      <c r="L580" s="52" t="str">
        <f t="shared" si="25"/>
        <v/>
      </c>
      <c r="M580" s="53" t="str">
        <f t="shared" si="26"/>
        <v/>
      </c>
      <c r="N580" s="49"/>
    </row>
    <row r="581" spans="2:14" ht="18" customHeight="1" x14ac:dyDescent="0.25">
      <c r="B581" s="47" t="str">
        <f>IF(C581="","",COUNT($C$7:C581))</f>
        <v/>
      </c>
      <c r="C581" s="48"/>
      <c r="D581" s="49"/>
      <c r="E581" s="49"/>
      <c r="F581" s="49"/>
      <c r="G581" s="49"/>
      <c r="H581" s="49"/>
      <c r="I581" s="50"/>
      <c r="J581" s="50"/>
      <c r="K581" s="51" t="str">
        <f t="shared" si="24"/>
        <v/>
      </c>
      <c r="L581" s="52" t="str">
        <f t="shared" si="25"/>
        <v/>
      </c>
      <c r="M581" s="53" t="str">
        <f t="shared" si="26"/>
        <v/>
      </c>
      <c r="N581" s="49"/>
    </row>
    <row r="582" spans="2:14" ht="18" customHeight="1" x14ac:dyDescent="0.25">
      <c r="B582" s="47" t="str">
        <f>IF(C582="","",COUNT($C$7:C582))</f>
        <v/>
      </c>
      <c r="C582" s="48"/>
      <c r="D582" s="49"/>
      <c r="E582" s="49"/>
      <c r="F582" s="49"/>
      <c r="G582" s="49"/>
      <c r="H582" s="49"/>
      <c r="I582" s="50"/>
      <c r="J582" s="50"/>
      <c r="K582" s="51" t="str">
        <f t="shared" si="24"/>
        <v/>
      </c>
      <c r="L582" s="52" t="str">
        <f t="shared" si="25"/>
        <v/>
      </c>
      <c r="M582" s="53" t="str">
        <f t="shared" si="26"/>
        <v/>
      </c>
      <c r="N582" s="49"/>
    </row>
    <row r="583" spans="2:14" ht="18" customHeight="1" x14ac:dyDescent="0.25">
      <c r="B583" s="47" t="str">
        <f>IF(C583="","",COUNT($C$7:C583))</f>
        <v/>
      </c>
      <c r="C583" s="48"/>
      <c r="D583" s="49"/>
      <c r="E583" s="49"/>
      <c r="F583" s="49"/>
      <c r="G583" s="49"/>
      <c r="H583" s="49"/>
      <c r="I583" s="50"/>
      <c r="J583" s="50"/>
      <c r="K583" s="51" t="str">
        <f t="shared" ref="K583:K646" si="27">IF(OR(I583="",J583=""),"",J583-I583)</f>
        <v/>
      </c>
      <c r="L583" s="52" t="str">
        <f t="shared" si="25"/>
        <v/>
      </c>
      <c r="M583" s="53" t="str">
        <f t="shared" si="26"/>
        <v/>
      </c>
      <c r="N583" s="49"/>
    </row>
    <row r="584" spans="2:14" ht="18" customHeight="1" x14ac:dyDescent="0.25">
      <c r="B584" s="47" t="str">
        <f>IF(C584="","",COUNT($C$7:C584))</f>
        <v/>
      </c>
      <c r="C584" s="48"/>
      <c r="D584" s="49"/>
      <c r="E584" s="49"/>
      <c r="F584" s="49"/>
      <c r="G584" s="49"/>
      <c r="H584" s="49"/>
      <c r="I584" s="50"/>
      <c r="J584" s="50"/>
      <c r="K584" s="51" t="str">
        <f t="shared" si="27"/>
        <v/>
      </c>
      <c r="L584" s="52" t="str">
        <f t="shared" ref="L584:L606" si="28">IF(OR(C584="",I584="",J583=""),"",I584-J583)</f>
        <v/>
      </c>
      <c r="M584" s="53" t="str">
        <f t="shared" ref="M584:M647" si="29">IF(C584="","",IF(OR(D584="",E584="",F584="",H584="",I584="",J584="",AND(H584="Professionnel",G584="")),"Incomplet",IF(AND(ISNUMBER(C583),C584&lt;C583),"Ordre des dates",IF(J584&lt;I584,"Compteur incohérent",IF(AND(ISNUMBER(L584),L584&gt;ToleranceKm),"Km non enregistrés",IF(AND(ISNUMBER(L584),L584&lt;-ToleranceKm),"Chevauchement","Conforme"))))))</f>
        <v/>
      </c>
      <c r="N584" s="49"/>
    </row>
    <row r="585" spans="2:14" ht="18" customHeight="1" x14ac:dyDescent="0.25">
      <c r="B585" s="47" t="str">
        <f>IF(C585="","",COUNT($C$7:C585))</f>
        <v/>
      </c>
      <c r="C585" s="48"/>
      <c r="D585" s="49"/>
      <c r="E585" s="49"/>
      <c r="F585" s="49"/>
      <c r="G585" s="49"/>
      <c r="H585" s="49"/>
      <c r="I585" s="50"/>
      <c r="J585" s="50"/>
      <c r="K585" s="51" t="str">
        <f t="shared" si="27"/>
        <v/>
      </c>
      <c r="L585" s="52" t="str">
        <f t="shared" si="28"/>
        <v/>
      </c>
      <c r="M585" s="53" t="str">
        <f t="shared" si="29"/>
        <v/>
      </c>
      <c r="N585" s="49"/>
    </row>
    <row r="586" spans="2:14" ht="18" customHeight="1" x14ac:dyDescent="0.25">
      <c r="B586" s="47" t="str">
        <f>IF(C586="","",COUNT($C$7:C586))</f>
        <v/>
      </c>
      <c r="C586" s="48"/>
      <c r="D586" s="49"/>
      <c r="E586" s="49"/>
      <c r="F586" s="49"/>
      <c r="G586" s="49"/>
      <c r="H586" s="49"/>
      <c r="I586" s="50"/>
      <c r="J586" s="50"/>
      <c r="K586" s="51" t="str">
        <f t="shared" si="27"/>
        <v/>
      </c>
      <c r="L586" s="52" t="str">
        <f t="shared" si="28"/>
        <v/>
      </c>
      <c r="M586" s="53" t="str">
        <f t="shared" si="29"/>
        <v/>
      </c>
      <c r="N586" s="49"/>
    </row>
    <row r="587" spans="2:14" ht="18" customHeight="1" x14ac:dyDescent="0.25">
      <c r="B587" s="47" t="str">
        <f>IF(C587="","",COUNT($C$7:C587))</f>
        <v/>
      </c>
      <c r="C587" s="48"/>
      <c r="D587" s="49"/>
      <c r="E587" s="49"/>
      <c r="F587" s="49"/>
      <c r="G587" s="49"/>
      <c r="H587" s="49"/>
      <c r="I587" s="50"/>
      <c r="J587" s="50"/>
      <c r="K587" s="51" t="str">
        <f t="shared" si="27"/>
        <v/>
      </c>
      <c r="L587" s="52" t="str">
        <f t="shared" si="28"/>
        <v/>
      </c>
      <c r="M587" s="53" t="str">
        <f t="shared" si="29"/>
        <v/>
      </c>
      <c r="N587" s="49"/>
    </row>
    <row r="588" spans="2:14" ht="18" customHeight="1" x14ac:dyDescent="0.25">
      <c r="B588" s="47" t="str">
        <f>IF(C588="","",COUNT($C$7:C588))</f>
        <v/>
      </c>
      <c r="C588" s="48"/>
      <c r="D588" s="49"/>
      <c r="E588" s="49"/>
      <c r="F588" s="49"/>
      <c r="G588" s="49"/>
      <c r="H588" s="49"/>
      <c r="I588" s="50"/>
      <c r="J588" s="50"/>
      <c r="K588" s="51" t="str">
        <f t="shared" si="27"/>
        <v/>
      </c>
      <c r="L588" s="52" t="str">
        <f t="shared" si="28"/>
        <v/>
      </c>
      <c r="M588" s="53" t="str">
        <f t="shared" si="29"/>
        <v/>
      </c>
      <c r="N588" s="49"/>
    </row>
    <row r="589" spans="2:14" ht="18" customHeight="1" x14ac:dyDescent="0.25">
      <c r="B589" s="47" t="str">
        <f>IF(C589="","",COUNT($C$7:C589))</f>
        <v/>
      </c>
      <c r="C589" s="48"/>
      <c r="D589" s="49"/>
      <c r="E589" s="49"/>
      <c r="F589" s="49"/>
      <c r="G589" s="49"/>
      <c r="H589" s="49"/>
      <c r="I589" s="50"/>
      <c r="J589" s="50"/>
      <c r="K589" s="51" t="str">
        <f t="shared" si="27"/>
        <v/>
      </c>
      <c r="L589" s="52" t="str">
        <f t="shared" si="28"/>
        <v/>
      </c>
      <c r="M589" s="53" t="str">
        <f t="shared" si="29"/>
        <v/>
      </c>
      <c r="N589" s="49"/>
    </row>
    <row r="590" spans="2:14" ht="18" customHeight="1" x14ac:dyDescent="0.25">
      <c r="B590" s="47" t="str">
        <f>IF(C590="","",COUNT($C$7:C590))</f>
        <v/>
      </c>
      <c r="C590" s="48"/>
      <c r="D590" s="49"/>
      <c r="E590" s="49"/>
      <c r="F590" s="49"/>
      <c r="G590" s="49"/>
      <c r="H590" s="49"/>
      <c r="I590" s="50"/>
      <c r="J590" s="50"/>
      <c r="K590" s="51" t="str">
        <f t="shared" si="27"/>
        <v/>
      </c>
      <c r="L590" s="52" t="str">
        <f t="shared" si="28"/>
        <v/>
      </c>
      <c r="M590" s="53" t="str">
        <f t="shared" si="29"/>
        <v/>
      </c>
      <c r="N590" s="49"/>
    </row>
    <row r="591" spans="2:14" ht="18" customHeight="1" x14ac:dyDescent="0.25">
      <c r="B591" s="47" t="str">
        <f>IF(C591="","",COUNT($C$7:C591))</f>
        <v/>
      </c>
      <c r="C591" s="48"/>
      <c r="D591" s="49"/>
      <c r="E591" s="49"/>
      <c r="F591" s="49"/>
      <c r="G591" s="49"/>
      <c r="H591" s="49"/>
      <c r="I591" s="50"/>
      <c r="J591" s="50"/>
      <c r="K591" s="51" t="str">
        <f t="shared" si="27"/>
        <v/>
      </c>
      <c r="L591" s="52" t="str">
        <f t="shared" si="28"/>
        <v/>
      </c>
      <c r="M591" s="53" t="str">
        <f t="shared" si="29"/>
        <v/>
      </c>
      <c r="N591" s="49"/>
    </row>
    <row r="592" spans="2:14" ht="18" customHeight="1" x14ac:dyDescent="0.25">
      <c r="B592" s="47" t="str">
        <f>IF(C592="","",COUNT($C$7:C592))</f>
        <v/>
      </c>
      <c r="C592" s="48"/>
      <c r="D592" s="49"/>
      <c r="E592" s="49"/>
      <c r="F592" s="49"/>
      <c r="G592" s="49"/>
      <c r="H592" s="49"/>
      <c r="I592" s="50"/>
      <c r="J592" s="50"/>
      <c r="K592" s="51" t="str">
        <f t="shared" si="27"/>
        <v/>
      </c>
      <c r="L592" s="52" t="str">
        <f t="shared" si="28"/>
        <v/>
      </c>
      <c r="M592" s="53" t="str">
        <f t="shared" si="29"/>
        <v/>
      </c>
      <c r="N592" s="49"/>
    </row>
    <row r="593" spans="2:14" ht="18" customHeight="1" x14ac:dyDescent="0.25">
      <c r="B593" s="47" t="str">
        <f>IF(C593="","",COUNT($C$7:C593))</f>
        <v/>
      </c>
      <c r="C593" s="48"/>
      <c r="D593" s="49"/>
      <c r="E593" s="49"/>
      <c r="F593" s="49"/>
      <c r="G593" s="49"/>
      <c r="H593" s="49"/>
      <c r="I593" s="50"/>
      <c r="J593" s="50"/>
      <c r="K593" s="51" t="str">
        <f t="shared" si="27"/>
        <v/>
      </c>
      <c r="L593" s="52" t="str">
        <f t="shared" si="28"/>
        <v/>
      </c>
      <c r="M593" s="53" t="str">
        <f t="shared" si="29"/>
        <v/>
      </c>
      <c r="N593" s="49"/>
    </row>
    <row r="594" spans="2:14" ht="18" customHeight="1" x14ac:dyDescent="0.25">
      <c r="B594" s="47" t="str">
        <f>IF(C594="","",COUNT($C$7:C594))</f>
        <v/>
      </c>
      <c r="C594" s="48"/>
      <c r="D594" s="49"/>
      <c r="E594" s="49"/>
      <c r="F594" s="49"/>
      <c r="G594" s="49"/>
      <c r="H594" s="49"/>
      <c r="I594" s="50"/>
      <c r="J594" s="50"/>
      <c r="K594" s="51" t="str">
        <f t="shared" si="27"/>
        <v/>
      </c>
      <c r="L594" s="52" t="str">
        <f t="shared" si="28"/>
        <v/>
      </c>
      <c r="M594" s="53" t="str">
        <f t="shared" si="29"/>
        <v/>
      </c>
      <c r="N594" s="49"/>
    </row>
    <row r="595" spans="2:14" ht="18" customHeight="1" x14ac:dyDescent="0.25">
      <c r="B595" s="47" t="str">
        <f>IF(C595="","",COUNT($C$7:C595))</f>
        <v/>
      </c>
      <c r="C595" s="48"/>
      <c r="D595" s="49"/>
      <c r="E595" s="49"/>
      <c r="F595" s="49"/>
      <c r="G595" s="49"/>
      <c r="H595" s="49"/>
      <c r="I595" s="50"/>
      <c r="J595" s="50"/>
      <c r="K595" s="51" t="str">
        <f t="shared" si="27"/>
        <v/>
      </c>
      <c r="L595" s="52" t="str">
        <f t="shared" si="28"/>
        <v/>
      </c>
      <c r="M595" s="53" t="str">
        <f t="shared" si="29"/>
        <v/>
      </c>
      <c r="N595" s="49"/>
    </row>
    <row r="596" spans="2:14" ht="18" customHeight="1" x14ac:dyDescent="0.25">
      <c r="B596" s="47" t="str">
        <f>IF(C596="","",COUNT($C$7:C596))</f>
        <v/>
      </c>
      <c r="C596" s="48"/>
      <c r="D596" s="49"/>
      <c r="E596" s="49"/>
      <c r="F596" s="49"/>
      <c r="G596" s="49"/>
      <c r="H596" s="49"/>
      <c r="I596" s="50"/>
      <c r="J596" s="50"/>
      <c r="K596" s="51" t="str">
        <f t="shared" si="27"/>
        <v/>
      </c>
      <c r="L596" s="52" t="str">
        <f t="shared" si="28"/>
        <v/>
      </c>
      <c r="M596" s="53" t="str">
        <f t="shared" si="29"/>
        <v/>
      </c>
      <c r="N596" s="49"/>
    </row>
    <row r="597" spans="2:14" ht="18" customHeight="1" x14ac:dyDescent="0.25">
      <c r="B597" s="47" t="str">
        <f>IF(C597="","",COUNT($C$7:C597))</f>
        <v/>
      </c>
      <c r="C597" s="48"/>
      <c r="D597" s="49"/>
      <c r="E597" s="49"/>
      <c r="F597" s="49"/>
      <c r="G597" s="49"/>
      <c r="H597" s="49"/>
      <c r="I597" s="50"/>
      <c r="J597" s="50"/>
      <c r="K597" s="51" t="str">
        <f t="shared" si="27"/>
        <v/>
      </c>
      <c r="L597" s="52" t="str">
        <f t="shared" si="28"/>
        <v/>
      </c>
      <c r="M597" s="53" t="str">
        <f t="shared" si="29"/>
        <v/>
      </c>
      <c r="N597" s="49"/>
    </row>
    <row r="598" spans="2:14" ht="18" customHeight="1" x14ac:dyDescent="0.25">
      <c r="B598" s="47" t="str">
        <f>IF(C598="","",COUNT($C$7:C598))</f>
        <v/>
      </c>
      <c r="C598" s="48"/>
      <c r="D598" s="49"/>
      <c r="E598" s="49"/>
      <c r="F598" s="49"/>
      <c r="G598" s="49"/>
      <c r="H598" s="49"/>
      <c r="I598" s="50"/>
      <c r="J598" s="50"/>
      <c r="K598" s="51" t="str">
        <f t="shared" si="27"/>
        <v/>
      </c>
      <c r="L598" s="52" t="str">
        <f t="shared" si="28"/>
        <v/>
      </c>
      <c r="M598" s="53" t="str">
        <f t="shared" si="29"/>
        <v/>
      </c>
      <c r="N598" s="49"/>
    </row>
    <row r="599" spans="2:14" ht="18" customHeight="1" x14ac:dyDescent="0.25">
      <c r="B599" s="47" t="str">
        <f>IF(C599="","",COUNT($C$7:C599))</f>
        <v/>
      </c>
      <c r="C599" s="48"/>
      <c r="D599" s="49"/>
      <c r="E599" s="49"/>
      <c r="F599" s="49"/>
      <c r="G599" s="49"/>
      <c r="H599" s="49"/>
      <c r="I599" s="50"/>
      <c r="J599" s="50"/>
      <c r="K599" s="51" t="str">
        <f t="shared" si="27"/>
        <v/>
      </c>
      <c r="L599" s="52" t="str">
        <f t="shared" si="28"/>
        <v/>
      </c>
      <c r="M599" s="53" t="str">
        <f t="shared" si="29"/>
        <v/>
      </c>
      <c r="N599" s="49"/>
    </row>
    <row r="600" spans="2:14" ht="18" customHeight="1" x14ac:dyDescent="0.25">
      <c r="B600" s="47" t="str">
        <f>IF(C600="","",COUNT($C$7:C600))</f>
        <v/>
      </c>
      <c r="C600" s="48"/>
      <c r="D600" s="49"/>
      <c r="E600" s="49"/>
      <c r="F600" s="49"/>
      <c r="G600" s="49"/>
      <c r="H600" s="49"/>
      <c r="I600" s="50"/>
      <c r="J600" s="50"/>
      <c r="K600" s="51" t="str">
        <f t="shared" si="27"/>
        <v/>
      </c>
      <c r="L600" s="52" t="str">
        <f t="shared" si="28"/>
        <v/>
      </c>
      <c r="M600" s="53" t="str">
        <f t="shared" si="29"/>
        <v/>
      </c>
      <c r="N600" s="49"/>
    </row>
    <row r="601" spans="2:14" ht="18" customHeight="1" x14ac:dyDescent="0.25">
      <c r="B601" s="47" t="str">
        <f>IF(C601="","",COUNT($C$7:C601))</f>
        <v/>
      </c>
      <c r="C601" s="48"/>
      <c r="D601" s="49"/>
      <c r="E601" s="49"/>
      <c r="F601" s="49"/>
      <c r="G601" s="49"/>
      <c r="H601" s="49"/>
      <c r="I601" s="50"/>
      <c r="J601" s="50"/>
      <c r="K601" s="51" t="str">
        <f t="shared" si="27"/>
        <v/>
      </c>
      <c r="L601" s="52" t="str">
        <f t="shared" si="28"/>
        <v/>
      </c>
      <c r="M601" s="53" t="str">
        <f t="shared" si="29"/>
        <v/>
      </c>
      <c r="N601" s="49"/>
    </row>
    <row r="602" spans="2:14" ht="18" customHeight="1" x14ac:dyDescent="0.25">
      <c r="B602" s="47" t="str">
        <f>IF(C602="","",COUNT($C$7:C602))</f>
        <v/>
      </c>
      <c r="C602" s="48"/>
      <c r="D602" s="49"/>
      <c r="E602" s="49"/>
      <c r="F602" s="49"/>
      <c r="G602" s="49"/>
      <c r="H602" s="49"/>
      <c r="I602" s="50"/>
      <c r="J602" s="50"/>
      <c r="K602" s="51" t="str">
        <f t="shared" si="27"/>
        <v/>
      </c>
      <c r="L602" s="52" t="str">
        <f t="shared" si="28"/>
        <v/>
      </c>
      <c r="M602" s="53" t="str">
        <f t="shared" si="29"/>
        <v/>
      </c>
      <c r="N602" s="49"/>
    </row>
    <row r="603" spans="2:14" ht="18" customHeight="1" x14ac:dyDescent="0.25">
      <c r="B603" s="47" t="str">
        <f>IF(C603="","",COUNT($C$7:C603))</f>
        <v/>
      </c>
      <c r="C603" s="48"/>
      <c r="D603" s="49"/>
      <c r="E603" s="49"/>
      <c r="F603" s="49"/>
      <c r="G603" s="49"/>
      <c r="H603" s="49"/>
      <c r="I603" s="50"/>
      <c r="J603" s="50"/>
      <c r="K603" s="51" t="str">
        <f t="shared" si="27"/>
        <v/>
      </c>
      <c r="L603" s="52" t="str">
        <f t="shared" si="28"/>
        <v/>
      </c>
      <c r="M603" s="53" t="str">
        <f t="shared" si="29"/>
        <v/>
      </c>
      <c r="N603" s="49"/>
    </row>
    <row r="604" spans="2:14" ht="18" customHeight="1" x14ac:dyDescent="0.25">
      <c r="B604" s="47" t="str">
        <f>IF(C604="","",COUNT($C$7:C604))</f>
        <v/>
      </c>
      <c r="C604" s="48"/>
      <c r="D604" s="49"/>
      <c r="E604" s="49"/>
      <c r="F604" s="49"/>
      <c r="G604" s="49"/>
      <c r="H604" s="49"/>
      <c r="I604" s="50"/>
      <c r="J604" s="50"/>
      <c r="K604" s="51" t="str">
        <f t="shared" si="27"/>
        <v/>
      </c>
      <c r="L604" s="52" t="str">
        <f t="shared" si="28"/>
        <v/>
      </c>
      <c r="M604" s="53" t="str">
        <f t="shared" si="29"/>
        <v/>
      </c>
      <c r="N604" s="49"/>
    </row>
    <row r="605" spans="2:14" ht="18" customHeight="1" x14ac:dyDescent="0.25">
      <c r="B605" s="47" t="str">
        <f>IF(C605="","",COUNT($C$7:C605))</f>
        <v/>
      </c>
      <c r="C605" s="48"/>
      <c r="D605" s="49"/>
      <c r="E605" s="49"/>
      <c r="F605" s="49"/>
      <c r="G605" s="49"/>
      <c r="H605" s="49"/>
      <c r="I605" s="50"/>
      <c r="J605" s="50"/>
      <c r="K605" s="51" t="str">
        <f t="shared" si="27"/>
        <v/>
      </c>
      <c r="L605" s="52" t="str">
        <f t="shared" si="28"/>
        <v/>
      </c>
      <c r="M605" s="53" t="str">
        <f t="shared" si="29"/>
        <v/>
      </c>
      <c r="N605" s="49"/>
    </row>
    <row r="606" spans="2:14" ht="18" customHeight="1" x14ac:dyDescent="0.25">
      <c r="B606" s="47" t="str">
        <f>IF(C606="","",COUNT($C$7:C606))</f>
        <v/>
      </c>
      <c r="C606" s="48"/>
      <c r="D606" s="49"/>
      <c r="E606" s="49"/>
      <c r="F606" s="49"/>
      <c r="G606" s="49"/>
      <c r="H606" s="49"/>
      <c r="I606" s="50"/>
      <c r="J606" s="50"/>
      <c r="K606" s="51" t="str">
        <f t="shared" si="27"/>
        <v/>
      </c>
      <c r="L606" s="52" t="str">
        <f t="shared" si="28"/>
        <v/>
      </c>
      <c r="M606" s="53" t="str">
        <f t="shared" si="29"/>
        <v/>
      </c>
      <c r="N606" s="49"/>
    </row>
  </sheetData>
  <autoFilter ref="B6:N606" xr:uid="{00000000-0009-0000-0000-000001000000}"/>
  <mergeCells count="1">
    <mergeCell ref="J4:L4"/>
  </mergeCells>
  <conditionalFormatting sqref="H7:H606">
    <cfRule type="expression" dxfId="19" priority="5">
      <formula>$H7="Professionnel"</formula>
    </cfRule>
    <cfRule type="expression" dxfId="18" priority="6">
      <formula>$H7="Domicile – travail"</formula>
    </cfRule>
    <cfRule type="expression" dxfId="17" priority="7">
      <formula>$H7="Personnel"</formula>
    </cfRule>
  </conditionalFormatting>
  <conditionalFormatting sqref="L7:L606">
    <cfRule type="expression" dxfId="16" priority="4">
      <formula>AND(ISNUMBER($L7),$L7&lt;&gt;0)</formula>
    </cfRule>
  </conditionalFormatting>
  <conditionalFormatting sqref="M7:M606">
    <cfRule type="expression" dxfId="15" priority="1" stopIfTrue="1">
      <formula>OR($M7="Compteur incohérent",$M7="Chevauchement")</formula>
    </cfRule>
    <cfRule type="expression" dxfId="14" priority="2" stopIfTrue="1">
      <formula>OR($M7="Incomplet",$M7="Km non enregistrés",$M7="Ordre des dates")</formula>
    </cfRule>
    <cfRule type="expression" dxfId="13" priority="3" stopIfTrue="1">
      <formula>$M7="Conforme"</formula>
    </cfRule>
  </conditionalFormatting>
  <dataValidations count="4">
    <dataValidation type="date" allowBlank="1" showInputMessage="1" showErrorMessage="1" errorTitle="Date non valide" error="Saisissez une date au format jj/mm/aaaa." promptTitle="Date" prompt="Date du déplacement (jj/mm/aaaa)." sqref="C7:C606" xr:uid="{00000000-0002-0000-0100-000000000000}">
      <formula1>36526</formula1>
      <formula2>73051</formula2>
    </dataValidation>
    <dataValidation type="list" allowBlank="1" showErrorMessage="1" errorTitle="Valeur non prévue" error="Choisissez une valeur dans la liste déroulante." sqref="D7:D606" xr:uid="{00000000-0002-0000-0100-000001000000}">
      <formula1>ListeConducteurs</formula1>
    </dataValidation>
    <dataValidation type="list" allowBlank="1" showInputMessage="1" showErrorMessage="1" errorTitle="Valeur non prévue" error="Choisissez une valeur dans la liste déroulante." promptTitle="Nature du trajet" prompt="Professionnel : déplacement pour le travail (motif obligatoire)._x000a_Domicile – travail : trajet vers le lieu de travail habituel._x000a_Personnel : usage privé." sqref="H7:H606" xr:uid="{00000000-0002-0000-0100-000002000000}">
      <formula1>ListeNatureTrajet</formula1>
    </dataValidation>
    <dataValidation type="whole" allowBlank="1" showErrorMessage="1" errorTitle="Valeur non valide" error="Relevé du compteur en kilomètres (nombre entier)." sqref="I7:J606" xr:uid="{00000000-0002-0000-0100-000003000000}">
      <formula1>0</formula1>
      <formula2>2000000</formula2>
    </dataValidation>
  </dataValidations>
  <printOptions horizontalCentered="1"/>
  <pageMargins left="0.35" right="0.35" top="0.45" bottom="0.55000000000000004" header="0.5" footer="0.5"/>
  <pageSetup paperSize="9" fitToHeight="0" orientation="landscape"/>
  <headerFooter>
    <oddFooter>&amp;L&amp;8 &amp;K7A828CCarnet de bord du véhicule – &amp;A&amp;R&amp;8 &amp;K7A828CPage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D232B"/>
    <pageSetUpPr fitToPage="1"/>
  </sheetPr>
  <dimension ref="A1:T206"/>
  <sheetViews>
    <sheetView showGridLines="0" workbookViewId="0">
      <pane xSplit="3" ySplit="6" topLeftCell="D7" activePane="bottomRight" state="frozen"/>
      <selection pane="topRight"/>
      <selection pane="bottomLeft"/>
      <selection pane="bottomRight"/>
    </sheetView>
  </sheetViews>
  <sheetFormatPr baseColWidth="10" defaultColWidth="9.140625" defaultRowHeight="15" outlineLevelCol="1" x14ac:dyDescent="0.25"/>
  <cols>
    <col min="1" max="1" width="3" customWidth="1"/>
    <col min="2" max="2" width="5" customWidth="1"/>
    <col min="3" max="3" width="11" customWidth="1"/>
    <col min="4" max="4" width="17" customWidth="1"/>
    <col min="5" max="5" width="12" customWidth="1"/>
    <col min="6" max="6" width="30" customWidth="1"/>
    <col min="7" max="7" width="11" customWidth="1"/>
    <col min="8" max="8" width="12" customWidth="1"/>
    <col min="9" max="9" width="11" customWidth="1"/>
    <col min="10" max="10" width="10" customWidth="1"/>
    <col min="11" max="11" width="18" customWidth="1"/>
    <col min="12" max="12" width="12" customWidth="1"/>
    <col min="13" max="13" width="14" customWidth="1"/>
    <col min="14" max="14" width="12" customWidth="1"/>
    <col min="15" max="15" width="20" customWidth="1"/>
    <col min="16" max="16" width="30" customWidth="1"/>
    <col min="17" max="17" width="3" customWidth="1"/>
    <col min="18" max="20" width="11" hidden="1" customWidth="1" outlineLevel="1"/>
  </cols>
  <sheetData>
    <row r="1" spans="1:20" ht="30" customHeight="1" x14ac:dyDescent="0.35">
      <c r="A1" s="1"/>
      <c r="B1" s="39" t="s">
        <v>152</v>
      </c>
      <c r="P1" s="40" t="str">
        <f>IF(Immatriculation="","",Immatriculation&amp;"   ·   "&amp;TRIM(Marque&amp;" "&amp;Modele))</f>
        <v>GH-482-TK   ·   Voltéra Compacte 1.6 hybride</v>
      </c>
    </row>
    <row r="2" spans="1:20" ht="18" customHeight="1" x14ac:dyDescent="0.25">
      <c r="A2" s="1"/>
      <c r="B2" s="41" t="s">
        <v>153</v>
      </c>
      <c r="P2" s="42" t="str">
        <f>"Kilométrage au compteur : "&amp;FIXED(KmActuel,0)&amp;" km"</f>
        <v>Kilométrage au compteur : 68.387 km</v>
      </c>
    </row>
    <row r="3" spans="1:20" ht="3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20" ht="21.95" customHeight="1" x14ac:dyDescent="0.25">
      <c r="B4" s="43" t="s">
        <v>154</v>
      </c>
      <c r="K4" s="44" t="s">
        <v>90</v>
      </c>
      <c r="L4" s="153" t="s">
        <v>91</v>
      </c>
      <c r="M4" s="154"/>
      <c r="N4" s="154"/>
    </row>
    <row r="5" spans="1:20" ht="8.1" customHeight="1" x14ac:dyDescent="0.25"/>
    <row r="6" spans="1:20" ht="36" customHeight="1" x14ac:dyDescent="0.25">
      <c r="B6" s="45" t="s">
        <v>92</v>
      </c>
      <c r="C6" s="46" t="s">
        <v>93</v>
      </c>
      <c r="D6" s="46" t="s">
        <v>94</v>
      </c>
      <c r="E6" s="46" t="s">
        <v>155</v>
      </c>
      <c r="F6" s="46" t="s">
        <v>156</v>
      </c>
      <c r="G6" s="46" t="str">
        <f>"Quantité"&amp;CHAR(10)&amp;"("&amp;UniteQte&amp;")"</f>
        <v>Quantité
(L)</v>
      </c>
      <c r="H6" s="46" t="s">
        <v>157</v>
      </c>
      <c r="I6" s="45" t="str">
        <f>"Prix au"&amp;CHAR(10)&amp;IF(UniteQte="kWh","kWh","litre")</f>
        <v>Prix au
litre</v>
      </c>
      <c r="J6" s="46" t="s">
        <v>158</v>
      </c>
      <c r="K6" s="46" t="s">
        <v>159</v>
      </c>
      <c r="L6" s="45" t="s">
        <v>160</v>
      </c>
      <c r="M6" s="45" t="str">
        <f>"Consommation"&amp;CHAR(10)&amp;"("&amp;UniteQte&amp;"/100 km)"</f>
        <v>Consommation
(L/100 km)</v>
      </c>
      <c r="N6" s="45" t="s">
        <v>161</v>
      </c>
      <c r="O6" s="45" t="s">
        <v>103</v>
      </c>
      <c r="P6" s="46" t="s">
        <v>162</v>
      </c>
      <c r="R6" s="54" t="s">
        <v>163</v>
      </c>
      <c r="S6" s="54" t="s">
        <v>164</v>
      </c>
      <c r="T6" s="54" t="s">
        <v>165</v>
      </c>
    </row>
    <row r="7" spans="1:20" ht="18" customHeight="1" x14ac:dyDescent="0.25">
      <c r="B7" s="47">
        <f>IF(C7="","",COUNT($C$7:C7))</f>
        <v>1</v>
      </c>
      <c r="C7" s="48">
        <v>46400</v>
      </c>
      <c r="D7" s="49" t="s">
        <v>105</v>
      </c>
      <c r="E7" s="50">
        <v>49056</v>
      </c>
      <c r="F7" s="49" t="s">
        <v>166</v>
      </c>
      <c r="G7" s="55">
        <v>43.97</v>
      </c>
      <c r="H7" s="56">
        <v>79.89</v>
      </c>
      <c r="I7" s="57">
        <f t="shared" ref="I7:I38" si="0">IF(OR(G7="",H7="",N(G7)=0),"",H7/G7)</f>
        <v>1.8169206277007051</v>
      </c>
      <c r="J7" s="58" t="s">
        <v>167</v>
      </c>
      <c r="K7" s="49" t="s">
        <v>168</v>
      </c>
      <c r="L7" s="59" t="str">
        <f>""</f>
        <v/>
      </c>
      <c r="M7" s="60" t="str">
        <f t="shared" ref="M7:M38" si="1">IF(OR(C7="",J7&lt;&gt;"Oui",R7="",N(E7)&lt;=N(R7)),"",S7/(E7-R7)*100)</f>
        <v/>
      </c>
      <c r="N7" s="61" t="str">
        <f t="shared" ref="N7:N38" si="2">IF(OR(M7="",I7=""),"",M7*I7)</f>
        <v/>
      </c>
      <c r="O7" s="53" t="str">
        <f>IF(C7="","",IF(OR(E7="",G7="",H7=""),"Incomplet",IF(FALSE,"",IF(AND(N(Capacite)&gt;0,G7&gt;Capacite*1.02),"Quantité &gt; réservoir",IF(ISNUMBER(M7),IF(AND(ConsoMoyenne&gt;0,ABS(M7/MAX(ConsoMoyenne,0.0001)-1)&gt;SeuilConso),"Conso. atypique","Conforme"),"Conforme")))))</f>
        <v>Conforme</v>
      </c>
      <c r="P7" s="49" t="s">
        <v>169</v>
      </c>
      <c r="R7" s="62" t="str">
        <f>""</f>
        <v/>
      </c>
      <c r="S7" s="62">
        <f>IF(C7="","",N(G7))</f>
        <v>43.97</v>
      </c>
      <c r="T7" s="62" t="str">
        <f t="shared" ref="T7:T38" si="3">IF(M7="","",E7-R7)</f>
        <v/>
      </c>
    </row>
    <row r="8" spans="1:20" ht="18" customHeight="1" x14ac:dyDescent="0.25">
      <c r="B8" s="47">
        <f>IF(C8="","",COUNT($C$7:C8))</f>
        <v>2</v>
      </c>
      <c r="C8" s="48">
        <v>46415</v>
      </c>
      <c r="D8" s="49" t="s">
        <v>105</v>
      </c>
      <c r="E8" s="50">
        <v>49727</v>
      </c>
      <c r="F8" s="49" t="s">
        <v>170</v>
      </c>
      <c r="G8" s="55">
        <v>40.93</v>
      </c>
      <c r="H8" s="56">
        <v>74</v>
      </c>
      <c r="I8" s="57">
        <f t="shared" si="0"/>
        <v>1.8079648179819203</v>
      </c>
      <c r="J8" s="58" t="s">
        <v>167</v>
      </c>
      <c r="K8" s="49" t="s">
        <v>168</v>
      </c>
      <c r="L8" s="59">
        <f t="shared" ref="L8:L39" si="4">IF(OR(C8="",E8="",E7=""),"",E8-E7)</f>
        <v>671</v>
      </c>
      <c r="M8" s="60">
        <f t="shared" si="1"/>
        <v>6.0998509687034277</v>
      </c>
      <c r="N8" s="61">
        <f t="shared" si="2"/>
        <v>11.028315946348734</v>
      </c>
      <c r="O8" s="53" t="str">
        <f t="shared" ref="O8:O39" si="5">IF(C8="","",IF(OR(E8="",G8="",H8=""),"Incomplet",IF(AND(ISNUMBER(E7),E8&lt;E7),"Km incohérent",IF(AND(N(Capacite)&gt;0,G8&gt;Capacite*1.02),"Quantité &gt; réservoir",IF(ISNUMBER(M8),IF(AND(ConsoMoyenne&gt;0,ABS(M8/MAX(ConsoMoyenne,0.0001)-1)&gt;SeuilConso),"Conso. atypique","Conforme"),"Conforme")))))</f>
        <v>Conforme</v>
      </c>
      <c r="P8" s="49" t="s">
        <v>171</v>
      </c>
      <c r="R8" s="62">
        <f t="shared" ref="R8:R39" si="6">IF(C8="","",IF(J7="Oui",E7,R7))</f>
        <v>49056</v>
      </c>
      <c r="S8" s="62">
        <f t="shared" ref="S8:S39" si="7">IF(C8="","",IF(J7="Oui",N(G8),N(S7)+N(G8)))</f>
        <v>40.93</v>
      </c>
      <c r="T8" s="62">
        <f t="shared" si="3"/>
        <v>671</v>
      </c>
    </row>
    <row r="9" spans="1:20" ht="18" customHeight="1" x14ac:dyDescent="0.25">
      <c r="B9" s="47">
        <f>IF(C9="","",COUNT($C$7:C9))</f>
        <v>3</v>
      </c>
      <c r="C9" s="48">
        <v>46429</v>
      </c>
      <c r="D9" s="49" t="s">
        <v>105</v>
      </c>
      <c r="E9" s="50">
        <v>50483</v>
      </c>
      <c r="F9" s="49" t="s">
        <v>166</v>
      </c>
      <c r="G9" s="55">
        <v>44.29</v>
      </c>
      <c r="H9" s="56">
        <v>80.56</v>
      </c>
      <c r="I9" s="57">
        <f t="shared" si="0"/>
        <v>1.8189207496048769</v>
      </c>
      <c r="J9" s="58" t="s">
        <v>167</v>
      </c>
      <c r="K9" s="49" t="s">
        <v>168</v>
      </c>
      <c r="L9" s="59">
        <f t="shared" si="4"/>
        <v>756</v>
      </c>
      <c r="M9" s="60">
        <f t="shared" si="1"/>
        <v>5.8584656084656084</v>
      </c>
      <c r="N9" s="61">
        <f t="shared" si="2"/>
        <v>10.656084656084655</v>
      </c>
      <c r="O9" s="53" t="str">
        <f t="shared" si="5"/>
        <v>Conforme</v>
      </c>
      <c r="P9" s="49" t="s">
        <v>172</v>
      </c>
      <c r="R9" s="62">
        <f t="shared" si="6"/>
        <v>49727</v>
      </c>
      <c r="S9" s="62">
        <f t="shared" si="7"/>
        <v>44.29</v>
      </c>
      <c r="T9" s="62">
        <f t="shared" si="3"/>
        <v>756</v>
      </c>
    </row>
    <row r="10" spans="1:20" ht="18" customHeight="1" x14ac:dyDescent="0.25">
      <c r="B10" s="47">
        <f>IF(C10="","",COUNT($C$7:C10))</f>
        <v>4</v>
      </c>
      <c r="C10" s="48">
        <v>46440</v>
      </c>
      <c r="D10" s="49" t="s">
        <v>105</v>
      </c>
      <c r="E10" s="50">
        <v>51101</v>
      </c>
      <c r="F10" s="49" t="s">
        <v>170</v>
      </c>
      <c r="G10" s="55">
        <v>39.08</v>
      </c>
      <c r="H10" s="56">
        <v>69.760000000000005</v>
      </c>
      <c r="I10" s="57">
        <f t="shared" si="0"/>
        <v>1.7850562947799389</v>
      </c>
      <c r="J10" s="58" t="s">
        <v>167</v>
      </c>
      <c r="K10" s="49" t="s">
        <v>168</v>
      </c>
      <c r="L10" s="59">
        <f t="shared" si="4"/>
        <v>618</v>
      </c>
      <c r="M10" s="60">
        <f t="shared" si="1"/>
        <v>6.3236245954692558</v>
      </c>
      <c r="N10" s="61">
        <f t="shared" si="2"/>
        <v>11.28802588996764</v>
      </c>
      <c r="O10" s="53" t="str">
        <f t="shared" si="5"/>
        <v>Conforme</v>
      </c>
      <c r="P10" s="49" t="s">
        <v>173</v>
      </c>
      <c r="R10" s="62">
        <f t="shared" si="6"/>
        <v>50483</v>
      </c>
      <c r="S10" s="62">
        <f t="shared" si="7"/>
        <v>39.08</v>
      </c>
      <c r="T10" s="62">
        <f t="shared" si="3"/>
        <v>618</v>
      </c>
    </row>
    <row r="11" spans="1:20" ht="18" customHeight="1" x14ac:dyDescent="0.25">
      <c r="B11" s="47">
        <f>IF(C11="","",COUNT($C$7:C11))</f>
        <v>5</v>
      </c>
      <c r="C11" s="48">
        <v>46450</v>
      </c>
      <c r="D11" s="49" t="s">
        <v>105</v>
      </c>
      <c r="E11" s="50">
        <v>51854</v>
      </c>
      <c r="F11" s="49" t="s">
        <v>174</v>
      </c>
      <c r="G11" s="55">
        <v>41.59</v>
      </c>
      <c r="H11" s="56">
        <v>75.239999999999995</v>
      </c>
      <c r="I11" s="57">
        <f t="shared" si="0"/>
        <v>1.8090887232507811</v>
      </c>
      <c r="J11" s="58" t="s">
        <v>167</v>
      </c>
      <c r="K11" s="49" t="s">
        <v>175</v>
      </c>
      <c r="L11" s="59">
        <f t="shared" si="4"/>
        <v>753</v>
      </c>
      <c r="M11" s="60">
        <f t="shared" si="1"/>
        <v>5.52324037184595</v>
      </c>
      <c r="N11" s="61">
        <f t="shared" si="2"/>
        <v>9.9920318725099584</v>
      </c>
      <c r="O11" s="53" t="str">
        <f t="shared" si="5"/>
        <v>Conforme</v>
      </c>
      <c r="P11" s="49" t="s">
        <v>176</v>
      </c>
      <c r="R11" s="62">
        <f t="shared" si="6"/>
        <v>51101</v>
      </c>
      <c r="S11" s="62">
        <f t="shared" si="7"/>
        <v>41.59</v>
      </c>
      <c r="T11" s="62">
        <f t="shared" si="3"/>
        <v>753</v>
      </c>
    </row>
    <row r="12" spans="1:20" ht="18" customHeight="1" x14ac:dyDescent="0.25">
      <c r="B12" s="47">
        <f>IF(C12="","",COUNT($C$7:C12))</f>
        <v>6</v>
      </c>
      <c r="C12" s="48">
        <v>46462</v>
      </c>
      <c r="D12" s="49" t="s">
        <v>105</v>
      </c>
      <c r="E12" s="50">
        <v>52471</v>
      </c>
      <c r="F12" s="49" t="s">
        <v>177</v>
      </c>
      <c r="G12" s="55">
        <v>34.979999999999997</v>
      </c>
      <c r="H12" s="56">
        <v>63.07</v>
      </c>
      <c r="I12" s="57">
        <f t="shared" si="0"/>
        <v>1.8030303030303032</v>
      </c>
      <c r="J12" s="58" t="s">
        <v>167</v>
      </c>
      <c r="K12" s="49" t="s">
        <v>168</v>
      </c>
      <c r="L12" s="59">
        <f t="shared" si="4"/>
        <v>617</v>
      </c>
      <c r="M12" s="60">
        <f t="shared" si="1"/>
        <v>5.6693679092382494</v>
      </c>
      <c r="N12" s="61">
        <f t="shared" si="2"/>
        <v>10.222042139384117</v>
      </c>
      <c r="O12" s="53" t="str">
        <f t="shared" si="5"/>
        <v>Conforme</v>
      </c>
      <c r="P12" s="49" t="s">
        <v>178</v>
      </c>
      <c r="R12" s="62">
        <f t="shared" si="6"/>
        <v>51854</v>
      </c>
      <c r="S12" s="62">
        <f t="shared" si="7"/>
        <v>34.979999999999997</v>
      </c>
      <c r="T12" s="62">
        <f t="shared" si="3"/>
        <v>617</v>
      </c>
    </row>
    <row r="13" spans="1:20" ht="18" customHeight="1" x14ac:dyDescent="0.25">
      <c r="B13" s="47">
        <f>IF(C13="","",COUNT($C$7:C13))</f>
        <v>7</v>
      </c>
      <c r="C13" s="48">
        <v>46472</v>
      </c>
      <c r="D13" s="49" t="s">
        <v>105</v>
      </c>
      <c r="E13" s="50">
        <v>53188</v>
      </c>
      <c r="F13" s="49" t="s">
        <v>166</v>
      </c>
      <c r="G13" s="55">
        <v>40.630000000000003</v>
      </c>
      <c r="H13" s="56">
        <v>72</v>
      </c>
      <c r="I13" s="57">
        <f t="shared" si="0"/>
        <v>1.7720895889736648</v>
      </c>
      <c r="J13" s="58" t="s">
        <v>167</v>
      </c>
      <c r="K13" s="49" t="s">
        <v>175</v>
      </c>
      <c r="L13" s="59">
        <f t="shared" si="4"/>
        <v>717</v>
      </c>
      <c r="M13" s="60">
        <f t="shared" si="1"/>
        <v>5.666666666666667</v>
      </c>
      <c r="N13" s="61">
        <f t="shared" si="2"/>
        <v>10.0418410041841</v>
      </c>
      <c r="O13" s="53" t="str">
        <f t="shared" si="5"/>
        <v>Conforme</v>
      </c>
      <c r="P13" s="49" t="s">
        <v>179</v>
      </c>
      <c r="R13" s="62">
        <f t="shared" si="6"/>
        <v>52471</v>
      </c>
      <c r="S13" s="62">
        <f t="shared" si="7"/>
        <v>40.630000000000003</v>
      </c>
      <c r="T13" s="62">
        <f t="shared" si="3"/>
        <v>717</v>
      </c>
    </row>
    <row r="14" spans="1:20" ht="18" customHeight="1" x14ac:dyDescent="0.25">
      <c r="B14" s="47">
        <f>IF(C14="","",COUNT($C$7:C14))</f>
        <v>8</v>
      </c>
      <c r="C14" s="48">
        <v>46485</v>
      </c>
      <c r="D14" s="49" t="s">
        <v>105</v>
      </c>
      <c r="E14" s="50">
        <v>53859</v>
      </c>
      <c r="F14" s="49" t="s">
        <v>174</v>
      </c>
      <c r="G14" s="55">
        <v>38.520000000000003</v>
      </c>
      <c r="H14" s="56">
        <v>71.84</v>
      </c>
      <c r="I14" s="57">
        <f t="shared" si="0"/>
        <v>1.8650051921079958</v>
      </c>
      <c r="J14" s="58" t="s">
        <v>167</v>
      </c>
      <c r="K14" s="49" t="s">
        <v>175</v>
      </c>
      <c r="L14" s="59">
        <f t="shared" si="4"/>
        <v>671</v>
      </c>
      <c r="M14" s="60">
        <f t="shared" si="1"/>
        <v>5.7406855439642328</v>
      </c>
      <c r="N14" s="61">
        <f t="shared" si="2"/>
        <v>10.706408345752608</v>
      </c>
      <c r="O14" s="53" t="str">
        <f t="shared" si="5"/>
        <v>Conforme</v>
      </c>
      <c r="P14" s="49" t="s">
        <v>180</v>
      </c>
      <c r="R14" s="62">
        <f t="shared" si="6"/>
        <v>53188</v>
      </c>
      <c r="S14" s="62">
        <f t="shared" si="7"/>
        <v>38.520000000000003</v>
      </c>
      <c r="T14" s="62">
        <f t="shared" si="3"/>
        <v>671</v>
      </c>
    </row>
    <row r="15" spans="1:20" ht="18" customHeight="1" x14ac:dyDescent="0.25">
      <c r="B15" s="47">
        <f>IF(C15="","",COUNT($C$7:C15))</f>
        <v>9</v>
      </c>
      <c r="C15" s="48">
        <v>46497</v>
      </c>
      <c r="D15" s="49" t="s">
        <v>105</v>
      </c>
      <c r="E15" s="50">
        <v>54528</v>
      </c>
      <c r="F15" s="49" t="s">
        <v>166</v>
      </c>
      <c r="G15" s="55">
        <v>37.76</v>
      </c>
      <c r="H15" s="56">
        <v>70.72</v>
      </c>
      <c r="I15" s="57">
        <f t="shared" si="0"/>
        <v>1.8728813559322035</v>
      </c>
      <c r="J15" s="58" t="s">
        <v>167</v>
      </c>
      <c r="K15" s="49" t="s">
        <v>168</v>
      </c>
      <c r="L15" s="59">
        <f t="shared" si="4"/>
        <v>669</v>
      </c>
      <c r="M15" s="60">
        <f t="shared" si="1"/>
        <v>5.6442451420029887</v>
      </c>
      <c r="N15" s="61">
        <f t="shared" si="2"/>
        <v>10.571001494768311</v>
      </c>
      <c r="O15" s="53" t="str">
        <f t="shared" si="5"/>
        <v>Conforme</v>
      </c>
      <c r="P15" s="49" t="s">
        <v>181</v>
      </c>
      <c r="R15" s="62">
        <f t="shared" si="6"/>
        <v>53859</v>
      </c>
      <c r="S15" s="62">
        <f t="shared" si="7"/>
        <v>37.76</v>
      </c>
      <c r="T15" s="62">
        <f t="shared" si="3"/>
        <v>669</v>
      </c>
    </row>
    <row r="16" spans="1:20" ht="18" customHeight="1" x14ac:dyDescent="0.25">
      <c r="B16" s="47">
        <f>IF(C16="","",COUNT($C$7:C16))</f>
        <v>10</v>
      </c>
      <c r="C16" s="48">
        <v>46506</v>
      </c>
      <c r="D16" s="49" t="s">
        <v>105</v>
      </c>
      <c r="E16" s="50">
        <v>55201</v>
      </c>
      <c r="F16" s="49" t="s">
        <v>166</v>
      </c>
      <c r="G16" s="55">
        <v>38.64</v>
      </c>
      <c r="H16" s="56">
        <v>71.75</v>
      </c>
      <c r="I16" s="57">
        <f t="shared" si="0"/>
        <v>1.8568840579710144</v>
      </c>
      <c r="J16" s="58" t="s">
        <v>167</v>
      </c>
      <c r="K16" s="49" t="s">
        <v>168</v>
      </c>
      <c r="L16" s="59">
        <f t="shared" si="4"/>
        <v>673</v>
      </c>
      <c r="M16" s="60">
        <f t="shared" si="1"/>
        <v>5.7414561664190193</v>
      </c>
      <c r="N16" s="61">
        <f t="shared" si="2"/>
        <v>10.661218424962852</v>
      </c>
      <c r="O16" s="53" t="str">
        <f t="shared" si="5"/>
        <v>Conforme</v>
      </c>
      <c r="P16" s="49" t="s">
        <v>182</v>
      </c>
      <c r="R16" s="62">
        <f t="shared" si="6"/>
        <v>54528</v>
      </c>
      <c r="S16" s="62">
        <f t="shared" si="7"/>
        <v>38.64</v>
      </c>
      <c r="T16" s="62">
        <f t="shared" si="3"/>
        <v>673</v>
      </c>
    </row>
    <row r="17" spans="2:20" ht="18" customHeight="1" x14ac:dyDescent="0.25">
      <c r="B17" s="47">
        <f>IF(C17="","",COUNT($C$7:C17))</f>
        <v>11</v>
      </c>
      <c r="C17" s="48">
        <v>46522</v>
      </c>
      <c r="D17" s="49" t="s">
        <v>133</v>
      </c>
      <c r="E17" s="50">
        <v>55822</v>
      </c>
      <c r="F17" s="49" t="s">
        <v>174</v>
      </c>
      <c r="G17" s="55">
        <v>36.4</v>
      </c>
      <c r="H17" s="56">
        <v>66.790000000000006</v>
      </c>
      <c r="I17" s="57">
        <f t="shared" si="0"/>
        <v>1.83489010989011</v>
      </c>
      <c r="J17" s="58" t="s">
        <v>167</v>
      </c>
      <c r="K17" s="49" t="s">
        <v>168</v>
      </c>
      <c r="L17" s="59">
        <f t="shared" si="4"/>
        <v>621</v>
      </c>
      <c r="M17" s="60">
        <f t="shared" si="1"/>
        <v>5.8615136876006435</v>
      </c>
      <c r="N17" s="61">
        <f t="shared" si="2"/>
        <v>10.755233494363928</v>
      </c>
      <c r="O17" s="53" t="str">
        <f t="shared" si="5"/>
        <v>Conforme</v>
      </c>
      <c r="P17" s="49" t="s">
        <v>183</v>
      </c>
      <c r="R17" s="62">
        <f t="shared" si="6"/>
        <v>55201</v>
      </c>
      <c r="S17" s="62">
        <f t="shared" si="7"/>
        <v>36.4</v>
      </c>
      <c r="T17" s="62">
        <f t="shared" si="3"/>
        <v>621</v>
      </c>
    </row>
    <row r="18" spans="2:20" ht="18" customHeight="1" x14ac:dyDescent="0.25">
      <c r="B18" s="47">
        <f>IF(C18="","",COUNT($C$7:C18))</f>
        <v>12</v>
      </c>
      <c r="C18" s="48">
        <v>46532</v>
      </c>
      <c r="D18" s="49" t="s">
        <v>105</v>
      </c>
      <c r="E18" s="50">
        <v>56624</v>
      </c>
      <c r="F18" s="49" t="s">
        <v>177</v>
      </c>
      <c r="G18" s="55">
        <v>44.41</v>
      </c>
      <c r="H18" s="56">
        <v>83.54</v>
      </c>
      <c r="I18" s="57">
        <f t="shared" si="0"/>
        <v>1.8811078585904077</v>
      </c>
      <c r="J18" s="58" t="s">
        <v>167</v>
      </c>
      <c r="K18" s="49" t="s">
        <v>175</v>
      </c>
      <c r="L18" s="59">
        <f t="shared" si="4"/>
        <v>802</v>
      </c>
      <c r="M18" s="60">
        <f t="shared" si="1"/>
        <v>5.537406483790523</v>
      </c>
      <c r="N18" s="61">
        <f t="shared" si="2"/>
        <v>10.41645885286783</v>
      </c>
      <c r="O18" s="53" t="str">
        <f t="shared" si="5"/>
        <v>Conforme</v>
      </c>
      <c r="P18" s="49" t="s">
        <v>184</v>
      </c>
      <c r="R18" s="62">
        <f t="shared" si="6"/>
        <v>55822</v>
      </c>
      <c r="S18" s="62">
        <f t="shared" si="7"/>
        <v>44.41</v>
      </c>
      <c r="T18" s="62">
        <f t="shared" si="3"/>
        <v>802</v>
      </c>
    </row>
    <row r="19" spans="2:20" ht="18" customHeight="1" x14ac:dyDescent="0.25">
      <c r="B19" s="47">
        <f>IF(C19="","",COUNT($C$7:C19))</f>
        <v>13</v>
      </c>
      <c r="C19" s="48">
        <v>46539</v>
      </c>
      <c r="D19" s="49" t="s">
        <v>105</v>
      </c>
      <c r="E19" s="50">
        <v>57236</v>
      </c>
      <c r="F19" s="49" t="s">
        <v>177</v>
      </c>
      <c r="G19" s="55">
        <v>34.24</v>
      </c>
      <c r="H19" s="56">
        <v>64.75</v>
      </c>
      <c r="I19" s="57">
        <f t="shared" si="0"/>
        <v>1.8910630841121494</v>
      </c>
      <c r="J19" s="58" t="s">
        <v>167</v>
      </c>
      <c r="K19" s="49" t="s">
        <v>168</v>
      </c>
      <c r="L19" s="59">
        <f t="shared" si="4"/>
        <v>612</v>
      </c>
      <c r="M19" s="60">
        <f t="shared" si="1"/>
        <v>5.594771241830065</v>
      </c>
      <c r="N19" s="61">
        <f t="shared" si="2"/>
        <v>10.580065359477123</v>
      </c>
      <c r="O19" s="53" t="str">
        <f t="shared" si="5"/>
        <v>Conforme</v>
      </c>
      <c r="P19" s="49" t="s">
        <v>185</v>
      </c>
      <c r="R19" s="62">
        <f t="shared" si="6"/>
        <v>56624</v>
      </c>
      <c r="S19" s="62">
        <f t="shared" si="7"/>
        <v>34.24</v>
      </c>
      <c r="T19" s="62">
        <f t="shared" si="3"/>
        <v>612</v>
      </c>
    </row>
    <row r="20" spans="2:20" ht="18" customHeight="1" x14ac:dyDescent="0.25">
      <c r="B20" s="47">
        <f>IF(C20="","",COUNT($C$7:C20))</f>
        <v>14</v>
      </c>
      <c r="C20" s="48">
        <v>46553</v>
      </c>
      <c r="D20" s="49" t="s">
        <v>105</v>
      </c>
      <c r="E20" s="50">
        <v>57917</v>
      </c>
      <c r="F20" s="49" t="s">
        <v>170</v>
      </c>
      <c r="G20" s="55">
        <v>20.46</v>
      </c>
      <c r="H20" s="56">
        <v>38.340000000000003</v>
      </c>
      <c r="I20" s="57">
        <f t="shared" si="0"/>
        <v>1.8739002932551321</v>
      </c>
      <c r="J20" s="58" t="s">
        <v>186</v>
      </c>
      <c r="K20" s="49" t="s">
        <v>175</v>
      </c>
      <c r="L20" s="59">
        <f t="shared" si="4"/>
        <v>681</v>
      </c>
      <c r="M20" s="60" t="str">
        <f t="shared" si="1"/>
        <v/>
      </c>
      <c r="N20" s="61" t="str">
        <f t="shared" si="2"/>
        <v/>
      </c>
      <c r="O20" s="53" t="str">
        <f t="shared" si="5"/>
        <v>Conforme</v>
      </c>
      <c r="P20" s="49" t="s">
        <v>187</v>
      </c>
      <c r="R20" s="62">
        <f t="shared" si="6"/>
        <v>57236</v>
      </c>
      <c r="S20" s="62">
        <f t="shared" si="7"/>
        <v>20.46</v>
      </c>
      <c r="T20" s="62" t="str">
        <f t="shared" si="3"/>
        <v/>
      </c>
    </row>
    <row r="21" spans="2:20" ht="18" customHeight="1" x14ac:dyDescent="0.25">
      <c r="B21" s="47">
        <f>IF(C21="","",COUNT($C$7:C21))</f>
        <v>15</v>
      </c>
      <c r="C21" s="48">
        <v>46560</v>
      </c>
      <c r="D21" s="49" t="s">
        <v>105</v>
      </c>
      <c r="E21" s="50">
        <v>58371</v>
      </c>
      <c r="F21" s="49" t="s">
        <v>170</v>
      </c>
      <c r="G21" s="55">
        <v>44.39</v>
      </c>
      <c r="H21" s="56">
        <v>83.72</v>
      </c>
      <c r="I21" s="57">
        <f t="shared" si="0"/>
        <v>1.8860103626943006</v>
      </c>
      <c r="J21" s="58" t="s">
        <v>167</v>
      </c>
      <c r="K21" s="49" t="s">
        <v>168</v>
      </c>
      <c r="L21" s="59">
        <f t="shared" si="4"/>
        <v>454</v>
      </c>
      <c r="M21" s="60">
        <f t="shared" si="1"/>
        <v>5.7136563876651971</v>
      </c>
      <c r="N21" s="61">
        <f t="shared" si="2"/>
        <v>10.776015156011045</v>
      </c>
      <c r="O21" s="53" t="str">
        <f t="shared" si="5"/>
        <v>Conforme</v>
      </c>
      <c r="P21" s="49" t="s">
        <v>188</v>
      </c>
      <c r="R21" s="62">
        <f t="shared" si="6"/>
        <v>57236</v>
      </c>
      <c r="S21" s="62">
        <f t="shared" si="7"/>
        <v>64.849999999999994</v>
      </c>
      <c r="T21" s="62">
        <f t="shared" si="3"/>
        <v>1135</v>
      </c>
    </row>
    <row r="22" spans="2:20" ht="18" customHeight="1" x14ac:dyDescent="0.25">
      <c r="B22" s="47">
        <f>IF(C22="","",COUNT($C$7:C22))</f>
        <v>16</v>
      </c>
      <c r="C22" s="48">
        <v>46574</v>
      </c>
      <c r="D22" s="49" t="s">
        <v>105</v>
      </c>
      <c r="E22" s="50">
        <v>59151</v>
      </c>
      <c r="F22" s="49" t="s">
        <v>177</v>
      </c>
      <c r="G22" s="55">
        <v>43.26</v>
      </c>
      <c r="H22" s="56">
        <v>80.33</v>
      </c>
      <c r="I22" s="57">
        <f t="shared" si="0"/>
        <v>1.8569116967175221</v>
      </c>
      <c r="J22" s="58" t="s">
        <v>167</v>
      </c>
      <c r="K22" s="49" t="s">
        <v>168</v>
      </c>
      <c r="L22" s="59">
        <f t="shared" si="4"/>
        <v>780</v>
      </c>
      <c r="M22" s="60">
        <f t="shared" si="1"/>
        <v>5.546153846153846</v>
      </c>
      <c r="N22" s="61">
        <f t="shared" si="2"/>
        <v>10.298717948717949</v>
      </c>
      <c r="O22" s="53" t="str">
        <f t="shared" si="5"/>
        <v>Conforme</v>
      </c>
      <c r="P22" s="49" t="s">
        <v>189</v>
      </c>
      <c r="R22" s="62">
        <f t="shared" si="6"/>
        <v>58371</v>
      </c>
      <c r="S22" s="62">
        <f t="shared" si="7"/>
        <v>43.26</v>
      </c>
      <c r="T22" s="62">
        <f t="shared" si="3"/>
        <v>780</v>
      </c>
    </row>
    <row r="23" spans="2:20" ht="18" customHeight="1" x14ac:dyDescent="0.25">
      <c r="B23" s="47">
        <f>IF(C23="","",COUNT($C$7:C23))</f>
        <v>17</v>
      </c>
      <c r="C23" s="48">
        <v>46590</v>
      </c>
      <c r="D23" s="49" t="s">
        <v>105</v>
      </c>
      <c r="E23" s="50">
        <v>59931</v>
      </c>
      <c r="F23" s="49" t="s">
        <v>177</v>
      </c>
      <c r="G23" s="55">
        <v>44.02</v>
      </c>
      <c r="H23" s="56">
        <v>81.349999999999994</v>
      </c>
      <c r="I23" s="57">
        <f t="shared" si="0"/>
        <v>1.8480236256247158</v>
      </c>
      <c r="J23" s="58" t="s">
        <v>167</v>
      </c>
      <c r="K23" s="49" t="s">
        <v>168</v>
      </c>
      <c r="L23" s="59">
        <f t="shared" si="4"/>
        <v>780</v>
      </c>
      <c r="M23" s="60">
        <f t="shared" si="1"/>
        <v>5.643589743589744</v>
      </c>
      <c r="N23" s="61">
        <f t="shared" si="2"/>
        <v>10.429487179487179</v>
      </c>
      <c r="O23" s="53" t="str">
        <f t="shared" si="5"/>
        <v>Conforme</v>
      </c>
      <c r="P23" s="49" t="s">
        <v>190</v>
      </c>
      <c r="R23" s="62">
        <f t="shared" si="6"/>
        <v>59151</v>
      </c>
      <c r="S23" s="62">
        <f t="shared" si="7"/>
        <v>44.02</v>
      </c>
      <c r="T23" s="62">
        <f t="shared" si="3"/>
        <v>780</v>
      </c>
    </row>
    <row r="24" spans="2:20" ht="18" customHeight="1" x14ac:dyDescent="0.25">
      <c r="B24" s="47">
        <f>IF(C24="","",COUNT($C$7:C24))</f>
        <v>18</v>
      </c>
      <c r="C24" s="48">
        <v>46606</v>
      </c>
      <c r="D24" s="49" t="s">
        <v>105</v>
      </c>
      <c r="E24" s="50">
        <v>60609</v>
      </c>
      <c r="F24" s="49" t="s">
        <v>166</v>
      </c>
      <c r="G24" s="55">
        <v>36.24</v>
      </c>
      <c r="H24" s="56">
        <v>67.73</v>
      </c>
      <c r="I24" s="57">
        <f t="shared" si="0"/>
        <v>1.8689293598233996</v>
      </c>
      <c r="J24" s="58" t="s">
        <v>167</v>
      </c>
      <c r="K24" s="49" t="s">
        <v>168</v>
      </c>
      <c r="L24" s="59">
        <f t="shared" si="4"/>
        <v>678</v>
      </c>
      <c r="M24" s="60">
        <f t="shared" si="1"/>
        <v>5.3451327433628322</v>
      </c>
      <c r="N24" s="61">
        <f t="shared" si="2"/>
        <v>9.9896755162241888</v>
      </c>
      <c r="O24" s="53" t="str">
        <f t="shared" si="5"/>
        <v>Conforme</v>
      </c>
      <c r="P24" s="49" t="s">
        <v>191</v>
      </c>
      <c r="R24" s="62">
        <f t="shared" si="6"/>
        <v>59931</v>
      </c>
      <c r="S24" s="62">
        <f t="shared" si="7"/>
        <v>36.24</v>
      </c>
      <c r="T24" s="62">
        <f t="shared" si="3"/>
        <v>678</v>
      </c>
    </row>
    <row r="25" spans="2:20" ht="18" customHeight="1" x14ac:dyDescent="0.25">
      <c r="B25" s="47">
        <f>IF(C25="","",COUNT($C$7:C25))</f>
        <v>19</v>
      </c>
      <c r="C25" s="48">
        <v>46623</v>
      </c>
      <c r="D25" s="49" t="s">
        <v>105</v>
      </c>
      <c r="E25" s="50">
        <v>61237</v>
      </c>
      <c r="F25" s="49" t="s">
        <v>177</v>
      </c>
      <c r="G25" s="55">
        <v>33.86</v>
      </c>
      <c r="H25" s="56">
        <v>63.01</v>
      </c>
      <c r="I25" s="57">
        <f t="shared" si="0"/>
        <v>1.8608978145304194</v>
      </c>
      <c r="J25" s="58" t="s">
        <v>167</v>
      </c>
      <c r="K25" s="49" t="s">
        <v>168</v>
      </c>
      <c r="L25" s="59">
        <f t="shared" si="4"/>
        <v>628</v>
      </c>
      <c r="M25" s="60">
        <f t="shared" si="1"/>
        <v>5.3917197452229297</v>
      </c>
      <c r="N25" s="61">
        <f t="shared" si="2"/>
        <v>10.033439490445859</v>
      </c>
      <c r="O25" s="53" t="str">
        <f t="shared" si="5"/>
        <v>Conforme</v>
      </c>
      <c r="P25" s="49" t="s">
        <v>192</v>
      </c>
      <c r="R25" s="62">
        <f t="shared" si="6"/>
        <v>60609</v>
      </c>
      <c r="S25" s="62">
        <f t="shared" si="7"/>
        <v>33.86</v>
      </c>
      <c r="T25" s="62">
        <f t="shared" si="3"/>
        <v>628</v>
      </c>
    </row>
    <row r="26" spans="2:20" ht="18" customHeight="1" x14ac:dyDescent="0.25">
      <c r="B26" s="47">
        <f>IF(C26="","",COUNT($C$7:C26))</f>
        <v>20</v>
      </c>
      <c r="C26" s="48">
        <v>46632</v>
      </c>
      <c r="D26" s="49" t="s">
        <v>105</v>
      </c>
      <c r="E26" s="50">
        <v>61976</v>
      </c>
      <c r="F26" s="49" t="s">
        <v>174</v>
      </c>
      <c r="G26" s="55">
        <v>43.59</v>
      </c>
      <c r="H26" s="56">
        <v>79.459999999999994</v>
      </c>
      <c r="I26" s="57">
        <f t="shared" si="0"/>
        <v>1.8228951594402383</v>
      </c>
      <c r="J26" s="58" t="s">
        <v>167</v>
      </c>
      <c r="K26" s="49" t="s">
        <v>168</v>
      </c>
      <c r="L26" s="59">
        <f t="shared" si="4"/>
        <v>739</v>
      </c>
      <c r="M26" s="60">
        <f t="shared" si="1"/>
        <v>5.8985115020297707</v>
      </c>
      <c r="N26" s="61">
        <f t="shared" si="2"/>
        <v>10.752368064952638</v>
      </c>
      <c r="O26" s="53" t="str">
        <f t="shared" si="5"/>
        <v>Conforme</v>
      </c>
      <c r="P26" s="49" t="s">
        <v>193</v>
      </c>
      <c r="R26" s="62">
        <f t="shared" si="6"/>
        <v>61237</v>
      </c>
      <c r="S26" s="62">
        <f t="shared" si="7"/>
        <v>43.59</v>
      </c>
      <c r="T26" s="62">
        <f t="shared" si="3"/>
        <v>739</v>
      </c>
    </row>
    <row r="27" spans="2:20" ht="18" customHeight="1" x14ac:dyDescent="0.25">
      <c r="B27" s="47">
        <f>IF(C27="","",COUNT($C$7:C27))</f>
        <v>21</v>
      </c>
      <c r="C27" s="48">
        <v>46644</v>
      </c>
      <c r="D27" s="49" t="s">
        <v>105</v>
      </c>
      <c r="E27" s="50">
        <v>62625</v>
      </c>
      <c r="F27" s="49" t="s">
        <v>166</v>
      </c>
      <c r="G27" s="55">
        <v>37.409999999999997</v>
      </c>
      <c r="H27" s="56">
        <v>67.900000000000006</v>
      </c>
      <c r="I27" s="57">
        <f t="shared" si="0"/>
        <v>1.8150227211975412</v>
      </c>
      <c r="J27" s="58" t="s">
        <v>167</v>
      </c>
      <c r="K27" s="49" t="s">
        <v>168</v>
      </c>
      <c r="L27" s="59">
        <f t="shared" si="4"/>
        <v>649</v>
      </c>
      <c r="M27" s="60">
        <f t="shared" si="1"/>
        <v>5.7642526964560856</v>
      </c>
      <c r="N27" s="61">
        <f t="shared" si="2"/>
        <v>10.462249614791988</v>
      </c>
      <c r="O27" s="53" t="str">
        <f t="shared" si="5"/>
        <v>Conforme</v>
      </c>
      <c r="P27" s="49" t="s">
        <v>194</v>
      </c>
      <c r="R27" s="62">
        <f t="shared" si="6"/>
        <v>61976</v>
      </c>
      <c r="S27" s="62">
        <f t="shared" si="7"/>
        <v>37.409999999999997</v>
      </c>
      <c r="T27" s="62">
        <f t="shared" si="3"/>
        <v>649</v>
      </c>
    </row>
    <row r="28" spans="2:20" ht="18" customHeight="1" x14ac:dyDescent="0.25">
      <c r="B28" s="47">
        <f>IF(C28="","",COUNT($C$7:C28))</f>
        <v>22</v>
      </c>
      <c r="C28" s="48">
        <v>46655</v>
      </c>
      <c r="D28" s="49" t="s">
        <v>133</v>
      </c>
      <c r="E28" s="50">
        <v>63198</v>
      </c>
      <c r="F28" s="49" t="s">
        <v>166</v>
      </c>
      <c r="G28" s="55">
        <v>30.93</v>
      </c>
      <c r="H28" s="56">
        <v>55.43</v>
      </c>
      <c r="I28" s="57">
        <f t="shared" si="0"/>
        <v>1.7921112188813451</v>
      </c>
      <c r="J28" s="58" t="s">
        <v>167</v>
      </c>
      <c r="K28" s="49" t="s">
        <v>168</v>
      </c>
      <c r="L28" s="59">
        <f t="shared" si="4"/>
        <v>573</v>
      </c>
      <c r="M28" s="60">
        <f t="shared" si="1"/>
        <v>5.3979057591623043</v>
      </c>
      <c r="N28" s="61">
        <f t="shared" si="2"/>
        <v>9.6736474694589898</v>
      </c>
      <c r="O28" s="53" t="str">
        <f t="shared" si="5"/>
        <v>Conforme</v>
      </c>
      <c r="P28" s="49" t="s">
        <v>195</v>
      </c>
      <c r="R28" s="62">
        <f t="shared" si="6"/>
        <v>62625</v>
      </c>
      <c r="S28" s="62">
        <f t="shared" si="7"/>
        <v>30.93</v>
      </c>
      <c r="T28" s="62">
        <f t="shared" si="3"/>
        <v>573</v>
      </c>
    </row>
    <row r="29" spans="2:20" ht="18" customHeight="1" x14ac:dyDescent="0.25">
      <c r="B29" s="47">
        <f>IF(C29="","",COUNT($C$7:C29))</f>
        <v>23</v>
      </c>
      <c r="C29" s="48">
        <v>46666</v>
      </c>
      <c r="D29" s="49" t="s">
        <v>105</v>
      </c>
      <c r="E29" s="50">
        <v>63899</v>
      </c>
      <c r="F29" s="49" t="s">
        <v>177</v>
      </c>
      <c r="G29" s="55">
        <v>40.24</v>
      </c>
      <c r="H29" s="56">
        <v>72.23</v>
      </c>
      <c r="I29" s="57">
        <f t="shared" si="0"/>
        <v>1.7949801192842942</v>
      </c>
      <c r="J29" s="58" t="s">
        <v>167</v>
      </c>
      <c r="K29" s="49" t="s">
        <v>168</v>
      </c>
      <c r="L29" s="59">
        <f t="shared" si="4"/>
        <v>701</v>
      </c>
      <c r="M29" s="60">
        <f t="shared" si="1"/>
        <v>5.7403708987161197</v>
      </c>
      <c r="N29" s="61">
        <f t="shared" si="2"/>
        <v>10.303851640513551</v>
      </c>
      <c r="O29" s="53" t="str">
        <f t="shared" si="5"/>
        <v>Conforme</v>
      </c>
      <c r="P29" s="49" t="s">
        <v>196</v>
      </c>
      <c r="R29" s="62">
        <f t="shared" si="6"/>
        <v>63198</v>
      </c>
      <c r="S29" s="62">
        <f t="shared" si="7"/>
        <v>40.24</v>
      </c>
      <c r="T29" s="62">
        <f t="shared" si="3"/>
        <v>701</v>
      </c>
    </row>
    <row r="30" spans="2:20" ht="18" customHeight="1" x14ac:dyDescent="0.25">
      <c r="B30" s="47">
        <f>IF(C30="","",COUNT($C$7:C30))</f>
        <v>24</v>
      </c>
      <c r="C30" s="48">
        <v>46678</v>
      </c>
      <c r="D30" s="49" t="s">
        <v>105</v>
      </c>
      <c r="E30" s="50">
        <v>64473</v>
      </c>
      <c r="F30" s="49" t="s">
        <v>166</v>
      </c>
      <c r="G30" s="55">
        <v>33.770000000000003</v>
      </c>
      <c r="H30" s="56">
        <v>59.64</v>
      </c>
      <c r="I30" s="57">
        <f t="shared" si="0"/>
        <v>1.7660645543381699</v>
      </c>
      <c r="J30" s="58" t="s">
        <v>167</v>
      </c>
      <c r="K30" s="49" t="s">
        <v>175</v>
      </c>
      <c r="L30" s="59">
        <f t="shared" si="4"/>
        <v>574</v>
      </c>
      <c r="M30" s="60">
        <f t="shared" si="1"/>
        <v>5.8832752613240427</v>
      </c>
      <c r="N30" s="61">
        <f t="shared" si="2"/>
        <v>10.390243902439025</v>
      </c>
      <c r="O30" s="53" t="str">
        <f t="shared" si="5"/>
        <v>Conforme</v>
      </c>
      <c r="P30" s="49" t="s">
        <v>197</v>
      </c>
      <c r="R30" s="62">
        <f t="shared" si="6"/>
        <v>63899</v>
      </c>
      <c r="S30" s="62">
        <f t="shared" si="7"/>
        <v>33.770000000000003</v>
      </c>
      <c r="T30" s="62">
        <f t="shared" si="3"/>
        <v>574</v>
      </c>
    </row>
    <row r="31" spans="2:20" ht="18" customHeight="1" x14ac:dyDescent="0.25">
      <c r="B31" s="47">
        <f>IF(C31="","",COUNT($C$7:C31))</f>
        <v>25</v>
      </c>
      <c r="C31" s="48">
        <v>46683</v>
      </c>
      <c r="D31" s="49" t="s">
        <v>105</v>
      </c>
      <c r="E31" s="50">
        <v>65027</v>
      </c>
      <c r="F31" s="49" t="s">
        <v>166</v>
      </c>
      <c r="G31" s="55">
        <v>31.58</v>
      </c>
      <c r="H31" s="56">
        <v>55.93</v>
      </c>
      <c r="I31" s="57">
        <f t="shared" si="0"/>
        <v>1.7710576314122863</v>
      </c>
      <c r="J31" s="58" t="s">
        <v>167</v>
      </c>
      <c r="K31" s="49" t="s">
        <v>175</v>
      </c>
      <c r="L31" s="59">
        <f t="shared" si="4"/>
        <v>554</v>
      </c>
      <c r="M31" s="60">
        <f t="shared" si="1"/>
        <v>5.7003610108303242</v>
      </c>
      <c r="N31" s="61">
        <f t="shared" si="2"/>
        <v>10.095667870036101</v>
      </c>
      <c r="O31" s="53" t="str">
        <f t="shared" si="5"/>
        <v>Conforme</v>
      </c>
      <c r="P31" s="49" t="s">
        <v>198</v>
      </c>
      <c r="R31" s="62">
        <f t="shared" si="6"/>
        <v>64473</v>
      </c>
      <c r="S31" s="62">
        <f t="shared" si="7"/>
        <v>31.58</v>
      </c>
      <c r="T31" s="62">
        <f t="shared" si="3"/>
        <v>554</v>
      </c>
    </row>
    <row r="32" spans="2:20" ht="18" customHeight="1" x14ac:dyDescent="0.25">
      <c r="B32" s="47">
        <f>IF(C32="","",COUNT($C$7:C32))</f>
        <v>26</v>
      </c>
      <c r="C32" s="48">
        <v>46695</v>
      </c>
      <c r="D32" s="49" t="s">
        <v>105</v>
      </c>
      <c r="E32" s="50">
        <v>65677</v>
      </c>
      <c r="F32" s="49" t="s">
        <v>174</v>
      </c>
      <c r="G32" s="55">
        <v>36.479999999999997</v>
      </c>
      <c r="H32" s="56">
        <v>64.02</v>
      </c>
      <c r="I32" s="57">
        <f t="shared" si="0"/>
        <v>1.7549342105263159</v>
      </c>
      <c r="J32" s="58" t="s">
        <v>167</v>
      </c>
      <c r="K32" s="49" t="s">
        <v>168</v>
      </c>
      <c r="L32" s="59">
        <f t="shared" si="4"/>
        <v>650</v>
      </c>
      <c r="M32" s="60">
        <f t="shared" si="1"/>
        <v>5.6123076923076924</v>
      </c>
      <c r="N32" s="61">
        <f t="shared" si="2"/>
        <v>9.8492307692307701</v>
      </c>
      <c r="O32" s="53" t="str">
        <f t="shared" si="5"/>
        <v>Conforme</v>
      </c>
      <c r="P32" s="49" t="s">
        <v>199</v>
      </c>
      <c r="R32" s="62">
        <f t="shared" si="6"/>
        <v>65027</v>
      </c>
      <c r="S32" s="62">
        <f t="shared" si="7"/>
        <v>36.479999999999997</v>
      </c>
      <c r="T32" s="62">
        <f t="shared" si="3"/>
        <v>650</v>
      </c>
    </row>
    <row r="33" spans="2:20" ht="18" customHeight="1" x14ac:dyDescent="0.25">
      <c r="B33" s="47">
        <f>IF(C33="","",COUNT($C$7:C33))</f>
        <v>27</v>
      </c>
      <c r="C33" s="48">
        <v>46703</v>
      </c>
      <c r="D33" s="49" t="s">
        <v>105</v>
      </c>
      <c r="E33" s="50">
        <v>66361</v>
      </c>
      <c r="F33" s="49" t="s">
        <v>174</v>
      </c>
      <c r="G33" s="55">
        <v>37.409999999999997</v>
      </c>
      <c r="H33" s="56">
        <v>65.58</v>
      </c>
      <c r="I33" s="57">
        <f t="shared" si="0"/>
        <v>1.7530072173215718</v>
      </c>
      <c r="J33" s="58" t="s">
        <v>167</v>
      </c>
      <c r="K33" s="49" t="s">
        <v>168</v>
      </c>
      <c r="L33" s="59">
        <f t="shared" si="4"/>
        <v>684</v>
      </c>
      <c r="M33" s="60">
        <f t="shared" si="1"/>
        <v>5.4692982456140351</v>
      </c>
      <c r="N33" s="61">
        <f t="shared" si="2"/>
        <v>9.5877192982456148</v>
      </c>
      <c r="O33" s="53" t="str">
        <f t="shared" si="5"/>
        <v>Conforme</v>
      </c>
      <c r="P33" s="49" t="s">
        <v>200</v>
      </c>
      <c r="R33" s="62">
        <f t="shared" si="6"/>
        <v>65677</v>
      </c>
      <c r="S33" s="62">
        <f t="shared" si="7"/>
        <v>37.409999999999997</v>
      </c>
      <c r="T33" s="62">
        <f t="shared" si="3"/>
        <v>684</v>
      </c>
    </row>
    <row r="34" spans="2:20" ht="18" customHeight="1" x14ac:dyDescent="0.25">
      <c r="B34" s="47">
        <f>IF(C34="","",COUNT($C$7:C34))</f>
        <v>28</v>
      </c>
      <c r="C34" s="48">
        <v>46714</v>
      </c>
      <c r="D34" s="49" t="s">
        <v>105</v>
      </c>
      <c r="E34" s="50">
        <v>67026</v>
      </c>
      <c r="F34" s="49" t="s">
        <v>177</v>
      </c>
      <c r="G34" s="55">
        <v>36.71</v>
      </c>
      <c r="H34" s="56">
        <v>65.010000000000005</v>
      </c>
      <c r="I34" s="57">
        <f t="shared" si="0"/>
        <v>1.7709071097793518</v>
      </c>
      <c r="J34" s="58" t="s">
        <v>167</v>
      </c>
      <c r="K34" s="49" t="s">
        <v>168</v>
      </c>
      <c r="L34" s="59">
        <f t="shared" si="4"/>
        <v>665</v>
      </c>
      <c r="M34" s="60">
        <f t="shared" si="1"/>
        <v>5.5203007518796996</v>
      </c>
      <c r="N34" s="61">
        <f t="shared" si="2"/>
        <v>9.775939849624061</v>
      </c>
      <c r="O34" s="53" t="str">
        <f t="shared" si="5"/>
        <v>Conforme</v>
      </c>
      <c r="P34" s="49" t="s">
        <v>201</v>
      </c>
      <c r="R34" s="62">
        <f t="shared" si="6"/>
        <v>66361</v>
      </c>
      <c r="S34" s="62">
        <f t="shared" si="7"/>
        <v>36.71</v>
      </c>
      <c r="T34" s="62">
        <f t="shared" si="3"/>
        <v>665</v>
      </c>
    </row>
    <row r="35" spans="2:20" ht="18" customHeight="1" x14ac:dyDescent="0.25">
      <c r="B35" s="47">
        <f>IF(C35="","",COUNT($C$7:C35))</f>
        <v>29</v>
      </c>
      <c r="C35" s="48">
        <v>46723</v>
      </c>
      <c r="D35" s="49" t="s">
        <v>105</v>
      </c>
      <c r="E35" s="50">
        <v>67617</v>
      </c>
      <c r="F35" s="49" t="s">
        <v>174</v>
      </c>
      <c r="G35" s="55">
        <v>36.92</v>
      </c>
      <c r="H35" s="56">
        <v>65.94</v>
      </c>
      <c r="I35" s="57">
        <f t="shared" si="0"/>
        <v>1.7860238353196098</v>
      </c>
      <c r="J35" s="58" t="s">
        <v>167</v>
      </c>
      <c r="K35" s="49" t="s">
        <v>175</v>
      </c>
      <c r="L35" s="59">
        <f t="shared" si="4"/>
        <v>591</v>
      </c>
      <c r="M35" s="60">
        <f t="shared" si="1"/>
        <v>6.2470389170896787</v>
      </c>
      <c r="N35" s="61">
        <f t="shared" si="2"/>
        <v>11.157360406091371</v>
      </c>
      <c r="O35" s="53" t="str">
        <f t="shared" si="5"/>
        <v>Conforme</v>
      </c>
      <c r="P35" s="49" t="s">
        <v>202</v>
      </c>
      <c r="R35" s="62">
        <f t="shared" si="6"/>
        <v>67026</v>
      </c>
      <c r="S35" s="62">
        <f t="shared" si="7"/>
        <v>36.92</v>
      </c>
      <c r="T35" s="62">
        <f t="shared" si="3"/>
        <v>591</v>
      </c>
    </row>
    <row r="36" spans="2:20" ht="18" customHeight="1" x14ac:dyDescent="0.25">
      <c r="B36" s="47">
        <f>IF(C36="","",COUNT($C$7:C36))</f>
        <v>30</v>
      </c>
      <c r="C36" s="48">
        <v>46735</v>
      </c>
      <c r="D36" s="49" t="s">
        <v>105</v>
      </c>
      <c r="E36" s="50">
        <v>68292</v>
      </c>
      <c r="F36" s="49" t="s">
        <v>166</v>
      </c>
      <c r="G36" s="55">
        <v>42.94</v>
      </c>
      <c r="H36" s="56">
        <v>75.87</v>
      </c>
      <c r="I36" s="57">
        <f t="shared" si="0"/>
        <v>1.7668840242198418</v>
      </c>
      <c r="J36" s="58" t="s">
        <v>167</v>
      </c>
      <c r="K36" s="49" t="s">
        <v>168</v>
      </c>
      <c r="L36" s="59">
        <f t="shared" si="4"/>
        <v>675</v>
      </c>
      <c r="M36" s="60">
        <f t="shared" si="1"/>
        <v>6.3614814814814808</v>
      </c>
      <c r="N36" s="61">
        <f t="shared" si="2"/>
        <v>11.24</v>
      </c>
      <c r="O36" s="53" t="str">
        <f t="shared" si="5"/>
        <v>Conforme</v>
      </c>
      <c r="P36" s="49" t="s">
        <v>203</v>
      </c>
      <c r="R36" s="62">
        <f t="shared" si="6"/>
        <v>67617</v>
      </c>
      <c r="S36" s="62">
        <f t="shared" si="7"/>
        <v>42.94</v>
      </c>
      <c r="T36" s="62">
        <f t="shared" si="3"/>
        <v>675</v>
      </c>
    </row>
    <row r="37" spans="2:20" ht="18" customHeight="1" x14ac:dyDescent="0.25">
      <c r="B37" s="47" t="str">
        <f>IF(C37="","",COUNT($C$7:C37))</f>
        <v/>
      </c>
      <c r="C37" s="48"/>
      <c r="D37" s="49"/>
      <c r="E37" s="50"/>
      <c r="F37" s="49"/>
      <c r="G37" s="55"/>
      <c r="H37" s="56"/>
      <c r="I37" s="57" t="str">
        <f t="shared" si="0"/>
        <v/>
      </c>
      <c r="J37" s="58"/>
      <c r="K37" s="49"/>
      <c r="L37" s="59" t="str">
        <f t="shared" si="4"/>
        <v/>
      </c>
      <c r="M37" s="60" t="str">
        <f t="shared" si="1"/>
        <v/>
      </c>
      <c r="N37" s="61" t="str">
        <f t="shared" si="2"/>
        <v/>
      </c>
      <c r="O37" s="53" t="str">
        <f t="shared" si="5"/>
        <v/>
      </c>
      <c r="P37" s="49"/>
      <c r="R37" s="62" t="str">
        <f t="shared" si="6"/>
        <v/>
      </c>
      <c r="S37" s="62" t="str">
        <f t="shared" si="7"/>
        <v/>
      </c>
      <c r="T37" s="62" t="str">
        <f t="shared" si="3"/>
        <v/>
      </c>
    </row>
    <row r="38" spans="2:20" ht="18" customHeight="1" x14ac:dyDescent="0.25">
      <c r="B38" s="47" t="str">
        <f>IF(C38="","",COUNT($C$7:C38))</f>
        <v/>
      </c>
      <c r="C38" s="48"/>
      <c r="D38" s="49"/>
      <c r="E38" s="50"/>
      <c r="F38" s="49"/>
      <c r="G38" s="55"/>
      <c r="H38" s="56"/>
      <c r="I38" s="57" t="str">
        <f t="shared" si="0"/>
        <v/>
      </c>
      <c r="J38" s="58"/>
      <c r="K38" s="49"/>
      <c r="L38" s="59" t="str">
        <f t="shared" si="4"/>
        <v/>
      </c>
      <c r="M38" s="60" t="str">
        <f t="shared" si="1"/>
        <v/>
      </c>
      <c r="N38" s="61" t="str">
        <f t="shared" si="2"/>
        <v/>
      </c>
      <c r="O38" s="53" t="str">
        <f t="shared" si="5"/>
        <v/>
      </c>
      <c r="P38" s="49"/>
      <c r="R38" s="62" t="str">
        <f t="shared" si="6"/>
        <v/>
      </c>
      <c r="S38" s="62" t="str">
        <f t="shared" si="7"/>
        <v/>
      </c>
      <c r="T38" s="62" t="str">
        <f t="shared" si="3"/>
        <v/>
      </c>
    </row>
    <row r="39" spans="2:20" ht="18" customHeight="1" x14ac:dyDescent="0.25">
      <c r="B39" s="47" t="str">
        <f>IF(C39="","",COUNT($C$7:C39))</f>
        <v/>
      </c>
      <c r="C39" s="48"/>
      <c r="D39" s="49"/>
      <c r="E39" s="50"/>
      <c r="F39" s="49"/>
      <c r="G39" s="55"/>
      <c r="H39" s="56"/>
      <c r="I39" s="57" t="str">
        <f t="shared" ref="I39:I70" si="8">IF(OR(G39="",H39="",N(G39)=0),"",H39/G39)</f>
        <v/>
      </c>
      <c r="J39" s="58"/>
      <c r="K39" s="49"/>
      <c r="L39" s="59" t="str">
        <f t="shared" si="4"/>
        <v/>
      </c>
      <c r="M39" s="60" t="str">
        <f t="shared" ref="M39:M70" si="9">IF(OR(C39="",J39&lt;&gt;"Oui",R39="",N(E39)&lt;=N(R39)),"",S39/(E39-R39)*100)</f>
        <v/>
      </c>
      <c r="N39" s="61" t="str">
        <f t="shared" ref="N39:N70" si="10">IF(OR(M39="",I39=""),"",M39*I39)</f>
        <v/>
      </c>
      <c r="O39" s="53" t="str">
        <f t="shared" si="5"/>
        <v/>
      </c>
      <c r="P39" s="49"/>
      <c r="R39" s="62" t="str">
        <f t="shared" si="6"/>
        <v/>
      </c>
      <c r="S39" s="62" t="str">
        <f t="shared" si="7"/>
        <v/>
      </c>
      <c r="T39" s="62" t="str">
        <f t="shared" ref="T39:T70" si="11">IF(M39="","",E39-R39)</f>
        <v/>
      </c>
    </row>
    <row r="40" spans="2:20" ht="18" customHeight="1" x14ac:dyDescent="0.25">
      <c r="B40" s="47" t="str">
        <f>IF(C40="","",COUNT($C$7:C40))</f>
        <v/>
      </c>
      <c r="C40" s="48"/>
      <c r="D40" s="49"/>
      <c r="E40" s="50"/>
      <c r="F40" s="49"/>
      <c r="G40" s="55"/>
      <c r="H40" s="56"/>
      <c r="I40" s="57" t="str">
        <f t="shared" si="8"/>
        <v/>
      </c>
      <c r="J40" s="58"/>
      <c r="K40" s="49"/>
      <c r="L40" s="59" t="str">
        <f t="shared" ref="L40:L71" si="12">IF(OR(C40="",E40="",E39=""),"",E40-E39)</f>
        <v/>
      </c>
      <c r="M40" s="60" t="str">
        <f t="shared" si="9"/>
        <v/>
      </c>
      <c r="N40" s="61" t="str">
        <f t="shared" si="10"/>
        <v/>
      </c>
      <c r="O40" s="53" t="str">
        <f t="shared" ref="O40:O71" si="13">IF(C40="","",IF(OR(E40="",G40="",H40=""),"Incomplet",IF(AND(ISNUMBER(E39),E40&lt;E39),"Km incohérent",IF(AND(N(Capacite)&gt;0,G40&gt;Capacite*1.02),"Quantité &gt; réservoir",IF(ISNUMBER(M40),IF(AND(ConsoMoyenne&gt;0,ABS(M40/MAX(ConsoMoyenne,0.0001)-1)&gt;SeuilConso),"Conso. atypique","Conforme"),"Conforme")))))</f>
        <v/>
      </c>
      <c r="P40" s="49"/>
      <c r="R40" s="62" t="str">
        <f t="shared" ref="R40:R71" si="14">IF(C40="","",IF(J39="Oui",E39,R39))</f>
        <v/>
      </c>
      <c r="S40" s="62" t="str">
        <f t="shared" ref="S40:S71" si="15">IF(C40="","",IF(J39="Oui",N(G40),N(S39)+N(G40)))</f>
        <v/>
      </c>
      <c r="T40" s="62" t="str">
        <f t="shared" si="11"/>
        <v/>
      </c>
    </row>
    <row r="41" spans="2:20" ht="18" customHeight="1" x14ac:dyDescent="0.25">
      <c r="B41" s="47" t="str">
        <f>IF(C41="","",COUNT($C$7:C41))</f>
        <v/>
      </c>
      <c r="C41" s="48"/>
      <c r="D41" s="49"/>
      <c r="E41" s="50"/>
      <c r="F41" s="49"/>
      <c r="G41" s="55"/>
      <c r="H41" s="56"/>
      <c r="I41" s="57" t="str">
        <f t="shared" si="8"/>
        <v/>
      </c>
      <c r="J41" s="58"/>
      <c r="K41" s="49"/>
      <c r="L41" s="59" t="str">
        <f t="shared" si="12"/>
        <v/>
      </c>
      <c r="M41" s="60" t="str">
        <f t="shared" si="9"/>
        <v/>
      </c>
      <c r="N41" s="61" t="str">
        <f t="shared" si="10"/>
        <v/>
      </c>
      <c r="O41" s="53" t="str">
        <f t="shared" si="13"/>
        <v/>
      </c>
      <c r="P41" s="49"/>
      <c r="R41" s="62" t="str">
        <f t="shared" si="14"/>
        <v/>
      </c>
      <c r="S41" s="62" t="str">
        <f t="shared" si="15"/>
        <v/>
      </c>
      <c r="T41" s="62" t="str">
        <f t="shared" si="11"/>
        <v/>
      </c>
    </row>
    <row r="42" spans="2:20" ht="18" customHeight="1" x14ac:dyDescent="0.25">
      <c r="B42" s="47" t="str">
        <f>IF(C42="","",COUNT($C$7:C42))</f>
        <v/>
      </c>
      <c r="C42" s="48"/>
      <c r="D42" s="49"/>
      <c r="E42" s="50"/>
      <c r="F42" s="49"/>
      <c r="G42" s="55"/>
      <c r="H42" s="56"/>
      <c r="I42" s="57" t="str">
        <f t="shared" si="8"/>
        <v/>
      </c>
      <c r="J42" s="58"/>
      <c r="K42" s="49"/>
      <c r="L42" s="59" t="str">
        <f t="shared" si="12"/>
        <v/>
      </c>
      <c r="M42" s="60" t="str">
        <f t="shared" si="9"/>
        <v/>
      </c>
      <c r="N42" s="61" t="str">
        <f t="shared" si="10"/>
        <v/>
      </c>
      <c r="O42" s="53" t="str">
        <f t="shared" si="13"/>
        <v/>
      </c>
      <c r="P42" s="49"/>
      <c r="R42" s="62" t="str">
        <f t="shared" si="14"/>
        <v/>
      </c>
      <c r="S42" s="62" t="str">
        <f t="shared" si="15"/>
        <v/>
      </c>
      <c r="T42" s="62" t="str">
        <f t="shared" si="11"/>
        <v/>
      </c>
    </row>
    <row r="43" spans="2:20" ht="18" customHeight="1" x14ac:dyDescent="0.25">
      <c r="B43" s="47" t="str">
        <f>IF(C43="","",COUNT($C$7:C43))</f>
        <v/>
      </c>
      <c r="C43" s="48"/>
      <c r="D43" s="49"/>
      <c r="E43" s="50"/>
      <c r="F43" s="49"/>
      <c r="G43" s="55"/>
      <c r="H43" s="56"/>
      <c r="I43" s="57" t="str">
        <f t="shared" si="8"/>
        <v/>
      </c>
      <c r="J43" s="58"/>
      <c r="K43" s="49"/>
      <c r="L43" s="59" t="str">
        <f t="shared" si="12"/>
        <v/>
      </c>
      <c r="M43" s="60" t="str">
        <f t="shared" si="9"/>
        <v/>
      </c>
      <c r="N43" s="61" t="str">
        <f t="shared" si="10"/>
        <v/>
      </c>
      <c r="O43" s="53" t="str">
        <f t="shared" si="13"/>
        <v/>
      </c>
      <c r="P43" s="49"/>
      <c r="R43" s="62" t="str">
        <f t="shared" si="14"/>
        <v/>
      </c>
      <c r="S43" s="62" t="str">
        <f t="shared" si="15"/>
        <v/>
      </c>
      <c r="T43" s="62" t="str">
        <f t="shared" si="11"/>
        <v/>
      </c>
    </row>
    <row r="44" spans="2:20" ht="18" customHeight="1" x14ac:dyDescent="0.25">
      <c r="B44" s="47" t="str">
        <f>IF(C44="","",COUNT($C$7:C44))</f>
        <v/>
      </c>
      <c r="C44" s="48"/>
      <c r="D44" s="49"/>
      <c r="E44" s="50"/>
      <c r="F44" s="49"/>
      <c r="G44" s="55"/>
      <c r="H44" s="56"/>
      <c r="I44" s="57" t="str">
        <f t="shared" si="8"/>
        <v/>
      </c>
      <c r="J44" s="58"/>
      <c r="K44" s="49"/>
      <c r="L44" s="59" t="str">
        <f t="shared" si="12"/>
        <v/>
      </c>
      <c r="M44" s="60" t="str">
        <f t="shared" si="9"/>
        <v/>
      </c>
      <c r="N44" s="61" t="str">
        <f t="shared" si="10"/>
        <v/>
      </c>
      <c r="O44" s="53" t="str">
        <f t="shared" si="13"/>
        <v/>
      </c>
      <c r="P44" s="49"/>
      <c r="R44" s="62" t="str">
        <f t="shared" si="14"/>
        <v/>
      </c>
      <c r="S44" s="62" t="str">
        <f t="shared" si="15"/>
        <v/>
      </c>
      <c r="T44" s="62" t="str">
        <f t="shared" si="11"/>
        <v/>
      </c>
    </row>
    <row r="45" spans="2:20" ht="18" customHeight="1" x14ac:dyDescent="0.25">
      <c r="B45" s="47" t="str">
        <f>IF(C45="","",COUNT($C$7:C45))</f>
        <v/>
      </c>
      <c r="C45" s="48"/>
      <c r="D45" s="49"/>
      <c r="E45" s="50"/>
      <c r="F45" s="49"/>
      <c r="G45" s="55"/>
      <c r="H45" s="56"/>
      <c r="I45" s="57" t="str">
        <f t="shared" si="8"/>
        <v/>
      </c>
      <c r="J45" s="58"/>
      <c r="K45" s="49"/>
      <c r="L45" s="59" t="str">
        <f t="shared" si="12"/>
        <v/>
      </c>
      <c r="M45" s="60" t="str">
        <f t="shared" si="9"/>
        <v/>
      </c>
      <c r="N45" s="61" t="str">
        <f t="shared" si="10"/>
        <v/>
      </c>
      <c r="O45" s="53" t="str">
        <f t="shared" si="13"/>
        <v/>
      </c>
      <c r="P45" s="49"/>
      <c r="R45" s="62" t="str">
        <f t="shared" si="14"/>
        <v/>
      </c>
      <c r="S45" s="62" t="str">
        <f t="shared" si="15"/>
        <v/>
      </c>
      <c r="T45" s="62" t="str">
        <f t="shared" si="11"/>
        <v/>
      </c>
    </row>
    <row r="46" spans="2:20" ht="18" customHeight="1" x14ac:dyDescent="0.25">
      <c r="B46" s="47" t="str">
        <f>IF(C46="","",COUNT($C$7:C46))</f>
        <v/>
      </c>
      <c r="C46" s="48"/>
      <c r="D46" s="49"/>
      <c r="E46" s="50"/>
      <c r="F46" s="49"/>
      <c r="G46" s="55"/>
      <c r="H46" s="56"/>
      <c r="I46" s="57" t="str">
        <f t="shared" si="8"/>
        <v/>
      </c>
      <c r="J46" s="58"/>
      <c r="K46" s="49"/>
      <c r="L46" s="59" t="str">
        <f t="shared" si="12"/>
        <v/>
      </c>
      <c r="M46" s="60" t="str">
        <f t="shared" si="9"/>
        <v/>
      </c>
      <c r="N46" s="61" t="str">
        <f t="shared" si="10"/>
        <v/>
      </c>
      <c r="O46" s="53" t="str">
        <f t="shared" si="13"/>
        <v/>
      </c>
      <c r="P46" s="49"/>
      <c r="R46" s="62" t="str">
        <f t="shared" si="14"/>
        <v/>
      </c>
      <c r="S46" s="62" t="str">
        <f t="shared" si="15"/>
        <v/>
      </c>
      <c r="T46" s="62" t="str">
        <f t="shared" si="11"/>
        <v/>
      </c>
    </row>
    <row r="47" spans="2:20" ht="18" customHeight="1" x14ac:dyDescent="0.25">
      <c r="B47" s="47" t="str">
        <f>IF(C47="","",COUNT($C$7:C47))</f>
        <v/>
      </c>
      <c r="C47" s="48"/>
      <c r="D47" s="49"/>
      <c r="E47" s="50"/>
      <c r="F47" s="49"/>
      <c r="G47" s="55"/>
      <c r="H47" s="56"/>
      <c r="I47" s="57" t="str">
        <f t="shared" si="8"/>
        <v/>
      </c>
      <c r="J47" s="58"/>
      <c r="K47" s="49"/>
      <c r="L47" s="59" t="str">
        <f t="shared" si="12"/>
        <v/>
      </c>
      <c r="M47" s="60" t="str">
        <f t="shared" si="9"/>
        <v/>
      </c>
      <c r="N47" s="61" t="str">
        <f t="shared" si="10"/>
        <v/>
      </c>
      <c r="O47" s="53" t="str">
        <f t="shared" si="13"/>
        <v/>
      </c>
      <c r="P47" s="49"/>
      <c r="R47" s="62" t="str">
        <f t="shared" si="14"/>
        <v/>
      </c>
      <c r="S47" s="62" t="str">
        <f t="shared" si="15"/>
        <v/>
      </c>
      <c r="T47" s="62" t="str">
        <f t="shared" si="11"/>
        <v/>
      </c>
    </row>
    <row r="48" spans="2:20" ht="18" customHeight="1" x14ac:dyDescent="0.25">
      <c r="B48" s="47" t="str">
        <f>IF(C48="","",COUNT($C$7:C48))</f>
        <v/>
      </c>
      <c r="C48" s="48"/>
      <c r="D48" s="49"/>
      <c r="E48" s="50"/>
      <c r="F48" s="49"/>
      <c r="G48" s="55"/>
      <c r="H48" s="56"/>
      <c r="I48" s="57" t="str">
        <f t="shared" si="8"/>
        <v/>
      </c>
      <c r="J48" s="58"/>
      <c r="K48" s="49"/>
      <c r="L48" s="59" t="str">
        <f t="shared" si="12"/>
        <v/>
      </c>
      <c r="M48" s="60" t="str">
        <f t="shared" si="9"/>
        <v/>
      </c>
      <c r="N48" s="61" t="str">
        <f t="shared" si="10"/>
        <v/>
      </c>
      <c r="O48" s="53" t="str">
        <f t="shared" si="13"/>
        <v/>
      </c>
      <c r="P48" s="49"/>
      <c r="R48" s="62" t="str">
        <f t="shared" si="14"/>
        <v/>
      </c>
      <c r="S48" s="62" t="str">
        <f t="shared" si="15"/>
        <v/>
      </c>
      <c r="T48" s="62" t="str">
        <f t="shared" si="11"/>
        <v/>
      </c>
    </row>
    <row r="49" spans="2:20" ht="18" customHeight="1" x14ac:dyDescent="0.25">
      <c r="B49" s="47" t="str">
        <f>IF(C49="","",COUNT($C$7:C49))</f>
        <v/>
      </c>
      <c r="C49" s="48"/>
      <c r="D49" s="49"/>
      <c r="E49" s="50"/>
      <c r="F49" s="49"/>
      <c r="G49" s="55"/>
      <c r="H49" s="56"/>
      <c r="I49" s="57" t="str">
        <f t="shared" si="8"/>
        <v/>
      </c>
      <c r="J49" s="58"/>
      <c r="K49" s="49"/>
      <c r="L49" s="59" t="str">
        <f t="shared" si="12"/>
        <v/>
      </c>
      <c r="M49" s="60" t="str">
        <f t="shared" si="9"/>
        <v/>
      </c>
      <c r="N49" s="61" t="str">
        <f t="shared" si="10"/>
        <v/>
      </c>
      <c r="O49" s="53" t="str">
        <f t="shared" si="13"/>
        <v/>
      </c>
      <c r="P49" s="49"/>
      <c r="R49" s="62" t="str">
        <f t="shared" si="14"/>
        <v/>
      </c>
      <c r="S49" s="62" t="str">
        <f t="shared" si="15"/>
        <v/>
      </c>
      <c r="T49" s="62" t="str">
        <f t="shared" si="11"/>
        <v/>
      </c>
    </row>
    <row r="50" spans="2:20" ht="18" customHeight="1" x14ac:dyDescent="0.25">
      <c r="B50" s="47" t="str">
        <f>IF(C50="","",COUNT($C$7:C50))</f>
        <v/>
      </c>
      <c r="C50" s="48"/>
      <c r="D50" s="49"/>
      <c r="E50" s="50"/>
      <c r="F50" s="49"/>
      <c r="G50" s="55"/>
      <c r="H50" s="56"/>
      <c r="I50" s="57" t="str">
        <f t="shared" si="8"/>
        <v/>
      </c>
      <c r="J50" s="58"/>
      <c r="K50" s="49"/>
      <c r="L50" s="59" t="str">
        <f t="shared" si="12"/>
        <v/>
      </c>
      <c r="M50" s="60" t="str">
        <f t="shared" si="9"/>
        <v/>
      </c>
      <c r="N50" s="61" t="str">
        <f t="shared" si="10"/>
        <v/>
      </c>
      <c r="O50" s="53" t="str">
        <f t="shared" si="13"/>
        <v/>
      </c>
      <c r="P50" s="49"/>
      <c r="R50" s="62" t="str">
        <f t="shared" si="14"/>
        <v/>
      </c>
      <c r="S50" s="62" t="str">
        <f t="shared" si="15"/>
        <v/>
      </c>
      <c r="T50" s="62" t="str">
        <f t="shared" si="11"/>
        <v/>
      </c>
    </row>
    <row r="51" spans="2:20" ht="18" customHeight="1" x14ac:dyDescent="0.25">
      <c r="B51" s="47" t="str">
        <f>IF(C51="","",COUNT($C$7:C51))</f>
        <v/>
      </c>
      <c r="C51" s="48"/>
      <c r="D51" s="49"/>
      <c r="E51" s="50"/>
      <c r="F51" s="49"/>
      <c r="G51" s="55"/>
      <c r="H51" s="56"/>
      <c r="I51" s="57" t="str">
        <f t="shared" si="8"/>
        <v/>
      </c>
      <c r="J51" s="58"/>
      <c r="K51" s="49"/>
      <c r="L51" s="59" t="str">
        <f t="shared" si="12"/>
        <v/>
      </c>
      <c r="M51" s="60" t="str">
        <f t="shared" si="9"/>
        <v/>
      </c>
      <c r="N51" s="61" t="str">
        <f t="shared" si="10"/>
        <v/>
      </c>
      <c r="O51" s="53" t="str">
        <f t="shared" si="13"/>
        <v/>
      </c>
      <c r="P51" s="49"/>
      <c r="R51" s="62" t="str">
        <f t="shared" si="14"/>
        <v/>
      </c>
      <c r="S51" s="62" t="str">
        <f t="shared" si="15"/>
        <v/>
      </c>
      <c r="T51" s="62" t="str">
        <f t="shared" si="11"/>
        <v/>
      </c>
    </row>
    <row r="52" spans="2:20" ht="18" customHeight="1" x14ac:dyDescent="0.25">
      <c r="B52" s="47" t="str">
        <f>IF(C52="","",COUNT($C$7:C52))</f>
        <v/>
      </c>
      <c r="C52" s="48"/>
      <c r="D52" s="49"/>
      <c r="E52" s="50"/>
      <c r="F52" s="49"/>
      <c r="G52" s="55"/>
      <c r="H52" s="56"/>
      <c r="I52" s="57" t="str">
        <f t="shared" si="8"/>
        <v/>
      </c>
      <c r="J52" s="58"/>
      <c r="K52" s="49"/>
      <c r="L52" s="59" t="str">
        <f t="shared" si="12"/>
        <v/>
      </c>
      <c r="M52" s="60" t="str">
        <f t="shared" si="9"/>
        <v/>
      </c>
      <c r="N52" s="61" t="str">
        <f t="shared" si="10"/>
        <v/>
      </c>
      <c r="O52" s="53" t="str">
        <f t="shared" si="13"/>
        <v/>
      </c>
      <c r="P52" s="49"/>
      <c r="R52" s="62" t="str">
        <f t="shared" si="14"/>
        <v/>
      </c>
      <c r="S52" s="62" t="str">
        <f t="shared" si="15"/>
        <v/>
      </c>
      <c r="T52" s="62" t="str">
        <f t="shared" si="11"/>
        <v/>
      </c>
    </row>
    <row r="53" spans="2:20" ht="18" customHeight="1" x14ac:dyDescent="0.25">
      <c r="B53" s="47" t="str">
        <f>IF(C53="","",COUNT($C$7:C53))</f>
        <v/>
      </c>
      <c r="C53" s="48"/>
      <c r="D53" s="49"/>
      <c r="E53" s="50"/>
      <c r="F53" s="49"/>
      <c r="G53" s="55"/>
      <c r="H53" s="56"/>
      <c r="I53" s="57" t="str">
        <f t="shared" si="8"/>
        <v/>
      </c>
      <c r="J53" s="58"/>
      <c r="K53" s="49"/>
      <c r="L53" s="59" t="str">
        <f t="shared" si="12"/>
        <v/>
      </c>
      <c r="M53" s="60" t="str">
        <f t="shared" si="9"/>
        <v/>
      </c>
      <c r="N53" s="61" t="str">
        <f t="shared" si="10"/>
        <v/>
      </c>
      <c r="O53" s="53" t="str">
        <f t="shared" si="13"/>
        <v/>
      </c>
      <c r="P53" s="49"/>
      <c r="R53" s="62" t="str">
        <f t="shared" si="14"/>
        <v/>
      </c>
      <c r="S53" s="62" t="str">
        <f t="shared" si="15"/>
        <v/>
      </c>
      <c r="T53" s="62" t="str">
        <f t="shared" si="11"/>
        <v/>
      </c>
    </row>
    <row r="54" spans="2:20" ht="18" customHeight="1" x14ac:dyDescent="0.25">
      <c r="B54" s="47" t="str">
        <f>IF(C54="","",COUNT($C$7:C54))</f>
        <v/>
      </c>
      <c r="C54" s="48"/>
      <c r="D54" s="49"/>
      <c r="E54" s="50"/>
      <c r="F54" s="49"/>
      <c r="G54" s="55"/>
      <c r="H54" s="56"/>
      <c r="I54" s="57" t="str">
        <f t="shared" si="8"/>
        <v/>
      </c>
      <c r="J54" s="58"/>
      <c r="K54" s="49"/>
      <c r="L54" s="59" t="str">
        <f t="shared" si="12"/>
        <v/>
      </c>
      <c r="M54" s="60" t="str">
        <f t="shared" si="9"/>
        <v/>
      </c>
      <c r="N54" s="61" t="str">
        <f t="shared" si="10"/>
        <v/>
      </c>
      <c r="O54" s="53" t="str">
        <f t="shared" si="13"/>
        <v/>
      </c>
      <c r="P54" s="49"/>
      <c r="R54" s="62" t="str">
        <f t="shared" si="14"/>
        <v/>
      </c>
      <c r="S54" s="62" t="str">
        <f t="shared" si="15"/>
        <v/>
      </c>
      <c r="T54" s="62" t="str">
        <f t="shared" si="11"/>
        <v/>
      </c>
    </row>
    <row r="55" spans="2:20" ht="18" customHeight="1" x14ac:dyDescent="0.25">
      <c r="B55" s="47" t="str">
        <f>IF(C55="","",COUNT($C$7:C55))</f>
        <v/>
      </c>
      <c r="C55" s="48"/>
      <c r="D55" s="49"/>
      <c r="E55" s="50"/>
      <c r="F55" s="49"/>
      <c r="G55" s="55"/>
      <c r="H55" s="56"/>
      <c r="I55" s="57" t="str">
        <f t="shared" si="8"/>
        <v/>
      </c>
      <c r="J55" s="58"/>
      <c r="K55" s="49"/>
      <c r="L55" s="59" t="str">
        <f t="shared" si="12"/>
        <v/>
      </c>
      <c r="M55" s="60" t="str">
        <f t="shared" si="9"/>
        <v/>
      </c>
      <c r="N55" s="61" t="str">
        <f t="shared" si="10"/>
        <v/>
      </c>
      <c r="O55" s="53" t="str">
        <f t="shared" si="13"/>
        <v/>
      </c>
      <c r="P55" s="49"/>
      <c r="R55" s="62" t="str">
        <f t="shared" si="14"/>
        <v/>
      </c>
      <c r="S55" s="62" t="str">
        <f t="shared" si="15"/>
        <v/>
      </c>
      <c r="T55" s="62" t="str">
        <f t="shared" si="11"/>
        <v/>
      </c>
    </row>
    <row r="56" spans="2:20" ht="18" customHeight="1" x14ac:dyDescent="0.25">
      <c r="B56" s="47" t="str">
        <f>IF(C56="","",COUNT($C$7:C56))</f>
        <v/>
      </c>
      <c r="C56" s="48"/>
      <c r="D56" s="49"/>
      <c r="E56" s="50"/>
      <c r="F56" s="49"/>
      <c r="G56" s="55"/>
      <c r="H56" s="56"/>
      <c r="I56" s="57" t="str">
        <f t="shared" si="8"/>
        <v/>
      </c>
      <c r="J56" s="58"/>
      <c r="K56" s="49"/>
      <c r="L56" s="59" t="str">
        <f t="shared" si="12"/>
        <v/>
      </c>
      <c r="M56" s="60" t="str">
        <f t="shared" si="9"/>
        <v/>
      </c>
      <c r="N56" s="61" t="str">
        <f t="shared" si="10"/>
        <v/>
      </c>
      <c r="O56" s="53" t="str">
        <f t="shared" si="13"/>
        <v/>
      </c>
      <c r="P56" s="49"/>
      <c r="R56" s="62" t="str">
        <f t="shared" si="14"/>
        <v/>
      </c>
      <c r="S56" s="62" t="str">
        <f t="shared" si="15"/>
        <v/>
      </c>
      <c r="T56" s="62" t="str">
        <f t="shared" si="11"/>
        <v/>
      </c>
    </row>
    <row r="57" spans="2:20" ht="18" customHeight="1" x14ac:dyDescent="0.25">
      <c r="B57" s="47" t="str">
        <f>IF(C57="","",COUNT($C$7:C57))</f>
        <v/>
      </c>
      <c r="C57" s="48"/>
      <c r="D57" s="49"/>
      <c r="E57" s="50"/>
      <c r="F57" s="49"/>
      <c r="G57" s="55"/>
      <c r="H57" s="56"/>
      <c r="I57" s="57" t="str">
        <f t="shared" si="8"/>
        <v/>
      </c>
      <c r="J57" s="58"/>
      <c r="K57" s="49"/>
      <c r="L57" s="59" t="str">
        <f t="shared" si="12"/>
        <v/>
      </c>
      <c r="M57" s="60" t="str">
        <f t="shared" si="9"/>
        <v/>
      </c>
      <c r="N57" s="61" t="str">
        <f t="shared" si="10"/>
        <v/>
      </c>
      <c r="O57" s="53" t="str">
        <f t="shared" si="13"/>
        <v/>
      </c>
      <c r="P57" s="49"/>
      <c r="R57" s="62" t="str">
        <f t="shared" si="14"/>
        <v/>
      </c>
      <c r="S57" s="62" t="str">
        <f t="shared" si="15"/>
        <v/>
      </c>
      <c r="T57" s="62" t="str">
        <f t="shared" si="11"/>
        <v/>
      </c>
    </row>
    <row r="58" spans="2:20" ht="18" customHeight="1" x14ac:dyDescent="0.25">
      <c r="B58" s="47" t="str">
        <f>IF(C58="","",COUNT($C$7:C58))</f>
        <v/>
      </c>
      <c r="C58" s="48"/>
      <c r="D58" s="49"/>
      <c r="E58" s="50"/>
      <c r="F58" s="49"/>
      <c r="G58" s="55"/>
      <c r="H58" s="56"/>
      <c r="I58" s="57" t="str">
        <f t="shared" si="8"/>
        <v/>
      </c>
      <c r="J58" s="58"/>
      <c r="K58" s="49"/>
      <c r="L58" s="59" t="str">
        <f t="shared" si="12"/>
        <v/>
      </c>
      <c r="M58" s="60" t="str">
        <f t="shared" si="9"/>
        <v/>
      </c>
      <c r="N58" s="61" t="str">
        <f t="shared" si="10"/>
        <v/>
      </c>
      <c r="O58" s="53" t="str">
        <f t="shared" si="13"/>
        <v/>
      </c>
      <c r="P58" s="49"/>
      <c r="R58" s="62" t="str">
        <f t="shared" si="14"/>
        <v/>
      </c>
      <c r="S58" s="62" t="str">
        <f t="shared" si="15"/>
        <v/>
      </c>
      <c r="T58" s="62" t="str">
        <f t="shared" si="11"/>
        <v/>
      </c>
    </row>
    <row r="59" spans="2:20" ht="18" customHeight="1" x14ac:dyDescent="0.25">
      <c r="B59" s="47" t="str">
        <f>IF(C59="","",COUNT($C$7:C59))</f>
        <v/>
      </c>
      <c r="C59" s="48"/>
      <c r="D59" s="49"/>
      <c r="E59" s="50"/>
      <c r="F59" s="49"/>
      <c r="G59" s="55"/>
      <c r="H59" s="56"/>
      <c r="I59" s="57" t="str">
        <f t="shared" si="8"/>
        <v/>
      </c>
      <c r="J59" s="58"/>
      <c r="K59" s="49"/>
      <c r="L59" s="59" t="str">
        <f t="shared" si="12"/>
        <v/>
      </c>
      <c r="M59" s="60" t="str">
        <f t="shared" si="9"/>
        <v/>
      </c>
      <c r="N59" s="61" t="str">
        <f t="shared" si="10"/>
        <v/>
      </c>
      <c r="O59" s="53" t="str">
        <f t="shared" si="13"/>
        <v/>
      </c>
      <c r="P59" s="49"/>
      <c r="R59" s="62" t="str">
        <f t="shared" si="14"/>
        <v/>
      </c>
      <c r="S59" s="62" t="str">
        <f t="shared" si="15"/>
        <v/>
      </c>
      <c r="T59" s="62" t="str">
        <f t="shared" si="11"/>
        <v/>
      </c>
    </row>
    <row r="60" spans="2:20" ht="18" customHeight="1" x14ac:dyDescent="0.25">
      <c r="B60" s="47" t="str">
        <f>IF(C60="","",COUNT($C$7:C60))</f>
        <v/>
      </c>
      <c r="C60" s="48"/>
      <c r="D60" s="49"/>
      <c r="E60" s="50"/>
      <c r="F60" s="49"/>
      <c r="G60" s="55"/>
      <c r="H60" s="56"/>
      <c r="I60" s="57" t="str">
        <f t="shared" si="8"/>
        <v/>
      </c>
      <c r="J60" s="58"/>
      <c r="K60" s="49"/>
      <c r="L60" s="59" t="str">
        <f t="shared" si="12"/>
        <v/>
      </c>
      <c r="M60" s="60" t="str">
        <f t="shared" si="9"/>
        <v/>
      </c>
      <c r="N60" s="61" t="str">
        <f t="shared" si="10"/>
        <v/>
      </c>
      <c r="O60" s="53" t="str">
        <f t="shared" si="13"/>
        <v/>
      </c>
      <c r="P60" s="49"/>
      <c r="R60" s="62" t="str">
        <f t="shared" si="14"/>
        <v/>
      </c>
      <c r="S60" s="62" t="str">
        <f t="shared" si="15"/>
        <v/>
      </c>
      <c r="T60" s="62" t="str">
        <f t="shared" si="11"/>
        <v/>
      </c>
    </row>
    <row r="61" spans="2:20" ht="18" customHeight="1" x14ac:dyDescent="0.25">
      <c r="B61" s="47" t="str">
        <f>IF(C61="","",COUNT($C$7:C61))</f>
        <v/>
      </c>
      <c r="C61" s="48"/>
      <c r="D61" s="49"/>
      <c r="E61" s="50"/>
      <c r="F61" s="49"/>
      <c r="G61" s="55"/>
      <c r="H61" s="56"/>
      <c r="I61" s="57" t="str">
        <f t="shared" si="8"/>
        <v/>
      </c>
      <c r="J61" s="58"/>
      <c r="K61" s="49"/>
      <c r="L61" s="59" t="str">
        <f t="shared" si="12"/>
        <v/>
      </c>
      <c r="M61" s="60" t="str">
        <f t="shared" si="9"/>
        <v/>
      </c>
      <c r="N61" s="61" t="str">
        <f t="shared" si="10"/>
        <v/>
      </c>
      <c r="O61" s="53" t="str">
        <f t="shared" si="13"/>
        <v/>
      </c>
      <c r="P61" s="49"/>
      <c r="R61" s="62" t="str">
        <f t="shared" si="14"/>
        <v/>
      </c>
      <c r="S61" s="62" t="str">
        <f t="shared" si="15"/>
        <v/>
      </c>
      <c r="T61" s="62" t="str">
        <f t="shared" si="11"/>
        <v/>
      </c>
    </row>
    <row r="62" spans="2:20" ht="18" customHeight="1" x14ac:dyDescent="0.25">
      <c r="B62" s="47" t="str">
        <f>IF(C62="","",COUNT($C$7:C62))</f>
        <v/>
      </c>
      <c r="C62" s="48"/>
      <c r="D62" s="49"/>
      <c r="E62" s="50"/>
      <c r="F62" s="49"/>
      <c r="G62" s="55"/>
      <c r="H62" s="56"/>
      <c r="I62" s="57" t="str">
        <f t="shared" si="8"/>
        <v/>
      </c>
      <c r="J62" s="58"/>
      <c r="K62" s="49"/>
      <c r="L62" s="59" t="str">
        <f t="shared" si="12"/>
        <v/>
      </c>
      <c r="M62" s="60" t="str">
        <f t="shared" si="9"/>
        <v/>
      </c>
      <c r="N62" s="61" t="str">
        <f t="shared" si="10"/>
        <v/>
      </c>
      <c r="O62" s="53" t="str">
        <f t="shared" si="13"/>
        <v/>
      </c>
      <c r="P62" s="49"/>
      <c r="R62" s="62" t="str">
        <f t="shared" si="14"/>
        <v/>
      </c>
      <c r="S62" s="62" t="str">
        <f t="shared" si="15"/>
        <v/>
      </c>
      <c r="T62" s="62" t="str">
        <f t="shared" si="11"/>
        <v/>
      </c>
    </row>
    <row r="63" spans="2:20" ht="18" customHeight="1" x14ac:dyDescent="0.25">
      <c r="B63" s="47" t="str">
        <f>IF(C63="","",COUNT($C$7:C63))</f>
        <v/>
      </c>
      <c r="C63" s="48"/>
      <c r="D63" s="49"/>
      <c r="E63" s="50"/>
      <c r="F63" s="49"/>
      <c r="G63" s="55"/>
      <c r="H63" s="56"/>
      <c r="I63" s="57" t="str">
        <f t="shared" si="8"/>
        <v/>
      </c>
      <c r="J63" s="58"/>
      <c r="K63" s="49"/>
      <c r="L63" s="59" t="str">
        <f t="shared" si="12"/>
        <v/>
      </c>
      <c r="M63" s="60" t="str">
        <f t="shared" si="9"/>
        <v/>
      </c>
      <c r="N63" s="61" t="str">
        <f t="shared" si="10"/>
        <v/>
      </c>
      <c r="O63" s="53" t="str">
        <f t="shared" si="13"/>
        <v/>
      </c>
      <c r="P63" s="49"/>
      <c r="R63" s="62" t="str">
        <f t="shared" si="14"/>
        <v/>
      </c>
      <c r="S63" s="62" t="str">
        <f t="shared" si="15"/>
        <v/>
      </c>
      <c r="T63" s="62" t="str">
        <f t="shared" si="11"/>
        <v/>
      </c>
    </row>
    <row r="64" spans="2:20" ht="18" customHeight="1" x14ac:dyDescent="0.25">
      <c r="B64" s="47" t="str">
        <f>IF(C64="","",COUNT($C$7:C64))</f>
        <v/>
      </c>
      <c r="C64" s="48"/>
      <c r="D64" s="49"/>
      <c r="E64" s="50"/>
      <c r="F64" s="49"/>
      <c r="G64" s="55"/>
      <c r="H64" s="56"/>
      <c r="I64" s="57" t="str">
        <f t="shared" si="8"/>
        <v/>
      </c>
      <c r="J64" s="58"/>
      <c r="K64" s="49"/>
      <c r="L64" s="59" t="str">
        <f t="shared" si="12"/>
        <v/>
      </c>
      <c r="M64" s="60" t="str">
        <f t="shared" si="9"/>
        <v/>
      </c>
      <c r="N64" s="61" t="str">
        <f t="shared" si="10"/>
        <v/>
      </c>
      <c r="O64" s="53" t="str">
        <f t="shared" si="13"/>
        <v/>
      </c>
      <c r="P64" s="49"/>
      <c r="R64" s="62" t="str">
        <f t="shared" si="14"/>
        <v/>
      </c>
      <c r="S64" s="62" t="str">
        <f t="shared" si="15"/>
        <v/>
      </c>
      <c r="T64" s="62" t="str">
        <f t="shared" si="11"/>
        <v/>
      </c>
    </row>
    <row r="65" spans="2:20" ht="18" customHeight="1" x14ac:dyDescent="0.25">
      <c r="B65" s="47" t="str">
        <f>IF(C65="","",COUNT($C$7:C65))</f>
        <v/>
      </c>
      <c r="C65" s="48"/>
      <c r="D65" s="49"/>
      <c r="E65" s="50"/>
      <c r="F65" s="49"/>
      <c r="G65" s="55"/>
      <c r="H65" s="56"/>
      <c r="I65" s="57" t="str">
        <f t="shared" si="8"/>
        <v/>
      </c>
      <c r="J65" s="58"/>
      <c r="K65" s="49"/>
      <c r="L65" s="59" t="str">
        <f t="shared" si="12"/>
        <v/>
      </c>
      <c r="M65" s="60" t="str">
        <f t="shared" si="9"/>
        <v/>
      </c>
      <c r="N65" s="61" t="str">
        <f t="shared" si="10"/>
        <v/>
      </c>
      <c r="O65" s="53" t="str">
        <f t="shared" si="13"/>
        <v/>
      </c>
      <c r="P65" s="49"/>
      <c r="R65" s="62" t="str">
        <f t="shared" si="14"/>
        <v/>
      </c>
      <c r="S65" s="62" t="str">
        <f t="shared" si="15"/>
        <v/>
      </c>
      <c r="T65" s="62" t="str">
        <f t="shared" si="11"/>
        <v/>
      </c>
    </row>
    <row r="66" spans="2:20" ht="18" customHeight="1" x14ac:dyDescent="0.25">
      <c r="B66" s="47" t="str">
        <f>IF(C66="","",COUNT($C$7:C66))</f>
        <v/>
      </c>
      <c r="C66" s="48"/>
      <c r="D66" s="49"/>
      <c r="E66" s="50"/>
      <c r="F66" s="49"/>
      <c r="G66" s="55"/>
      <c r="H66" s="56"/>
      <c r="I66" s="57" t="str">
        <f t="shared" si="8"/>
        <v/>
      </c>
      <c r="J66" s="58"/>
      <c r="K66" s="49"/>
      <c r="L66" s="59" t="str">
        <f t="shared" si="12"/>
        <v/>
      </c>
      <c r="M66" s="60" t="str">
        <f t="shared" si="9"/>
        <v/>
      </c>
      <c r="N66" s="61" t="str">
        <f t="shared" si="10"/>
        <v/>
      </c>
      <c r="O66" s="53" t="str">
        <f t="shared" si="13"/>
        <v/>
      </c>
      <c r="P66" s="49"/>
      <c r="R66" s="62" t="str">
        <f t="shared" si="14"/>
        <v/>
      </c>
      <c r="S66" s="62" t="str">
        <f t="shared" si="15"/>
        <v/>
      </c>
      <c r="T66" s="62" t="str">
        <f t="shared" si="11"/>
        <v/>
      </c>
    </row>
    <row r="67" spans="2:20" ht="18" customHeight="1" x14ac:dyDescent="0.25">
      <c r="B67" s="47" t="str">
        <f>IF(C67="","",COUNT($C$7:C67))</f>
        <v/>
      </c>
      <c r="C67" s="48"/>
      <c r="D67" s="49"/>
      <c r="E67" s="50"/>
      <c r="F67" s="49"/>
      <c r="G67" s="55"/>
      <c r="H67" s="56"/>
      <c r="I67" s="57" t="str">
        <f t="shared" si="8"/>
        <v/>
      </c>
      <c r="J67" s="58"/>
      <c r="K67" s="49"/>
      <c r="L67" s="59" t="str">
        <f t="shared" si="12"/>
        <v/>
      </c>
      <c r="M67" s="60" t="str">
        <f t="shared" si="9"/>
        <v/>
      </c>
      <c r="N67" s="61" t="str">
        <f t="shared" si="10"/>
        <v/>
      </c>
      <c r="O67" s="53" t="str">
        <f t="shared" si="13"/>
        <v/>
      </c>
      <c r="P67" s="49"/>
      <c r="R67" s="62" t="str">
        <f t="shared" si="14"/>
        <v/>
      </c>
      <c r="S67" s="62" t="str">
        <f t="shared" si="15"/>
        <v/>
      </c>
      <c r="T67" s="62" t="str">
        <f t="shared" si="11"/>
        <v/>
      </c>
    </row>
    <row r="68" spans="2:20" ht="18" customHeight="1" x14ac:dyDescent="0.25">
      <c r="B68" s="47" t="str">
        <f>IF(C68="","",COUNT($C$7:C68))</f>
        <v/>
      </c>
      <c r="C68" s="48"/>
      <c r="D68" s="49"/>
      <c r="E68" s="50"/>
      <c r="F68" s="49"/>
      <c r="G68" s="55"/>
      <c r="H68" s="56"/>
      <c r="I68" s="57" t="str">
        <f t="shared" si="8"/>
        <v/>
      </c>
      <c r="J68" s="58"/>
      <c r="K68" s="49"/>
      <c r="L68" s="59" t="str">
        <f t="shared" si="12"/>
        <v/>
      </c>
      <c r="M68" s="60" t="str">
        <f t="shared" si="9"/>
        <v/>
      </c>
      <c r="N68" s="61" t="str">
        <f t="shared" si="10"/>
        <v/>
      </c>
      <c r="O68" s="53" t="str">
        <f t="shared" si="13"/>
        <v/>
      </c>
      <c r="P68" s="49"/>
      <c r="R68" s="62" t="str">
        <f t="shared" si="14"/>
        <v/>
      </c>
      <c r="S68" s="62" t="str">
        <f t="shared" si="15"/>
        <v/>
      </c>
      <c r="T68" s="62" t="str">
        <f t="shared" si="11"/>
        <v/>
      </c>
    </row>
    <row r="69" spans="2:20" ht="18" customHeight="1" x14ac:dyDescent="0.25">
      <c r="B69" s="47" t="str">
        <f>IF(C69="","",COUNT($C$7:C69))</f>
        <v/>
      </c>
      <c r="C69" s="48"/>
      <c r="D69" s="49"/>
      <c r="E69" s="50"/>
      <c r="F69" s="49"/>
      <c r="G69" s="55"/>
      <c r="H69" s="56"/>
      <c r="I69" s="57" t="str">
        <f t="shared" si="8"/>
        <v/>
      </c>
      <c r="J69" s="58"/>
      <c r="K69" s="49"/>
      <c r="L69" s="59" t="str">
        <f t="shared" si="12"/>
        <v/>
      </c>
      <c r="M69" s="60" t="str">
        <f t="shared" si="9"/>
        <v/>
      </c>
      <c r="N69" s="61" t="str">
        <f t="shared" si="10"/>
        <v/>
      </c>
      <c r="O69" s="53" t="str">
        <f t="shared" si="13"/>
        <v/>
      </c>
      <c r="P69" s="49"/>
      <c r="R69" s="62" t="str">
        <f t="shared" si="14"/>
        <v/>
      </c>
      <c r="S69" s="62" t="str">
        <f t="shared" si="15"/>
        <v/>
      </c>
      <c r="T69" s="62" t="str">
        <f t="shared" si="11"/>
        <v/>
      </c>
    </row>
    <row r="70" spans="2:20" ht="18" customHeight="1" x14ac:dyDescent="0.25">
      <c r="B70" s="47" t="str">
        <f>IF(C70="","",COUNT($C$7:C70))</f>
        <v/>
      </c>
      <c r="C70" s="48"/>
      <c r="D70" s="49"/>
      <c r="E70" s="50"/>
      <c r="F70" s="49"/>
      <c r="G70" s="55"/>
      <c r="H70" s="56"/>
      <c r="I70" s="57" t="str">
        <f t="shared" si="8"/>
        <v/>
      </c>
      <c r="J70" s="58"/>
      <c r="K70" s="49"/>
      <c r="L70" s="59" t="str">
        <f t="shared" si="12"/>
        <v/>
      </c>
      <c r="M70" s="60" t="str">
        <f t="shared" si="9"/>
        <v/>
      </c>
      <c r="N70" s="61" t="str">
        <f t="shared" si="10"/>
        <v/>
      </c>
      <c r="O70" s="53" t="str">
        <f t="shared" si="13"/>
        <v/>
      </c>
      <c r="P70" s="49"/>
      <c r="R70" s="62" t="str">
        <f t="shared" si="14"/>
        <v/>
      </c>
      <c r="S70" s="62" t="str">
        <f t="shared" si="15"/>
        <v/>
      </c>
      <c r="T70" s="62" t="str">
        <f t="shared" si="11"/>
        <v/>
      </c>
    </row>
    <row r="71" spans="2:20" ht="18" customHeight="1" x14ac:dyDescent="0.25">
      <c r="B71" s="47" t="str">
        <f>IF(C71="","",COUNT($C$7:C71))</f>
        <v/>
      </c>
      <c r="C71" s="48"/>
      <c r="D71" s="49"/>
      <c r="E71" s="50"/>
      <c r="F71" s="49"/>
      <c r="G71" s="55"/>
      <c r="H71" s="56"/>
      <c r="I71" s="57" t="str">
        <f t="shared" ref="I71:I102" si="16">IF(OR(G71="",H71="",N(G71)=0),"",H71/G71)</f>
        <v/>
      </c>
      <c r="J71" s="58"/>
      <c r="K71" s="49"/>
      <c r="L71" s="59" t="str">
        <f t="shared" si="12"/>
        <v/>
      </c>
      <c r="M71" s="60" t="str">
        <f t="shared" ref="M71:M102" si="17">IF(OR(C71="",J71&lt;&gt;"Oui",R71="",N(E71)&lt;=N(R71)),"",S71/(E71-R71)*100)</f>
        <v/>
      </c>
      <c r="N71" s="61" t="str">
        <f t="shared" ref="N71:N102" si="18">IF(OR(M71="",I71=""),"",M71*I71)</f>
        <v/>
      </c>
      <c r="O71" s="53" t="str">
        <f t="shared" si="13"/>
        <v/>
      </c>
      <c r="P71" s="49"/>
      <c r="R71" s="62" t="str">
        <f t="shared" si="14"/>
        <v/>
      </c>
      <c r="S71" s="62" t="str">
        <f t="shared" si="15"/>
        <v/>
      </c>
      <c r="T71" s="62" t="str">
        <f t="shared" ref="T71:T102" si="19">IF(M71="","",E71-R71)</f>
        <v/>
      </c>
    </row>
    <row r="72" spans="2:20" ht="18" customHeight="1" x14ac:dyDescent="0.25">
      <c r="B72" s="47" t="str">
        <f>IF(C72="","",COUNT($C$7:C72))</f>
        <v/>
      </c>
      <c r="C72" s="48"/>
      <c r="D72" s="49"/>
      <c r="E72" s="50"/>
      <c r="F72" s="49"/>
      <c r="G72" s="55"/>
      <c r="H72" s="56"/>
      <c r="I72" s="57" t="str">
        <f t="shared" si="16"/>
        <v/>
      </c>
      <c r="J72" s="58"/>
      <c r="K72" s="49"/>
      <c r="L72" s="59" t="str">
        <f t="shared" ref="L72:L103" si="20">IF(OR(C72="",E72="",E71=""),"",E72-E71)</f>
        <v/>
      </c>
      <c r="M72" s="60" t="str">
        <f t="shared" si="17"/>
        <v/>
      </c>
      <c r="N72" s="61" t="str">
        <f t="shared" si="18"/>
        <v/>
      </c>
      <c r="O72" s="53" t="str">
        <f t="shared" ref="O72:O103" si="21">IF(C72="","",IF(OR(E72="",G72="",H72=""),"Incomplet",IF(AND(ISNUMBER(E71),E72&lt;E71),"Km incohérent",IF(AND(N(Capacite)&gt;0,G72&gt;Capacite*1.02),"Quantité &gt; réservoir",IF(ISNUMBER(M72),IF(AND(ConsoMoyenne&gt;0,ABS(M72/MAX(ConsoMoyenne,0.0001)-1)&gt;SeuilConso),"Conso. atypique","Conforme"),"Conforme")))))</f>
        <v/>
      </c>
      <c r="P72" s="49"/>
      <c r="R72" s="62" t="str">
        <f t="shared" ref="R72:R103" si="22">IF(C72="","",IF(J71="Oui",E71,R71))</f>
        <v/>
      </c>
      <c r="S72" s="62" t="str">
        <f t="shared" ref="S72:S103" si="23">IF(C72="","",IF(J71="Oui",N(G72),N(S71)+N(G72)))</f>
        <v/>
      </c>
      <c r="T72" s="62" t="str">
        <f t="shared" si="19"/>
        <v/>
      </c>
    </row>
    <row r="73" spans="2:20" ht="18" customHeight="1" x14ac:dyDescent="0.25">
      <c r="B73" s="47" t="str">
        <f>IF(C73="","",COUNT($C$7:C73))</f>
        <v/>
      </c>
      <c r="C73" s="48"/>
      <c r="D73" s="49"/>
      <c r="E73" s="50"/>
      <c r="F73" s="49"/>
      <c r="G73" s="55"/>
      <c r="H73" s="56"/>
      <c r="I73" s="57" t="str">
        <f t="shared" si="16"/>
        <v/>
      </c>
      <c r="J73" s="58"/>
      <c r="K73" s="49"/>
      <c r="L73" s="59" t="str">
        <f t="shared" si="20"/>
        <v/>
      </c>
      <c r="M73" s="60" t="str">
        <f t="shared" si="17"/>
        <v/>
      </c>
      <c r="N73" s="61" t="str">
        <f t="shared" si="18"/>
        <v/>
      </c>
      <c r="O73" s="53" t="str">
        <f t="shared" si="21"/>
        <v/>
      </c>
      <c r="P73" s="49"/>
      <c r="R73" s="62" t="str">
        <f t="shared" si="22"/>
        <v/>
      </c>
      <c r="S73" s="62" t="str">
        <f t="shared" si="23"/>
        <v/>
      </c>
      <c r="T73" s="62" t="str">
        <f t="shared" si="19"/>
        <v/>
      </c>
    </row>
    <row r="74" spans="2:20" ht="18" customHeight="1" x14ac:dyDescent="0.25">
      <c r="B74" s="47" t="str">
        <f>IF(C74="","",COUNT($C$7:C74))</f>
        <v/>
      </c>
      <c r="C74" s="48"/>
      <c r="D74" s="49"/>
      <c r="E74" s="50"/>
      <c r="F74" s="49"/>
      <c r="G74" s="55"/>
      <c r="H74" s="56"/>
      <c r="I74" s="57" t="str">
        <f t="shared" si="16"/>
        <v/>
      </c>
      <c r="J74" s="58"/>
      <c r="K74" s="49"/>
      <c r="L74" s="59" t="str">
        <f t="shared" si="20"/>
        <v/>
      </c>
      <c r="M74" s="60" t="str">
        <f t="shared" si="17"/>
        <v/>
      </c>
      <c r="N74" s="61" t="str">
        <f t="shared" si="18"/>
        <v/>
      </c>
      <c r="O74" s="53" t="str">
        <f t="shared" si="21"/>
        <v/>
      </c>
      <c r="P74" s="49"/>
      <c r="R74" s="62" t="str">
        <f t="shared" si="22"/>
        <v/>
      </c>
      <c r="S74" s="62" t="str">
        <f t="shared" si="23"/>
        <v/>
      </c>
      <c r="T74" s="62" t="str">
        <f t="shared" si="19"/>
        <v/>
      </c>
    </row>
    <row r="75" spans="2:20" ht="18" customHeight="1" x14ac:dyDescent="0.25">
      <c r="B75" s="47" t="str">
        <f>IF(C75="","",COUNT($C$7:C75))</f>
        <v/>
      </c>
      <c r="C75" s="48"/>
      <c r="D75" s="49"/>
      <c r="E75" s="50"/>
      <c r="F75" s="49"/>
      <c r="G75" s="55"/>
      <c r="H75" s="56"/>
      <c r="I75" s="57" t="str">
        <f t="shared" si="16"/>
        <v/>
      </c>
      <c r="J75" s="58"/>
      <c r="K75" s="49"/>
      <c r="L75" s="59" t="str">
        <f t="shared" si="20"/>
        <v/>
      </c>
      <c r="M75" s="60" t="str">
        <f t="shared" si="17"/>
        <v/>
      </c>
      <c r="N75" s="61" t="str">
        <f t="shared" si="18"/>
        <v/>
      </c>
      <c r="O75" s="53" t="str">
        <f t="shared" si="21"/>
        <v/>
      </c>
      <c r="P75" s="49"/>
      <c r="R75" s="62" t="str">
        <f t="shared" si="22"/>
        <v/>
      </c>
      <c r="S75" s="62" t="str">
        <f t="shared" si="23"/>
        <v/>
      </c>
      <c r="T75" s="62" t="str">
        <f t="shared" si="19"/>
        <v/>
      </c>
    </row>
    <row r="76" spans="2:20" ht="18" customHeight="1" x14ac:dyDescent="0.25">
      <c r="B76" s="47" t="str">
        <f>IF(C76="","",COUNT($C$7:C76))</f>
        <v/>
      </c>
      <c r="C76" s="48"/>
      <c r="D76" s="49"/>
      <c r="E76" s="50"/>
      <c r="F76" s="49"/>
      <c r="G76" s="55"/>
      <c r="H76" s="56"/>
      <c r="I76" s="57" t="str">
        <f t="shared" si="16"/>
        <v/>
      </c>
      <c r="J76" s="58"/>
      <c r="K76" s="49"/>
      <c r="L76" s="59" t="str">
        <f t="shared" si="20"/>
        <v/>
      </c>
      <c r="M76" s="60" t="str">
        <f t="shared" si="17"/>
        <v/>
      </c>
      <c r="N76" s="61" t="str">
        <f t="shared" si="18"/>
        <v/>
      </c>
      <c r="O76" s="53" t="str">
        <f t="shared" si="21"/>
        <v/>
      </c>
      <c r="P76" s="49"/>
      <c r="R76" s="62" t="str">
        <f t="shared" si="22"/>
        <v/>
      </c>
      <c r="S76" s="62" t="str">
        <f t="shared" si="23"/>
        <v/>
      </c>
      <c r="T76" s="62" t="str">
        <f t="shared" si="19"/>
        <v/>
      </c>
    </row>
    <row r="77" spans="2:20" ht="18" customHeight="1" x14ac:dyDescent="0.25">
      <c r="B77" s="47" t="str">
        <f>IF(C77="","",COUNT($C$7:C77))</f>
        <v/>
      </c>
      <c r="C77" s="48"/>
      <c r="D77" s="49"/>
      <c r="E77" s="50"/>
      <c r="F77" s="49"/>
      <c r="G77" s="55"/>
      <c r="H77" s="56"/>
      <c r="I77" s="57" t="str">
        <f t="shared" si="16"/>
        <v/>
      </c>
      <c r="J77" s="58"/>
      <c r="K77" s="49"/>
      <c r="L77" s="59" t="str">
        <f t="shared" si="20"/>
        <v/>
      </c>
      <c r="M77" s="60" t="str">
        <f t="shared" si="17"/>
        <v/>
      </c>
      <c r="N77" s="61" t="str">
        <f t="shared" si="18"/>
        <v/>
      </c>
      <c r="O77" s="53" t="str">
        <f t="shared" si="21"/>
        <v/>
      </c>
      <c r="P77" s="49"/>
      <c r="R77" s="62" t="str">
        <f t="shared" si="22"/>
        <v/>
      </c>
      <c r="S77" s="62" t="str">
        <f t="shared" si="23"/>
        <v/>
      </c>
      <c r="T77" s="62" t="str">
        <f t="shared" si="19"/>
        <v/>
      </c>
    </row>
    <row r="78" spans="2:20" ht="18" customHeight="1" x14ac:dyDescent="0.25">
      <c r="B78" s="47" t="str">
        <f>IF(C78="","",COUNT($C$7:C78))</f>
        <v/>
      </c>
      <c r="C78" s="48"/>
      <c r="D78" s="49"/>
      <c r="E78" s="50"/>
      <c r="F78" s="49"/>
      <c r="G78" s="55"/>
      <c r="H78" s="56"/>
      <c r="I78" s="57" t="str">
        <f t="shared" si="16"/>
        <v/>
      </c>
      <c r="J78" s="58"/>
      <c r="K78" s="49"/>
      <c r="L78" s="59" t="str">
        <f t="shared" si="20"/>
        <v/>
      </c>
      <c r="M78" s="60" t="str">
        <f t="shared" si="17"/>
        <v/>
      </c>
      <c r="N78" s="61" t="str">
        <f t="shared" si="18"/>
        <v/>
      </c>
      <c r="O78" s="53" t="str">
        <f t="shared" si="21"/>
        <v/>
      </c>
      <c r="P78" s="49"/>
      <c r="R78" s="62" t="str">
        <f t="shared" si="22"/>
        <v/>
      </c>
      <c r="S78" s="62" t="str">
        <f t="shared" si="23"/>
        <v/>
      </c>
      <c r="T78" s="62" t="str">
        <f t="shared" si="19"/>
        <v/>
      </c>
    </row>
    <row r="79" spans="2:20" ht="18" customHeight="1" x14ac:dyDescent="0.25">
      <c r="B79" s="47" t="str">
        <f>IF(C79="","",COUNT($C$7:C79))</f>
        <v/>
      </c>
      <c r="C79" s="48"/>
      <c r="D79" s="49"/>
      <c r="E79" s="50"/>
      <c r="F79" s="49"/>
      <c r="G79" s="55"/>
      <c r="H79" s="56"/>
      <c r="I79" s="57" t="str">
        <f t="shared" si="16"/>
        <v/>
      </c>
      <c r="J79" s="58"/>
      <c r="K79" s="49"/>
      <c r="L79" s="59" t="str">
        <f t="shared" si="20"/>
        <v/>
      </c>
      <c r="M79" s="60" t="str">
        <f t="shared" si="17"/>
        <v/>
      </c>
      <c r="N79" s="61" t="str">
        <f t="shared" si="18"/>
        <v/>
      </c>
      <c r="O79" s="53" t="str">
        <f t="shared" si="21"/>
        <v/>
      </c>
      <c r="P79" s="49"/>
      <c r="R79" s="62" t="str">
        <f t="shared" si="22"/>
        <v/>
      </c>
      <c r="S79" s="62" t="str">
        <f t="shared" si="23"/>
        <v/>
      </c>
      <c r="T79" s="62" t="str">
        <f t="shared" si="19"/>
        <v/>
      </c>
    </row>
    <row r="80" spans="2:20" ht="18" customHeight="1" x14ac:dyDescent="0.25">
      <c r="B80" s="47" t="str">
        <f>IF(C80="","",COUNT($C$7:C80))</f>
        <v/>
      </c>
      <c r="C80" s="48"/>
      <c r="D80" s="49"/>
      <c r="E80" s="50"/>
      <c r="F80" s="49"/>
      <c r="G80" s="55"/>
      <c r="H80" s="56"/>
      <c r="I80" s="57" t="str">
        <f t="shared" si="16"/>
        <v/>
      </c>
      <c r="J80" s="58"/>
      <c r="K80" s="49"/>
      <c r="L80" s="59" t="str">
        <f t="shared" si="20"/>
        <v/>
      </c>
      <c r="M80" s="60" t="str">
        <f t="shared" si="17"/>
        <v/>
      </c>
      <c r="N80" s="61" t="str">
        <f t="shared" si="18"/>
        <v/>
      </c>
      <c r="O80" s="53" t="str">
        <f t="shared" si="21"/>
        <v/>
      </c>
      <c r="P80" s="49"/>
      <c r="R80" s="62" t="str">
        <f t="shared" si="22"/>
        <v/>
      </c>
      <c r="S80" s="62" t="str">
        <f t="shared" si="23"/>
        <v/>
      </c>
      <c r="T80" s="62" t="str">
        <f t="shared" si="19"/>
        <v/>
      </c>
    </row>
    <row r="81" spans="2:20" ht="18" customHeight="1" x14ac:dyDescent="0.25">
      <c r="B81" s="47" t="str">
        <f>IF(C81="","",COUNT($C$7:C81))</f>
        <v/>
      </c>
      <c r="C81" s="48"/>
      <c r="D81" s="49"/>
      <c r="E81" s="50"/>
      <c r="F81" s="49"/>
      <c r="G81" s="55"/>
      <c r="H81" s="56"/>
      <c r="I81" s="57" t="str">
        <f t="shared" si="16"/>
        <v/>
      </c>
      <c r="J81" s="58"/>
      <c r="K81" s="49"/>
      <c r="L81" s="59" t="str">
        <f t="shared" si="20"/>
        <v/>
      </c>
      <c r="M81" s="60" t="str">
        <f t="shared" si="17"/>
        <v/>
      </c>
      <c r="N81" s="61" t="str">
        <f t="shared" si="18"/>
        <v/>
      </c>
      <c r="O81" s="53" t="str">
        <f t="shared" si="21"/>
        <v/>
      </c>
      <c r="P81" s="49"/>
      <c r="R81" s="62" t="str">
        <f t="shared" si="22"/>
        <v/>
      </c>
      <c r="S81" s="62" t="str">
        <f t="shared" si="23"/>
        <v/>
      </c>
      <c r="T81" s="62" t="str">
        <f t="shared" si="19"/>
        <v/>
      </c>
    </row>
    <row r="82" spans="2:20" ht="18" customHeight="1" x14ac:dyDescent="0.25">
      <c r="B82" s="47" t="str">
        <f>IF(C82="","",COUNT($C$7:C82))</f>
        <v/>
      </c>
      <c r="C82" s="48"/>
      <c r="D82" s="49"/>
      <c r="E82" s="50"/>
      <c r="F82" s="49"/>
      <c r="G82" s="55"/>
      <c r="H82" s="56"/>
      <c r="I82" s="57" t="str">
        <f t="shared" si="16"/>
        <v/>
      </c>
      <c r="J82" s="58"/>
      <c r="K82" s="49"/>
      <c r="L82" s="59" t="str">
        <f t="shared" si="20"/>
        <v/>
      </c>
      <c r="M82" s="60" t="str">
        <f t="shared" si="17"/>
        <v/>
      </c>
      <c r="N82" s="61" t="str">
        <f t="shared" si="18"/>
        <v/>
      </c>
      <c r="O82" s="53" t="str">
        <f t="shared" si="21"/>
        <v/>
      </c>
      <c r="P82" s="49"/>
      <c r="R82" s="62" t="str">
        <f t="shared" si="22"/>
        <v/>
      </c>
      <c r="S82" s="62" t="str">
        <f t="shared" si="23"/>
        <v/>
      </c>
      <c r="T82" s="62" t="str">
        <f t="shared" si="19"/>
        <v/>
      </c>
    </row>
    <row r="83" spans="2:20" ht="18" customHeight="1" x14ac:dyDescent="0.25">
      <c r="B83" s="47" t="str">
        <f>IF(C83="","",COUNT($C$7:C83))</f>
        <v/>
      </c>
      <c r="C83" s="48"/>
      <c r="D83" s="49"/>
      <c r="E83" s="50"/>
      <c r="F83" s="49"/>
      <c r="G83" s="55"/>
      <c r="H83" s="56"/>
      <c r="I83" s="57" t="str">
        <f t="shared" si="16"/>
        <v/>
      </c>
      <c r="J83" s="58"/>
      <c r="K83" s="49"/>
      <c r="L83" s="59" t="str">
        <f t="shared" si="20"/>
        <v/>
      </c>
      <c r="M83" s="60" t="str">
        <f t="shared" si="17"/>
        <v/>
      </c>
      <c r="N83" s="61" t="str">
        <f t="shared" si="18"/>
        <v/>
      </c>
      <c r="O83" s="53" t="str">
        <f t="shared" si="21"/>
        <v/>
      </c>
      <c r="P83" s="49"/>
      <c r="R83" s="62" t="str">
        <f t="shared" si="22"/>
        <v/>
      </c>
      <c r="S83" s="62" t="str">
        <f t="shared" si="23"/>
        <v/>
      </c>
      <c r="T83" s="62" t="str">
        <f t="shared" si="19"/>
        <v/>
      </c>
    </row>
    <row r="84" spans="2:20" ht="18" customHeight="1" x14ac:dyDescent="0.25">
      <c r="B84" s="47" t="str">
        <f>IF(C84="","",COUNT($C$7:C84))</f>
        <v/>
      </c>
      <c r="C84" s="48"/>
      <c r="D84" s="49"/>
      <c r="E84" s="50"/>
      <c r="F84" s="49"/>
      <c r="G84" s="55"/>
      <c r="H84" s="56"/>
      <c r="I84" s="57" t="str">
        <f t="shared" si="16"/>
        <v/>
      </c>
      <c r="J84" s="58"/>
      <c r="K84" s="49"/>
      <c r="L84" s="59" t="str">
        <f t="shared" si="20"/>
        <v/>
      </c>
      <c r="M84" s="60" t="str">
        <f t="shared" si="17"/>
        <v/>
      </c>
      <c r="N84" s="61" t="str">
        <f t="shared" si="18"/>
        <v/>
      </c>
      <c r="O84" s="53" t="str">
        <f t="shared" si="21"/>
        <v/>
      </c>
      <c r="P84" s="49"/>
      <c r="R84" s="62" t="str">
        <f t="shared" si="22"/>
        <v/>
      </c>
      <c r="S84" s="62" t="str">
        <f t="shared" si="23"/>
        <v/>
      </c>
      <c r="T84" s="62" t="str">
        <f t="shared" si="19"/>
        <v/>
      </c>
    </row>
    <row r="85" spans="2:20" ht="18" customHeight="1" x14ac:dyDescent="0.25">
      <c r="B85" s="47" t="str">
        <f>IF(C85="","",COUNT($C$7:C85))</f>
        <v/>
      </c>
      <c r="C85" s="48"/>
      <c r="D85" s="49"/>
      <c r="E85" s="50"/>
      <c r="F85" s="49"/>
      <c r="G85" s="55"/>
      <c r="H85" s="56"/>
      <c r="I85" s="57" t="str">
        <f t="shared" si="16"/>
        <v/>
      </c>
      <c r="J85" s="58"/>
      <c r="K85" s="49"/>
      <c r="L85" s="59" t="str">
        <f t="shared" si="20"/>
        <v/>
      </c>
      <c r="M85" s="60" t="str">
        <f t="shared" si="17"/>
        <v/>
      </c>
      <c r="N85" s="61" t="str">
        <f t="shared" si="18"/>
        <v/>
      </c>
      <c r="O85" s="53" t="str">
        <f t="shared" si="21"/>
        <v/>
      </c>
      <c r="P85" s="49"/>
      <c r="R85" s="62" t="str">
        <f t="shared" si="22"/>
        <v/>
      </c>
      <c r="S85" s="62" t="str">
        <f t="shared" si="23"/>
        <v/>
      </c>
      <c r="T85" s="62" t="str">
        <f t="shared" si="19"/>
        <v/>
      </c>
    </row>
    <row r="86" spans="2:20" ht="18" customHeight="1" x14ac:dyDescent="0.25">
      <c r="B86" s="47" t="str">
        <f>IF(C86="","",COUNT($C$7:C86))</f>
        <v/>
      </c>
      <c r="C86" s="48"/>
      <c r="D86" s="49"/>
      <c r="E86" s="50"/>
      <c r="F86" s="49"/>
      <c r="G86" s="55"/>
      <c r="H86" s="56"/>
      <c r="I86" s="57" t="str">
        <f t="shared" si="16"/>
        <v/>
      </c>
      <c r="J86" s="58"/>
      <c r="K86" s="49"/>
      <c r="L86" s="59" t="str">
        <f t="shared" si="20"/>
        <v/>
      </c>
      <c r="M86" s="60" t="str">
        <f t="shared" si="17"/>
        <v/>
      </c>
      <c r="N86" s="61" t="str">
        <f t="shared" si="18"/>
        <v/>
      </c>
      <c r="O86" s="53" t="str">
        <f t="shared" si="21"/>
        <v/>
      </c>
      <c r="P86" s="49"/>
      <c r="R86" s="62" t="str">
        <f t="shared" si="22"/>
        <v/>
      </c>
      <c r="S86" s="62" t="str">
        <f t="shared" si="23"/>
        <v/>
      </c>
      <c r="T86" s="62" t="str">
        <f t="shared" si="19"/>
        <v/>
      </c>
    </row>
    <row r="87" spans="2:20" ht="18" customHeight="1" x14ac:dyDescent="0.25">
      <c r="B87" s="47" t="str">
        <f>IF(C87="","",COUNT($C$7:C87))</f>
        <v/>
      </c>
      <c r="C87" s="48"/>
      <c r="D87" s="49"/>
      <c r="E87" s="50"/>
      <c r="F87" s="49"/>
      <c r="G87" s="55"/>
      <c r="H87" s="56"/>
      <c r="I87" s="57" t="str">
        <f t="shared" si="16"/>
        <v/>
      </c>
      <c r="J87" s="58"/>
      <c r="K87" s="49"/>
      <c r="L87" s="59" t="str">
        <f t="shared" si="20"/>
        <v/>
      </c>
      <c r="M87" s="60" t="str">
        <f t="shared" si="17"/>
        <v/>
      </c>
      <c r="N87" s="61" t="str">
        <f t="shared" si="18"/>
        <v/>
      </c>
      <c r="O87" s="53" t="str">
        <f t="shared" si="21"/>
        <v/>
      </c>
      <c r="P87" s="49"/>
      <c r="R87" s="62" t="str">
        <f t="shared" si="22"/>
        <v/>
      </c>
      <c r="S87" s="62" t="str">
        <f t="shared" si="23"/>
        <v/>
      </c>
      <c r="T87" s="62" t="str">
        <f t="shared" si="19"/>
        <v/>
      </c>
    </row>
    <row r="88" spans="2:20" ht="18" customHeight="1" x14ac:dyDescent="0.25">
      <c r="B88" s="47" t="str">
        <f>IF(C88="","",COUNT($C$7:C88))</f>
        <v/>
      </c>
      <c r="C88" s="48"/>
      <c r="D88" s="49"/>
      <c r="E88" s="50"/>
      <c r="F88" s="49"/>
      <c r="G88" s="55"/>
      <c r="H88" s="56"/>
      <c r="I88" s="57" t="str">
        <f t="shared" si="16"/>
        <v/>
      </c>
      <c r="J88" s="58"/>
      <c r="K88" s="49"/>
      <c r="L88" s="59" t="str">
        <f t="shared" si="20"/>
        <v/>
      </c>
      <c r="M88" s="60" t="str">
        <f t="shared" si="17"/>
        <v/>
      </c>
      <c r="N88" s="61" t="str">
        <f t="shared" si="18"/>
        <v/>
      </c>
      <c r="O88" s="53" t="str">
        <f t="shared" si="21"/>
        <v/>
      </c>
      <c r="P88" s="49"/>
      <c r="R88" s="62" t="str">
        <f t="shared" si="22"/>
        <v/>
      </c>
      <c r="S88" s="62" t="str">
        <f t="shared" si="23"/>
        <v/>
      </c>
      <c r="T88" s="62" t="str">
        <f t="shared" si="19"/>
        <v/>
      </c>
    </row>
    <row r="89" spans="2:20" ht="18" customHeight="1" x14ac:dyDescent="0.25">
      <c r="B89" s="47" t="str">
        <f>IF(C89="","",COUNT($C$7:C89))</f>
        <v/>
      </c>
      <c r="C89" s="48"/>
      <c r="D89" s="49"/>
      <c r="E89" s="50"/>
      <c r="F89" s="49"/>
      <c r="G89" s="55"/>
      <c r="H89" s="56"/>
      <c r="I89" s="57" t="str">
        <f t="shared" si="16"/>
        <v/>
      </c>
      <c r="J89" s="58"/>
      <c r="K89" s="49"/>
      <c r="L89" s="59" t="str">
        <f t="shared" si="20"/>
        <v/>
      </c>
      <c r="M89" s="60" t="str">
        <f t="shared" si="17"/>
        <v/>
      </c>
      <c r="N89" s="61" t="str">
        <f t="shared" si="18"/>
        <v/>
      </c>
      <c r="O89" s="53" t="str">
        <f t="shared" si="21"/>
        <v/>
      </c>
      <c r="P89" s="49"/>
      <c r="R89" s="62" t="str">
        <f t="shared" si="22"/>
        <v/>
      </c>
      <c r="S89" s="62" t="str">
        <f t="shared" si="23"/>
        <v/>
      </c>
      <c r="T89" s="62" t="str">
        <f t="shared" si="19"/>
        <v/>
      </c>
    </row>
    <row r="90" spans="2:20" ht="18" customHeight="1" x14ac:dyDescent="0.25">
      <c r="B90" s="47" t="str">
        <f>IF(C90="","",COUNT($C$7:C90))</f>
        <v/>
      </c>
      <c r="C90" s="48"/>
      <c r="D90" s="49"/>
      <c r="E90" s="50"/>
      <c r="F90" s="49"/>
      <c r="G90" s="55"/>
      <c r="H90" s="56"/>
      <c r="I90" s="57" t="str">
        <f t="shared" si="16"/>
        <v/>
      </c>
      <c r="J90" s="58"/>
      <c r="K90" s="49"/>
      <c r="L90" s="59" t="str">
        <f t="shared" si="20"/>
        <v/>
      </c>
      <c r="M90" s="60" t="str">
        <f t="shared" si="17"/>
        <v/>
      </c>
      <c r="N90" s="61" t="str">
        <f t="shared" si="18"/>
        <v/>
      </c>
      <c r="O90" s="53" t="str">
        <f t="shared" si="21"/>
        <v/>
      </c>
      <c r="P90" s="49"/>
      <c r="R90" s="62" t="str">
        <f t="shared" si="22"/>
        <v/>
      </c>
      <c r="S90" s="62" t="str">
        <f t="shared" si="23"/>
        <v/>
      </c>
      <c r="T90" s="62" t="str">
        <f t="shared" si="19"/>
        <v/>
      </c>
    </row>
    <row r="91" spans="2:20" ht="18" customHeight="1" x14ac:dyDescent="0.25">
      <c r="B91" s="47" t="str">
        <f>IF(C91="","",COUNT($C$7:C91))</f>
        <v/>
      </c>
      <c r="C91" s="48"/>
      <c r="D91" s="49"/>
      <c r="E91" s="50"/>
      <c r="F91" s="49"/>
      <c r="G91" s="55"/>
      <c r="H91" s="56"/>
      <c r="I91" s="57" t="str">
        <f t="shared" si="16"/>
        <v/>
      </c>
      <c r="J91" s="58"/>
      <c r="K91" s="49"/>
      <c r="L91" s="59" t="str">
        <f t="shared" si="20"/>
        <v/>
      </c>
      <c r="M91" s="60" t="str">
        <f t="shared" si="17"/>
        <v/>
      </c>
      <c r="N91" s="61" t="str">
        <f t="shared" si="18"/>
        <v/>
      </c>
      <c r="O91" s="53" t="str">
        <f t="shared" si="21"/>
        <v/>
      </c>
      <c r="P91" s="49"/>
      <c r="R91" s="62" t="str">
        <f t="shared" si="22"/>
        <v/>
      </c>
      <c r="S91" s="62" t="str">
        <f t="shared" si="23"/>
        <v/>
      </c>
      <c r="T91" s="62" t="str">
        <f t="shared" si="19"/>
        <v/>
      </c>
    </row>
    <row r="92" spans="2:20" ht="18" customHeight="1" x14ac:dyDescent="0.25">
      <c r="B92" s="47" t="str">
        <f>IF(C92="","",COUNT($C$7:C92))</f>
        <v/>
      </c>
      <c r="C92" s="48"/>
      <c r="D92" s="49"/>
      <c r="E92" s="50"/>
      <c r="F92" s="49"/>
      <c r="G92" s="55"/>
      <c r="H92" s="56"/>
      <c r="I92" s="57" t="str">
        <f t="shared" si="16"/>
        <v/>
      </c>
      <c r="J92" s="58"/>
      <c r="K92" s="49"/>
      <c r="L92" s="59" t="str">
        <f t="shared" si="20"/>
        <v/>
      </c>
      <c r="M92" s="60" t="str">
        <f t="shared" si="17"/>
        <v/>
      </c>
      <c r="N92" s="61" t="str">
        <f t="shared" si="18"/>
        <v/>
      </c>
      <c r="O92" s="53" t="str">
        <f t="shared" si="21"/>
        <v/>
      </c>
      <c r="P92" s="49"/>
      <c r="R92" s="62" t="str">
        <f t="shared" si="22"/>
        <v/>
      </c>
      <c r="S92" s="62" t="str">
        <f t="shared" si="23"/>
        <v/>
      </c>
      <c r="T92" s="62" t="str">
        <f t="shared" si="19"/>
        <v/>
      </c>
    </row>
    <row r="93" spans="2:20" ht="18" customHeight="1" x14ac:dyDescent="0.25">
      <c r="B93" s="47" t="str">
        <f>IF(C93="","",COUNT($C$7:C93))</f>
        <v/>
      </c>
      <c r="C93" s="48"/>
      <c r="D93" s="49"/>
      <c r="E93" s="50"/>
      <c r="F93" s="49"/>
      <c r="G93" s="55"/>
      <c r="H93" s="56"/>
      <c r="I93" s="57" t="str">
        <f t="shared" si="16"/>
        <v/>
      </c>
      <c r="J93" s="58"/>
      <c r="K93" s="49"/>
      <c r="L93" s="59" t="str">
        <f t="shared" si="20"/>
        <v/>
      </c>
      <c r="M93" s="60" t="str">
        <f t="shared" si="17"/>
        <v/>
      </c>
      <c r="N93" s="61" t="str">
        <f t="shared" si="18"/>
        <v/>
      </c>
      <c r="O93" s="53" t="str">
        <f t="shared" si="21"/>
        <v/>
      </c>
      <c r="P93" s="49"/>
      <c r="R93" s="62" t="str">
        <f t="shared" si="22"/>
        <v/>
      </c>
      <c r="S93" s="62" t="str">
        <f t="shared" si="23"/>
        <v/>
      </c>
      <c r="T93" s="62" t="str">
        <f t="shared" si="19"/>
        <v/>
      </c>
    </row>
    <row r="94" spans="2:20" ht="18" customHeight="1" x14ac:dyDescent="0.25">
      <c r="B94" s="47" t="str">
        <f>IF(C94="","",COUNT($C$7:C94))</f>
        <v/>
      </c>
      <c r="C94" s="48"/>
      <c r="D94" s="49"/>
      <c r="E94" s="50"/>
      <c r="F94" s="49"/>
      <c r="G94" s="55"/>
      <c r="H94" s="56"/>
      <c r="I94" s="57" t="str">
        <f t="shared" si="16"/>
        <v/>
      </c>
      <c r="J94" s="58"/>
      <c r="K94" s="49"/>
      <c r="L94" s="59" t="str">
        <f t="shared" si="20"/>
        <v/>
      </c>
      <c r="M94" s="60" t="str">
        <f t="shared" si="17"/>
        <v/>
      </c>
      <c r="N94" s="61" t="str">
        <f t="shared" si="18"/>
        <v/>
      </c>
      <c r="O94" s="53" t="str">
        <f t="shared" si="21"/>
        <v/>
      </c>
      <c r="P94" s="49"/>
      <c r="R94" s="62" t="str">
        <f t="shared" si="22"/>
        <v/>
      </c>
      <c r="S94" s="62" t="str">
        <f t="shared" si="23"/>
        <v/>
      </c>
      <c r="T94" s="62" t="str">
        <f t="shared" si="19"/>
        <v/>
      </c>
    </row>
    <row r="95" spans="2:20" ht="18" customHeight="1" x14ac:dyDescent="0.25">
      <c r="B95" s="47" t="str">
        <f>IF(C95="","",COUNT($C$7:C95))</f>
        <v/>
      </c>
      <c r="C95" s="48"/>
      <c r="D95" s="49"/>
      <c r="E95" s="50"/>
      <c r="F95" s="49"/>
      <c r="G95" s="55"/>
      <c r="H95" s="56"/>
      <c r="I95" s="57" t="str">
        <f t="shared" si="16"/>
        <v/>
      </c>
      <c r="J95" s="58"/>
      <c r="K95" s="49"/>
      <c r="L95" s="59" t="str">
        <f t="shared" si="20"/>
        <v/>
      </c>
      <c r="M95" s="60" t="str">
        <f t="shared" si="17"/>
        <v/>
      </c>
      <c r="N95" s="61" t="str">
        <f t="shared" si="18"/>
        <v/>
      </c>
      <c r="O95" s="53" t="str">
        <f t="shared" si="21"/>
        <v/>
      </c>
      <c r="P95" s="49"/>
      <c r="R95" s="62" t="str">
        <f t="shared" si="22"/>
        <v/>
      </c>
      <c r="S95" s="62" t="str">
        <f t="shared" si="23"/>
        <v/>
      </c>
      <c r="T95" s="62" t="str">
        <f t="shared" si="19"/>
        <v/>
      </c>
    </row>
    <row r="96" spans="2:20" ht="18" customHeight="1" x14ac:dyDescent="0.25">
      <c r="B96" s="47" t="str">
        <f>IF(C96="","",COUNT($C$7:C96))</f>
        <v/>
      </c>
      <c r="C96" s="48"/>
      <c r="D96" s="49"/>
      <c r="E96" s="50"/>
      <c r="F96" s="49"/>
      <c r="G96" s="55"/>
      <c r="H96" s="56"/>
      <c r="I96" s="57" t="str">
        <f t="shared" si="16"/>
        <v/>
      </c>
      <c r="J96" s="58"/>
      <c r="K96" s="49"/>
      <c r="L96" s="59" t="str">
        <f t="shared" si="20"/>
        <v/>
      </c>
      <c r="M96" s="60" t="str">
        <f t="shared" si="17"/>
        <v/>
      </c>
      <c r="N96" s="61" t="str">
        <f t="shared" si="18"/>
        <v/>
      </c>
      <c r="O96" s="53" t="str">
        <f t="shared" si="21"/>
        <v/>
      </c>
      <c r="P96" s="49"/>
      <c r="R96" s="62" t="str">
        <f t="shared" si="22"/>
        <v/>
      </c>
      <c r="S96" s="62" t="str">
        <f t="shared" si="23"/>
        <v/>
      </c>
      <c r="T96" s="62" t="str">
        <f t="shared" si="19"/>
        <v/>
      </c>
    </row>
    <row r="97" spans="2:20" ht="18" customHeight="1" x14ac:dyDescent="0.25">
      <c r="B97" s="47" t="str">
        <f>IF(C97="","",COUNT($C$7:C97))</f>
        <v/>
      </c>
      <c r="C97" s="48"/>
      <c r="D97" s="49"/>
      <c r="E97" s="50"/>
      <c r="F97" s="49"/>
      <c r="G97" s="55"/>
      <c r="H97" s="56"/>
      <c r="I97" s="57" t="str">
        <f t="shared" si="16"/>
        <v/>
      </c>
      <c r="J97" s="58"/>
      <c r="K97" s="49"/>
      <c r="L97" s="59" t="str">
        <f t="shared" si="20"/>
        <v/>
      </c>
      <c r="M97" s="60" t="str">
        <f t="shared" si="17"/>
        <v/>
      </c>
      <c r="N97" s="61" t="str">
        <f t="shared" si="18"/>
        <v/>
      </c>
      <c r="O97" s="53" t="str">
        <f t="shared" si="21"/>
        <v/>
      </c>
      <c r="P97" s="49"/>
      <c r="R97" s="62" t="str">
        <f t="shared" si="22"/>
        <v/>
      </c>
      <c r="S97" s="62" t="str">
        <f t="shared" si="23"/>
        <v/>
      </c>
      <c r="T97" s="62" t="str">
        <f t="shared" si="19"/>
        <v/>
      </c>
    </row>
    <row r="98" spans="2:20" ht="18" customHeight="1" x14ac:dyDescent="0.25">
      <c r="B98" s="47" t="str">
        <f>IF(C98="","",COUNT($C$7:C98))</f>
        <v/>
      </c>
      <c r="C98" s="48"/>
      <c r="D98" s="49"/>
      <c r="E98" s="50"/>
      <c r="F98" s="49"/>
      <c r="G98" s="55"/>
      <c r="H98" s="56"/>
      <c r="I98" s="57" t="str">
        <f t="shared" si="16"/>
        <v/>
      </c>
      <c r="J98" s="58"/>
      <c r="K98" s="49"/>
      <c r="L98" s="59" t="str">
        <f t="shared" si="20"/>
        <v/>
      </c>
      <c r="M98" s="60" t="str">
        <f t="shared" si="17"/>
        <v/>
      </c>
      <c r="N98" s="61" t="str">
        <f t="shared" si="18"/>
        <v/>
      </c>
      <c r="O98" s="53" t="str">
        <f t="shared" si="21"/>
        <v/>
      </c>
      <c r="P98" s="49"/>
      <c r="R98" s="62" t="str">
        <f t="shared" si="22"/>
        <v/>
      </c>
      <c r="S98" s="62" t="str">
        <f t="shared" si="23"/>
        <v/>
      </c>
      <c r="T98" s="62" t="str">
        <f t="shared" si="19"/>
        <v/>
      </c>
    </row>
    <row r="99" spans="2:20" ht="18" customHeight="1" x14ac:dyDescent="0.25">
      <c r="B99" s="47" t="str">
        <f>IF(C99="","",COUNT($C$7:C99))</f>
        <v/>
      </c>
      <c r="C99" s="48"/>
      <c r="D99" s="49"/>
      <c r="E99" s="50"/>
      <c r="F99" s="49"/>
      <c r="G99" s="55"/>
      <c r="H99" s="56"/>
      <c r="I99" s="57" t="str">
        <f t="shared" si="16"/>
        <v/>
      </c>
      <c r="J99" s="58"/>
      <c r="K99" s="49"/>
      <c r="L99" s="59" t="str">
        <f t="shared" si="20"/>
        <v/>
      </c>
      <c r="M99" s="60" t="str">
        <f t="shared" si="17"/>
        <v/>
      </c>
      <c r="N99" s="61" t="str">
        <f t="shared" si="18"/>
        <v/>
      </c>
      <c r="O99" s="53" t="str">
        <f t="shared" si="21"/>
        <v/>
      </c>
      <c r="P99" s="49"/>
      <c r="R99" s="62" t="str">
        <f t="shared" si="22"/>
        <v/>
      </c>
      <c r="S99" s="62" t="str">
        <f t="shared" si="23"/>
        <v/>
      </c>
      <c r="T99" s="62" t="str">
        <f t="shared" si="19"/>
        <v/>
      </c>
    </row>
    <row r="100" spans="2:20" ht="18" customHeight="1" x14ac:dyDescent="0.25">
      <c r="B100" s="47" t="str">
        <f>IF(C100="","",COUNT($C$7:C100))</f>
        <v/>
      </c>
      <c r="C100" s="48"/>
      <c r="D100" s="49"/>
      <c r="E100" s="50"/>
      <c r="F100" s="49"/>
      <c r="G100" s="55"/>
      <c r="H100" s="56"/>
      <c r="I100" s="57" t="str">
        <f t="shared" si="16"/>
        <v/>
      </c>
      <c r="J100" s="58"/>
      <c r="K100" s="49"/>
      <c r="L100" s="59" t="str">
        <f t="shared" si="20"/>
        <v/>
      </c>
      <c r="M100" s="60" t="str">
        <f t="shared" si="17"/>
        <v/>
      </c>
      <c r="N100" s="61" t="str">
        <f t="shared" si="18"/>
        <v/>
      </c>
      <c r="O100" s="53" t="str">
        <f t="shared" si="21"/>
        <v/>
      </c>
      <c r="P100" s="49"/>
      <c r="R100" s="62" t="str">
        <f t="shared" si="22"/>
        <v/>
      </c>
      <c r="S100" s="62" t="str">
        <f t="shared" si="23"/>
        <v/>
      </c>
      <c r="T100" s="62" t="str">
        <f t="shared" si="19"/>
        <v/>
      </c>
    </row>
    <row r="101" spans="2:20" ht="18" customHeight="1" x14ac:dyDescent="0.25">
      <c r="B101" s="47" t="str">
        <f>IF(C101="","",COUNT($C$7:C101))</f>
        <v/>
      </c>
      <c r="C101" s="48"/>
      <c r="D101" s="49"/>
      <c r="E101" s="50"/>
      <c r="F101" s="49"/>
      <c r="G101" s="55"/>
      <c r="H101" s="56"/>
      <c r="I101" s="57" t="str">
        <f t="shared" si="16"/>
        <v/>
      </c>
      <c r="J101" s="58"/>
      <c r="K101" s="49"/>
      <c r="L101" s="59" t="str">
        <f t="shared" si="20"/>
        <v/>
      </c>
      <c r="M101" s="60" t="str">
        <f t="shared" si="17"/>
        <v/>
      </c>
      <c r="N101" s="61" t="str">
        <f t="shared" si="18"/>
        <v/>
      </c>
      <c r="O101" s="53" t="str">
        <f t="shared" si="21"/>
        <v/>
      </c>
      <c r="P101" s="49"/>
      <c r="R101" s="62" t="str">
        <f t="shared" si="22"/>
        <v/>
      </c>
      <c r="S101" s="62" t="str">
        <f t="shared" si="23"/>
        <v/>
      </c>
      <c r="T101" s="62" t="str">
        <f t="shared" si="19"/>
        <v/>
      </c>
    </row>
    <row r="102" spans="2:20" ht="18" customHeight="1" x14ac:dyDescent="0.25">
      <c r="B102" s="47" t="str">
        <f>IF(C102="","",COUNT($C$7:C102))</f>
        <v/>
      </c>
      <c r="C102" s="48"/>
      <c r="D102" s="49"/>
      <c r="E102" s="50"/>
      <c r="F102" s="49"/>
      <c r="G102" s="55"/>
      <c r="H102" s="56"/>
      <c r="I102" s="57" t="str">
        <f t="shared" si="16"/>
        <v/>
      </c>
      <c r="J102" s="58"/>
      <c r="K102" s="49"/>
      <c r="L102" s="59" t="str">
        <f t="shared" si="20"/>
        <v/>
      </c>
      <c r="M102" s="60" t="str">
        <f t="shared" si="17"/>
        <v/>
      </c>
      <c r="N102" s="61" t="str">
        <f t="shared" si="18"/>
        <v/>
      </c>
      <c r="O102" s="53" t="str">
        <f t="shared" si="21"/>
        <v/>
      </c>
      <c r="P102" s="49"/>
      <c r="R102" s="62" t="str">
        <f t="shared" si="22"/>
        <v/>
      </c>
      <c r="S102" s="62" t="str">
        <f t="shared" si="23"/>
        <v/>
      </c>
      <c r="T102" s="62" t="str">
        <f t="shared" si="19"/>
        <v/>
      </c>
    </row>
    <row r="103" spans="2:20" ht="18" customHeight="1" x14ac:dyDescent="0.25">
      <c r="B103" s="47" t="str">
        <f>IF(C103="","",COUNT($C$7:C103))</f>
        <v/>
      </c>
      <c r="C103" s="48"/>
      <c r="D103" s="49"/>
      <c r="E103" s="50"/>
      <c r="F103" s="49"/>
      <c r="G103" s="55"/>
      <c r="H103" s="56"/>
      <c r="I103" s="57" t="str">
        <f t="shared" ref="I103:I134" si="24">IF(OR(G103="",H103="",N(G103)=0),"",H103/G103)</f>
        <v/>
      </c>
      <c r="J103" s="58"/>
      <c r="K103" s="49"/>
      <c r="L103" s="59" t="str">
        <f t="shared" si="20"/>
        <v/>
      </c>
      <c r="M103" s="60" t="str">
        <f t="shared" ref="M103:M134" si="25">IF(OR(C103="",J103&lt;&gt;"Oui",R103="",N(E103)&lt;=N(R103)),"",S103/(E103-R103)*100)</f>
        <v/>
      </c>
      <c r="N103" s="61" t="str">
        <f t="shared" ref="N103:N134" si="26">IF(OR(M103="",I103=""),"",M103*I103)</f>
        <v/>
      </c>
      <c r="O103" s="53" t="str">
        <f t="shared" si="21"/>
        <v/>
      </c>
      <c r="P103" s="49"/>
      <c r="R103" s="62" t="str">
        <f t="shared" si="22"/>
        <v/>
      </c>
      <c r="S103" s="62" t="str">
        <f t="shared" si="23"/>
        <v/>
      </c>
      <c r="T103" s="62" t="str">
        <f t="shared" ref="T103:T134" si="27">IF(M103="","",E103-R103)</f>
        <v/>
      </c>
    </row>
    <row r="104" spans="2:20" ht="18" customHeight="1" x14ac:dyDescent="0.25">
      <c r="B104" s="47" t="str">
        <f>IF(C104="","",COUNT($C$7:C104))</f>
        <v/>
      </c>
      <c r="C104" s="48"/>
      <c r="D104" s="49"/>
      <c r="E104" s="50"/>
      <c r="F104" s="49"/>
      <c r="G104" s="55"/>
      <c r="H104" s="56"/>
      <c r="I104" s="57" t="str">
        <f t="shared" si="24"/>
        <v/>
      </c>
      <c r="J104" s="58"/>
      <c r="K104" s="49"/>
      <c r="L104" s="59" t="str">
        <f t="shared" ref="L104:L135" si="28">IF(OR(C104="",E104="",E103=""),"",E104-E103)</f>
        <v/>
      </c>
      <c r="M104" s="60" t="str">
        <f t="shared" si="25"/>
        <v/>
      </c>
      <c r="N104" s="61" t="str">
        <f t="shared" si="26"/>
        <v/>
      </c>
      <c r="O104" s="53" t="str">
        <f t="shared" ref="O104:O135" si="29">IF(C104="","",IF(OR(E104="",G104="",H104=""),"Incomplet",IF(AND(ISNUMBER(E103),E104&lt;E103),"Km incohérent",IF(AND(N(Capacite)&gt;0,G104&gt;Capacite*1.02),"Quantité &gt; réservoir",IF(ISNUMBER(M104),IF(AND(ConsoMoyenne&gt;0,ABS(M104/MAX(ConsoMoyenne,0.0001)-1)&gt;SeuilConso),"Conso. atypique","Conforme"),"Conforme")))))</f>
        <v/>
      </c>
      <c r="P104" s="49"/>
      <c r="R104" s="62" t="str">
        <f t="shared" ref="R104:R135" si="30">IF(C104="","",IF(J103="Oui",E103,R103))</f>
        <v/>
      </c>
      <c r="S104" s="62" t="str">
        <f t="shared" ref="S104:S135" si="31">IF(C104="","",IF(J103="Oui",N(G104),N(S103)+N(G104)))</f>
        <v/>
      </c>
      <c r="T104" s="62" t="str">
        <f t="shared" si="27"/>
        <v/>
      </c>
    </row>
    <row r="105" spans="2:20" ht="18" customHeight="1" x14ac:dyDescent="0.25">
      <c r="B105" s="47" t="str">
        <f>IF(C105="","",COUNT($C$7:C105))</f>
        <v/>
      </c>
      <c r="C105" s="48"/>
      <c r="D105" s="49"/>
      <c r="E105" s="50"/>
      <c r="F105" s="49"/>
      <c r="G105" s="55"/>
      <c r="H105" s="56"/>
      <c r="I105" s="57" t="str">
        <f t="shared" si="24"/>
        <v/>
      </c>
      <c r="J105" s="58"/>
      <c r="K105" s="49"/>
      <c r="L105" s="59" t="str">
        <f t="shared" si="28"/>
        <v/>
      </c>
      <c r="M105" s="60" t="str">
        <f t="shared" si="25"/>
        <v/>
      </c>
      <c r="N105" s="61" t="str">
        <f t="shared" si="26"/>
        <v/>
      </c>
      <c r="O105" s="53" t="str">
        <f t="shared" si="29"/>
        <v/>
      </c>
      <c r="P105" s="49"/>
      <c r="R105" s="62" t="str">
        <f t="shared" si="30"/>
        <v/>
      </c>
      <c r="S105" s="62" t="str">
        <f t="shared" si="31"/>
        <v/>
      </c>
      <c r="T105" s="62" t="str">
        <f t="shared" si="27"/>
        <v/>
      </c>
    </row>
    <row r="106" spans="2:20" ht="18" customHeight="1" x14ac:dyDescent="0.25">
      <c r="B106" s="47" t="str">
        <f>IF(C106="","",COUNT($C$7:C106))</f>
        <v/>
      </c>
      <c r="C106" s="48"/>
      <c r="D106" s="49"/>
      <c r="E106" s="50"/>
      <c r="F106" s="49"/>
      <c r="G106" s="55"/>
      <c r="H106" s="56"/>
      <c r="I106" s="57" t="str">
        <f t="shared" si="24"/>
        <v/>
      </c>
      <c r="J106" s="58"/>
      <c r="K106" s="49"/>
      <c r="L106" s="59" t="str">
        <f t="shared" si="28"/>
        <v/>
      </c>
      <c r="M106" s="60" t="str">
        <f t="shared" si="25"/>
        <v/>
      </c>
      <c r="N106" s="61" t="str">
        <f t="shared" si="26"/>
        <v/>
      </c>
      <c r="O106" s="53" t="str">
        <f t="shared" si="29"/>
        <v/>
      </c>
      <c r="P106" s="49"/>
      <c r="R106" s="62" t="str">
        <f t="shared" si="30"/>
        <v/>
      </c>
      <c r="S106" s="62" t="str">
        <f t="shared" si="31"/>
        <v/>
      </c>
      <c r="T106" s="62" t="str">
        <f t="shared" si="27"/>
        <v/>
      </c>
    </row>
    <row r="107" spans="2:20" ht="18" customHeight="1" x14ac:dyDescent="0.25">
      <c r="B107" s="47" t="str">
        <f>IF(C107="","",COUNT($C$7:C107))</f>
        <v/>
      </c>
      <c r="C107" s="48"/>
      <c r="D107" s="49"/>
      <c r="E107" s="50"/>
      <c r="F107" s="49"/>
      <c r="G107" s="55"/>
      <c r="H107" s="56"/>
      <c r="I107" s="57" t="str">
        <f t="shared" si="24"/>
        <v/>
      </c>
      <c r="J107" s="58"/>
      <c r="K107" s="49"/>
      <c r="L107" s="59" t="str">
        <f t="shared" si="28"/>
        <v/>
      </c>
      <c r="M107" s="60" t="str">
        <f t="shared" si="25"/>
        <v/>
      </c>
      <c r="N107" s="61" t="str">
        <f t="shared" si="26"/>
        <v/>
      </c>
      <c r="O107" s="53" t="str">
        <f t="shared" si="29"/>
        <v/>
      </c>
      <c r="P107" s="49"/>
      <c r="R107" s="62" t="str">
        <f t="shared" si="30"/>
        <v/>
      </c>
      <c r="S107" s="62" t="str">
        <f t="shared" si="31"/>
        <v/>
      </c>
      <c r="T107" s="62" t="str">
        <f t="shared" si="27"/>
        <v/>
      </c>
    </row>
    <row r="108" spans="2:20" ht="18" customHeight="1" x14ac:dyDescent="0.25">
      <c r="B108" s="47" t="str">
        <f>IF(C108="","",COUNT($C$7:C108))</f>
        <v/>
      </c>
      <c r="C108" s="48"/>
      <c r="D108" s="49"/>
      <c r="E108" s="50"/>
      <c r="F108" s="49"/>
      <c r="G108" s="55"/>
      <c r="H108" s="56"/>
      <c r="I108" s="57" t="str">
        <f t="shared" si="24"/>
        <v/>
      </c>
      <c r="J108" s="58"/>
      <c r="K108" s="49"/>
      <c r="L108" s="59" t="str">
        <f t="shared" si="28"/>
        <v/>
      </c>
      <c r="M108" s="60" t="str">
        <f t="shared" si="25"/>
        <v/>
      </c>
      <c r="N108" s="61" t="str">
        <f t="shared" si="26"/>
        <v/>
      </c>
      <c r="O108" s="53" t="str">
        <f t="shared" si="29"/>
        <v/>
      </c>
      <c r="P108" s="49"/>
      <c r="R108" s="62" t="str">
        <f t="shared" si="30"/>
        <v/>
      </c>
      <c r="S108" s="62" t="str">
        <f t="shared" si="31"/>
        <v/>
      </c>
      <c r="T108" s="62" t="str">
        <f t="shared" si="27"/>
        <v/>
      </c>
    </row>
    <row r="109" spans="2:20" ht="18" customHeight="1" x14ac:dyDescent="0.25">
      <c r="B109" s="47" t="str">
        <f>IF(C109="","",COUNT($C$7:C109))</f>
        <v/>
      </c>
      <c r="C109" s="48"/>
      <c r="D109" s="49"/>
      <c r="E109" s="50"/>
      <c r="F109" s="49"/>
      <c r="G109" s="55"/>
      <c r="H109" s="56"/>
      <c r="I109" s="57" t="str">
        <f t="shared" si="24"/>
        <v/>
      </c>
      <c r="J109" s="58"/>
      <c r="K109" s="49"/>
      <c r="L109" s="59" t="str">
        <f t="shared" si="28"/>
        <v/>
      </c>
      <c r="M109" s="60" t="str">
        <f t="shared" si="25"/>
        <v/>
      </c>
      <c r="N109" s="61" t="str">
        <f t="shared" si="26"/>
        <v/>
      </c>
      <c r="O109" s="53" t="str">
        <f t="shared" si="29"/>
        <v/>
      </c>
      <c r="P109" s="49"/>
      <c r="R109" s="62" t="str">
        <f t="shared" si="30"/>
        <v/>
      </c>
      <c r="S109" s="62" t="str">
        <f t="shared" si="31"/>
        <v/>
      </c>
      <c r="T109" s="62" t="str">
        <f t="shared" si="27"/>
        <v/>
      </c>
    </row>
    <row r="110" spans="2:20" ht="18" customHeight="1" x14ac:dyDescent="0.25">
      <c r="B110" s="47" t="str">
        <f>IF(C110="","",COUNT($C$7:C110))</f>
        <v/>
      </c>
      <c r="C110" s="48"/>
      <c r="D110" s="49"/>
      <c r="E110" s="50"/>
      <c r="F110" s="49"/>
      <c r="G110" s="55"/>
      <c r="H110" s="56"/>
      <c r="I110" s="57" t="str">
        <f t="shared" si="24"/>
        <v/>
      </c>
      <c r="J110" s="58"/>
      <c r="K110" s="49"/>
      <c r="L110" s="59" t="str">
        <f t="shared" si="28"/>
        <v/>
      </c>
      <c r="M110" s="60" t="str">
        <f t="shared" si="25"/>
        <v/>
      </c>
      <c r="N110" s="61" t="str">
        <f t="shared" si="26"/>
        <v/>
      </c>
      <c r="O110" s="53" t="str">
        <f t="shared" si="29"/>
        <v/>
      </c>
      <c r="P110" s="49"/>
      <c r="R110" s="62" t="str">
        <f t="shared" si="30"/>
        <v/>
      </c>
      <c r="S110" s="62" t="str">
        <f t="shared" si="31"/>
        <v/>
      </c>
      <c r="T110" s="62" t="str">
        <f t="shared" si="27"/>
        <v/>
      </c>
    </row>
    <row r="111" spans="2:20" ht="18" customHeight="1" x14ac:dyDescent="0.25">
      <c r="B111" s="47" t="str">
        <f>IF(C111="","",COUNT($C$7:C111))</f>
        <v/>
      </c>
      <c r="C111" s="48"/>
      <c r="D111" s="49"/>
      <c r="E111" s="50"/>
      <c r="F111" s="49"/>
      <c r="G111" s="55"/>
      <c r="H111" s="56"/>
      <c r="I111" s="57" t="str">
        <f t="shared" si="24"/>
        <v/>
      </c>
      <c r="J111" s="58"/>
      <c r="K111" s="49"/>
      <c r="L111" s="59" t="str">
        <f t="shared" si="28"/>
        <v/>
      </c>
      <c r="M111" s="60" t="str">
        <f t="shared" si="25"/>
        <v/>
      </c>
      <c r="N111" s="61" t="str">
        <f t="shared" si="26"/>
        <v/>
      </c>
      <c r="O111" s="53" t="str">
        <f t="shared" si="29"/>
        <v/>
      </c>
      <c r="P111" s="49"/>
      <c r="R111" s="62" t="str">
        <f t="shared" si="30"/>
        <v/>
      </c>
      <c r="S111" s="62" t="str">
        <f t="shared" si="31"/>
        <v/>
      </c>
      <c r="T111" s="62" t="str">
        <f t="shared" si="27"/>
        <v/>
      </c>
    </row>
    <row r="112" spans="2:20" ht="18" customHeight="1" x14ac:dyDescent="0.25">
      <c r="B112" s="47" t="str">
        <f>IF(C112="","",COUNT($C$7:C112))</f>
        <v/>
      </c>
      <c r="C112" s="48"/>
      <c r="D112" s="49"/>
      <c r="E112" s="50"/>
      <c r="F112" s="49"/>
      <c r="G112" s="55"/>
      <c r="H112" s="56"/>
      <c r="I112" s="57" t="str">
        <f t="shared" si="24"/>
        <v/>
      </c>
      <c r="J112" s="58"/>
      <c r="K112" s="49"/>
      <c r="L112" s="59" t="str">
        <f t="shared" si="28"/>
        <v/>
      </c>
      <c r="M112" s="60" t="str">
        <f t="shared" si="25"/>
        <v/>
      </c>
      <c r="N112" s="61" t="str">
        <f t="shared" si="26"/>
        <v/>
      </c>
      <c r="O112" s="53" t="str">
        <f t="shared" si="29"/>
        <v/>
      </c>
      <c r="P112" s="49"/>
      <c r="R112" s="62" t="str">
        <f t="shared" si="30"/>
        <v/>
      </c>
      <c r="S112" s="62" t="str">
        <f t="shared" si="31"/>
        <v/>
      </c>
      <c r="T112" s="62" t="str">
        <f t="shared" si="27"/>
        <v/>
      </c>
    </row>
    <row r="113" spans="2:20" ht="18" customHeight="1" x14ac:dyDescent="0.25">
      <c r="B113" s="47" t="str">
        <f>IF(C113="","",COUNT($C$7:C113))</f>
        <v/>
      </c>
      <c r="C113" s="48"/>
      <c r="D113" s="49"/>
      <c r="E113" s="50"/>
      <c r="F113" s="49"/>
      <c r="G113" s="55"/>
      <c r="H113" s="56"/>
      <c r="I113" s="57" t="str">
        <f t="shared" si="24"/>
        <v/>
      </c>
      <c r="J113" s="58"/>
      <c r="K113" s="49"/>
      <c r="L113" s="59" t="str">
        <f t="shared" si="28"/>
        <v/>
      </c>
      <c r="M113" s="60" t="str">
        <f t="shared" si="25"/>
        <v/>
      </c>
      <c r="N113" s="61" t="str">
        <f t="shared" si="26"/>
        <v/>
      </c>
      <c r="O113" s="53" t="str">
        <f t="shared" si="29"/>
        <v/>
      </c>
      <c r="P113" s="49"/>
      <c r="R113" s="62" t="str">
        <f t="shared" si="30"/>
        <v/>
      </c>
      <c r="S113" s="62" t="str">
        <f t="shared" si="31"/>
        <v/>
      </c>
      <c r="T113" s="62" t="str">
        <f t="shared" si="27"/>
        <v/>
      </c>
    </row>
    <row r="114" spans="2:20" ht="18" customHeight="1" x14ac:dyDescent="0.25">
      <c r="B114" s="47" t="str">
        <f>IF(C114="","",COUNT($C$7:C114))</f>
        <v/>
      </c>
      <c r="C114" s="48"/>
      <c r="D114" s="49"/>
      <c r="E114" s="50"/>
      <c r="F114" s="49"/>
      <c r="G114" s="55"/>
      <c r="H114" s="56"/>
      <c r="I114" s="57" t="str">
        <f t="shared" si="24"/>
        <v/>
      </c>
      <c r="J114" s="58"/>
      <c r="K114" s="49"/>
      <c r="L114" s="59" t="str">
        <f t="shared" si="28"/>
        <v/>
      </c>
      <c r="M114" s="60" t="str">
        <f t="shared" si="25"/>
        <v/>
      </c>
      <c r="N114" s="61" t="str">
        <f t="shared" si="26"/>
        <v/>
      </c>
      <c r="O114" s="53" t="str">
        <f t="shared" si="29"/>
        <v/>
      </c>
      <c r="P114" s="49"/>
      <c r="R114" s="62" t="str">
        <f t="shared" si="30"/>
        <v/>
      </c>
      <c r="S114" s="62" t="str">
        <f t="shared" si="31"/>
        <v/>
      </c>
      <c r="T114" s="62" t="str">
        <f t="shared" si="27"/>
        <v/>
      </c>
    </row>
    <row r="115" spans="2:20" ht="18" customHeight="1" x14ac:dyDescent="0.25">
      <c r="B115" s="47" t="str">
        <f>IF(C115="","",COUNT($C$7:C115))</f>
        <v/>
      </c>
      <c r="C115" s="48"/>
      <c r="D115" s="49"/>
      <c r="E115" s="50"/>
      <c r="F115" s="49"/>
      <c r="G115" s="55"/>
      <c r="H115" s="56"/>
      <c r="I115" s="57" t="str">
        <f t="shared" si="24"/>
        <v/>
      </c>
      <c r="J115" s="58"/>
      <c r="K115" s="49"/>
      <c r="L115" s="59" t="str">
        <f t="shared" si="28"/>
        <v/>
      </c>
      <c r="M115" s="60" t="str">
        <f t="shared" si="25"/>
        <v/>
      </c>
      <c r="N115" s="61" t="str">
        <f t="shared" si="26"/>
        <v/>
      </c>
      <c r="O115" s="53" t="str">
        <f t="shared" si="29"/>
        <v/>
      </c>
      <c r="P115" s="49"/>
      <c r="R115" s="62" t="str">
        <f t="shared" si="30"/>
        <v/>
      </c>
      <c r="S115" s="62" t="str">
        <f t="shared" si="31"/>
        <v/>
      </c>
      <c r="T115" s="62" t="str">
        <f t="shared" si="27"/>
        <v/>
      </c>
    </row>
    <row r="116" spans="2:20" ht="18" customHeight="1" x14ac:dyDescent="0.25">
      <c r="B116" s="47" t="str">
        <f>IF(C116="","",COUNT($C$7:C116))</f>
        <v/>
      </c>
      <c r="C116" s="48"/>
      <c r="D116" s="49"/>
      <c r="E116" s="50"/>
      <c r="F116" s="49"/>
      <c r="G116" s="55"/>
      <c r="H116" s="56"/>
      <c r="I116" s="57" t="str">
        <f t="shared" si="24"/>
        <v/>
      </c>
      <c r="J116" s="58"/>
      <c r="K116" s="49"/>
      <c r="L116" s="59" t="str">
        <f t="shared" si="28"/>
        <v/>
      </c>
      <c r="M116" s="60" t="str">
        <f t="shared" si="25"/>
        <v/>
      </c>
      <c r="N116" s="61" t="str">
        <f t="shared" si="26"/>
        <v/>
      </c>
      <c r="O116" s="53" t="str">
        <f t="shared" si="29"/>
        <v/>
      </c>
      <c r="P116" s="49"/>
      <c r="R116" s="62" t="str">
        <f t="shared" si="30"/>
        <v/>
      </c>
      <c r="S116" s="62" t="str">
        <f t="shared" si="31"/>
        <v/>
      </c>
      <c r="T116" s="62" t="str">
        <f t="shared" si="27"/>
        <v/>
      </c>
    </row>
    <row r="117" spans="2:20" ht="18" customHeight="1" x14ac:dyDescent="0.25">
      <c r="B117" s="47" t="str">
        <f>IF(C117="","",COUNT($C$7:C117))</f>
        <v/>
      </c>
      <c r="C117" s="48"/>
      <c r="D117" s="49"/>
      <c r="E117" s="50"/>
      <c r="F117" s="49"/>
      <c r="G117" s="55"/>
      <c r="H117" s="56"/>
      <c r="I117" s="57" t="str">
        <f t="shared" si="24"/>
        <v/>
      </c>
      <c r="J117" s="58"/>
      <c r="K117" s="49"/>
      <c r="L117" s="59" t="str">
        <f t="shared" si="28"/>
        <v/>
      </c>
      <c r="M117" s="60" t="str">
        <f t="shared" si="25"/>
        <v/>
      </c>
      <c r="N117" s="61" t="str">
        <f t="shared" si="26"/>
        <v/>
      </c>
      <c r="O117" s="53" t="str">
        <f t="shared" si="29"/>
        <v/>
      </c>
      <c r="P117" s="49"/>
      <c r="R117" s="62" t="str">
        <f t="shared" si="30"/>
        <v/>
      </c>
      <c r="S117" s="62" t="str">
        <f t="shared" si="31"/>
        <v/>
      </c>
      <c r="T117" s="62" t="str">
        <f t="shared" si="27"/>
        <v/>
      </c>
    </row>
    <row r="118" spans="2:20" ht="18" customHeight="1" x14ac:dyDescent="0.25">
      <c r="B118" s="47" t="str">
        <f>IF(C118="","",COUNT($C$7:C118))</f>
        <v/>
      </c>
      <c r="C118" s="48"/>
      <c r="D118" s="49"/>
      <c r="E118" s="50"/>
      <c r="F118" s="49"/>
      <c r="G118" s="55"/>
      <c r="H118" s="56"/>
      <c r="I118" s="57" t="str">
        <f t="shared" si="24"/>
        <v/>
      </c>
      <c r="J118" s="58"/>
      <c r="K118" s="49"/>
      <c r="L118" s="59" t="str">
        <f t="shared" si="28"/>
        <v/>
      </c>
      <c r="M118" s="60" t="str">
        <f t="shared" si="25"/>
        <v/>
      </c>
      <c r="N118" s="61" t="str">
        <f t="shared" si="26"/>
        <v/>
      </c>
      <c r="O118" s="53" t="str">
        <f t="shared" si="29"/>
        <v/>
      </c>
      <c r="P118" s="49"/>
      <c r="R118" s="62" t="str">
        <f t="shared" si="30"/>
        <v/>
      </c>
      <c r="S118" s="62" t="str">
        <f t="shared" si="31"/>
        <v/>
      </c>
      <c r="T118" s="62" t="str">
        <f t="shared" si="27"/>
        <v/>
      </c>
    </row>
    <row r="119" spans="2:20" ht="18" customHeight="1" x14ac:dyDescent="0.25">
      <c r="B119" s="47" t="str">
        <f>IF(C119="","",COUNT($C$7:C119))</f>
        <v/>
      </c>
      <c r="C119" s="48"/>
      <c r="D119" s="49"/>
      <c r="E119" s="50"/>
      <c r="F119" s="49"/>
      <c r="G119" s="55"/>
      <c r="H119" s="56"/>
      <c r="I119" s="57" t="str">
        <f t="shared" si="24"/>
        <v/>
      </c>
      <c r="J119" s="58"/>
      <c r="K119" s="49"/>
      <c r="L119" s="59" t="str">
        <f t="shared" si="28"/>
        <v/>
      </c>
      <c r="M119" s="60" t="str">
        <f t="shared" si="25"/>
        <v/>
      </c>
      <c r="N119" s="61" t="str">
        <f t="shared" si="26"/>
        <v/>
      </c>
      <c r="O119" s="53" t="str">
        <f t="shared" si="29"/>
        <v/>
      </c>
      <c r="P119" s="49"/>
      <c r="R119" s="62" t="str">
        <f t="shared" si="30"/>
        <v/>
      </c>
      <c r="S119" s="62" t="str">
        <f t="shared" si="31"/>
        <v/>
      </c>
      <c r="T119" s="62" t="str">
        <f t="shared" si="27"/>
        <v/>
      </c>
    </row>
    <row r="120" spans="2:20" ht="18" customHeight="1" x14ac:dyDescent="0.25">
      <c r="B120" s="47" t="str">
        <f>IF(C120="","",COUNT($C$7:C120))</f>
        <v/>
      </c>
      <c r="C120" s="48"/>
      <c r="D120" s="49"/>
      <c r="E120" s="50"/>
      <c r="F120" s="49"/>
      <c r="G120" s="55"/>
      <c r="H120" s="56"/>
      <c r="I120" s="57" t="str">
        <f t="shared" si="24"/>
        <v/>
      </c>
      <c r="J120" s="58"/>
      <c r="K120" s="49"/>
      <c r="L120" s="59" t="str">
        <f t="shared" si="28"/>
        <v/>
      </c>
      <c r="M120" s="60" t="str">
        <f t="shared" si="25"/>
        <v/>
      </c>
      <c r="N120" s="61" t="str">
        <f t="shared" si="26"/>
        <v/>
      </c>
      <c r="O120" s="53" t="str">
        <f t="shared" si="29"/>
        <v/>
      </c>
      <c r="P120" s="49"/>
      <c r="R120" s="62" t="str">
        <f t="shared" si="30"/>
        <v/>
      </c>
      <c r="S120" s="62" t="str">
        <f t="shared" si="31"/>
        <v/>
      </c>
      <c r="T120" s="62" t="str">
        <f t="shared" si="27"/>
        <v/>
      </c>
    </row>
    <row r="121" spans="2:20" ht="18" customHeight="1" x14ac:dyDescent="0.25">
      <c r="B121" s="47" t="str">
        <f>IF(C121="","",COUNT($C$7:C121))</f>
        <v/>
      </c>
      <c r="C121" s="48"/>
      <c r="D121" s="49"/>
      <c r="E121" s="50"/>
      <c r="F121" s="49"/>
      <c r="G121" s="55"/>
      <c r="H121" s="56"/>
      <c r="I121" s="57" t="str">
        <f t="shared" si="24"/>
        <v/>
      </c>
      <c r="J121" s="58"/>
      <c r="K121" s="49"/>
      <c r="L121" s="59" t="str">
        <f t="shared" si="28"/>
        <v/>
      </c>
      <c r="M121" s="60" t="str">
        <f t="shared" si="25"/>
        <v/>
      </c>
      <c r="N121" s="61" t="str">
        <f t="shared" si="26"/>
        <v/>
      </c>
      <c r="O121" s="53" t="str">
        <f t="shared" si="29"/>
        <v/>
      </c>
      <c r="P121" s="49"/>
      <c r="R121" s="62" t="str">
        <f t="shared" si="30"/>
        <v/>
      </c>
      <c r="S121" s="62" t="str">
        <f t="shared" si="31"/>
        <v/>
      </c>
      <c r="T121" s="62" t="str">
        <f t="shared" si="27"/>
        <v/>
      </c>
    </row>
    <row r="122" spans="2:20" ht="18" customHeight="1" x14ac:dyDescent="0.25">
      <c r="B122" s="47" t="str">
        <f>IF(C122="","",COUNT($C$7:C122))</f>
        <v/>
      </c>
      <c r="C122" s="48"/>
      <c r="D122" s="49"/>
      <c r="E122" s="50"/>
      <c r="F122" s="49"/>
      <c r="G122" s="55"/>
      <c r="H122" s="56"/>
      <c r="I122" s="57" t="str">
        <f t="shared" si="24"/>
        <v/>
      </c>
      <c r="J122" s="58"/>
      <c r="K122" s="49"/>
      <c r="L122" s="59" t="str">
        <f t="shared" si="28"/>
        <v/>
      </c>
      <c r="M122" s="60" t="str">
        <f t="shared" si="25"/>
        <v/>
      </c>
      <c r="N122" s="61" t="str">
        <f t="shared" si="26"/>
        <v/>
      </c>
      <c r="O122" s="53" t="str">
        <f t="shared" si="29"/>
        <v/>
      </c>
      <c r="P122" s="49"/>
      <c r="R122" s="62" t="str">
        <f t="shared" si="30"/>
        <v/>
      </c>
      <c r="S122" s="62" t="str">
        <f t="shared" si="31"/>
        <v/>
      </c>
      <c r="T122" s="62" t="str">
        <f t="shared" si="27"/>
        <v/>
      </c>
    </row>
    <row r="123" spans="2:20" ht="18" customHeight="1" x14ac:dyDescent="0.25">
      <c r="B123" s="47" t="str">
        <f>IF(C123="","",COUNT($C$7:C123))</f>
        <v/>
      </c>
      <c r="C123" s="48"/>
      <c r="D123" s="49"/>
      <c r="E123" s="50"/>
      <c r="F123" s="49"/>
      <c r="G123" s="55"/>
      <c r="H123" s="56"/>
      <c r="I123" s="57" t="str">
        <f t="shared" si="24"/>
        <v/>
      </c>
      <c r="J123" s="58"/>
      <c r="K123" s="49"/>
      <c r="L123" s="59" t="str">
        <f t="shared" si="28"/>
        <v/>
      </c>
      <c r="M123" s="60" t="str">
        <f t="shared" si="25"/>
        <v/>
      </c>
      <c r="N123" s="61" t="str">
        <f t="shared" si="26"/>
        <v/>
      </c>
      <c r="O123" s="53" t="str">
        <f t="shared" si="29"/>
        <v/>
      </c>
      <c r="P123" s="49"/>
      <c r="R123" s="62" t="str">
        <f t="shared" si="30"/>
        <v/>
      </c>
      <c r="S123" s="62" t="str">
        <f t="shared" si="31"/>
        <v/>
      </c>
      <c r="T123" s="62" t="str">
        <f t="shared" si="27"/>
        <v/>
      </c>
    </row>
    <row r="124" spans="2:20" ht="18" customHeight="1" x14ac:dyDescent="0.25">
      <c r="B124" s="47" t="str">
        <f>IF(C124="","",COUNT($C$7:C124))</f>
        <v/>
      </c>
      <c r="C124" s="48"/>
      <c r="D124" s="49"/>
      <c r="E124" s="50"/>
      <c r="F124" s="49"/>
      <c r="G124" s="55"/>
      <c r="H124" s="56"/>
      <c r="I124" s="57" t="str">
        <f t="shared" si="24"/>
        <v/>
      </c>
      <c r="J124" s="58"/>
      <c r="K124" s="49"/>
      <c r="L124" s="59" t="str">
        <f t="shared" si="28"/>
        <v/>
      </c>
      <c r="M124" s="60" t="str">
        <f t="shared" si="25"/>
        <v/>
      </c>
      <c r="N124" s="61" t="str">
        <f t="shared" si="26"/>
        <v/>
      </c>
      <c r="O124" s="53" t="str">
        <f t="shared" si="29"/>
        <v/>
      </c>
      <c r="P124" s="49"/>
      <c r="R124" s="62" t="str">
        <f t="shared" si="30"/>
        <v/>
      </c>
      <c r="S124" s="62" t="str">
        <f t="shared" si="31"/>
        <v/>
      </c>
      <c r="T124" s="62" t="str">
        <f t="shared" si="27"/>
        <v/>
      </c>
    </row>
    <row r="125" spans="2:20" ht="18" customHeight="1" x14ac:dyDescent="0.25">
      <c r="B125" s="47" t="str">
        <f>IF(C125="","",COUNT($C$7:C125))</f>
        <v/>
      </c>
      <c r="C125" s="48"/>
      <c r="D125" s="49"/>
      <c r="E125" s="50"/>
      <c r="F125" s="49"/>
      <c r="G125" s="55"/>
      <c r="H125" s="56"/>
      <c r="I125" s="57" t="str">
        <f t="shared" si="24"/>
        <v/>
      </c>
      <c r="J125" s="58"/>
      <c r="K125" s="49"/>
      <c r="L125" s="59" t="str">
        <f t="shared" si="28"/>
        <v/>
      </c>
      <c r="M125" s="60" t="str">
        <f t="shared" si="25"/>
        <v/>
      </c>
      <c r="N125" s="61" t="str">
        <f t="shared" si="26"/>
        <v/>
      </c>
      <c r="O125" s="53" t="str">
        <f t="shared" si="29"/>
        <v/>
      </c>
      <c r="P125" s="49"/>
      <c r="R125" s="62" t="str">
        <f t="shared" si="30"/>
        <v/>
      </c>
      <c r="S125" s="62" t="str">
        <f t="shared" si="31"/>
        <v/>
      </c>
      <c r="T125" s="62" t="str">
        <f t="shared" si="27"/>
        <v/>
      </c>
    </row>
    <row r="126" spans="2:20" ht="18" customHeight="1" x14ac:dyDescent="0.25">
      <c r="B126" s="47" t="str">
        <f>IF(C126="","",COUNT($C$7:C126))</f>
        <v/>
      </c>
      <c r="C126" s="48"/>
      <c r="D126" s="49"/>
      <c r="E126" s="50"/>
      <c r="F126" s="49"/>
      <c r="G126" s="55"/>
      <c r="H126" s="56"/>
      <c r="I126" s="57" t="str">
        <f t="shared" si="24"/>
        <v/>
      </c>
      <c r="J126" s="58"/>
      <c r="K126" s="49"/>
      <c r="L126" s="59" t="str">
        <f t="shared" si="28"/>
        <v/>
      </c>
      <c r="M126" s="60" t="str">
        <f t="shared" si="25"/>
        <v/>
      </c>
      <c r="N126" s="61" t="str">
        <f t="shared" si="26"/>
        <v/>
      </c>
      <c r="O126" s="53" t="str">
        <f t="shared" si="29"/>
        <v/>
      </c>
      <c r="P126" s="49"/>
      <c r="R126" s="62" t="str">
        <f t="shared" si="30"/>
        <v/>
      </c>
      <c r="S126" s="62" t="str">
        <f t="shared" si="31"/>
        <v/>
      </c>
      <c r="T126" s="62" t="str">
        <f t="shared" si="27"/>
        <v/>
      </c>
    </row>
    <row r="127" spans="2:20" ht="18" customHeight="1" x14ac:dyDescent="0.25">
      <c r="B127" s="47" t="str">
        <f>IF(C127="","",COUNT($C$7:C127))</f>
        <v/>
      </c>
      <c r="C127" s="48"/>
      <c r="D127" s="49"/>
      <c r="E127" s="50"/>
      <c r="F127" s="49"/>
      <c r="G127" s="55"/>
      <c r="H127" s="56"/>
      <c r="I127" s="57" t="str">
        <f t="shared" si="24"/>
        <v/>
      </c>
      <c r="J127" s="58"/>
      <c r="K127" s="49"/>
      <c r="L127" s="59" t="str">
        <f t="shared" si="28"/>
        <v/>
      </c>
      <c r="M127" s="60" t="str">
        <f t="shared" si="25"/>
        <v/>
      </c>
      <c r="N127" s="61" t="str">
        <f t="shared" si="26"/>
        <v/>
      </c>
      <c r="O127" s="53" t="str">
        <f t="shared" si="29"/>
        <v/>
      </c>
      <c r="P127" s="49"/>
      <c r="R127" s="62" t="str">
        <f t="shared" si="30"/>
        <v/>
      </c>
      <c r="S127" s="62" t="str">
        <f t="shared" si="31"/>
        <v/>
      </c>
      <c r="T127" s="62" t="str">
        <f t="shared" si="27"/>
        <v/>
      </c>
    </row>
    <row r="128" spans="2:20" ht="18" customHeight="1" x14ac:dyDescent="0.25">
      <c r="B128" s="47" t="str">
        <f>IF(C128="","",COUNT($C$7:C128))</f>
        <v/>
      </c>
      <c r="C128" s="48"/>
      <c r="D128" s="49"/>
      <c r="E128" s="50"/>
      <c r="F128" s="49"/>
      <c r="G128" s="55"/>
      <c r="H128" s="56"/>
      <c r="I128" s="57" t="str">
        <f t="shared" si="24"/>
        <v/>
      </c>
      <c r="J128" s="58"/>
      <c r="K128" s="49"/>
      <c r="L128" s="59" t="str">
        <f t="shared" si="28"/>
        <v/>
      </c>
      <c r="M128" s="60" t="str">
        <f t="shared" si="25"/>
        <v/>
      </c>
      <c r="N128" s="61" t="str">
        <f t="shared" si="26"/>
        <v/>
      </c>
      <c r="O128" s="53" t="str">
        <f t="shared" si="29"/>
        <v/>
      </c>
      <c r="P128" s="49"/>
      <c r="R128" s="62" t="str">
        <f t="shared" si="30"/>
        <v/>
      </c>
      <c r="S128" s="62" t="str">
        <f t="shared" si="31"/>
        <v/>
      </c>
      <c r="T128" s="62" t="str">
        <f t="shared" si="27"/>
        <v/>
      </c>
    </row>
    <row r="129" spans="2:20" ht="18" customHeight="1" x14ac:dyDescent="0.25">
      <c r="B129" s="47" t="str">
        <f>IF(C129="","",COUNT($C$7:C129))</f>
        <v/>
      </c>
      <c r="C129" s="48"/>
      <c r="D129" s="49"/>
      <c r="E129" s="50"/>
      <c r="F129" s="49"/>
      <c r="G129" s="55"/>
      <c r="H129" s="56"/>
      <c r="I129" s="57" t="str">
        <f t="shared" si="24"/>
        <v/>
      </c>
      <c r="J129" s="58"/>
      <c r="K129" s="49"/>
      <c r="L129" s="59" t="str">
        <f t="shared" si="28"/>
        <v/>
      </c>
      <c r="M129" s="60" t="str">
        <f t="shared" si="25"/>
        <v/>
      </c>
      <c r="N129" s="61" t="str">
        <f t="shared" si="26"/>
        <v/>
      </c>
      <c r="O129" s="53" t="str">
        <f t="shared" si="29"/>
        <v/>
      </c>
      <c r="P129" s="49"/>
      <c r="R129" s="62" t="str">
        <f t="shared" si="30"/>
        <v/>
      </c>
      <c r="S129" s="62" t="str">
        <f t="shared" si="31"/>
        <v/>
      </c>
      <c r="T129" s="62" t="str">
        <f t="shared" si="27"/>
        <v/>
      </c>
    </row>
    <row r="130" spans="2:20" ht="18" customHeight="1" x14ac:dyDescent="0.25">
      <c r="B130" s="47" t="str">
        <f>IF(C130="","",COUNT($C$7:C130))</f>
        <v/>
      </c>
      <c r="C130" s="48"/>
      <c r="D130" s="49"/>
      <c r="E130" s="50"/>
      <c r="F130" s="49"/>
      <c r="G130" s="55"/>
      <c r="H130" s="56"/>
      <c r="I130" s="57" t="str">
        <f t="shared" si="24"/>
        <v/>
      </c>
      <c r="J130" s="58"/>
      <c r="K130" s="49"/>
      <c r="L130" s="59" t="str">
        <f t="shared" si="28"/>
        <v/>
      </c>
      <c r="M130" s="60" t="str">
        <f t="shared" si="25"/>
        <v/>
      </c>
      <c r="N130" s="61" t="str">
        <f t="shared" si="26"/>
        <v/>
      </c>
      <c r="O130" s="53" t="str">
        <f t="shared" si="29"/>
        <v/>
      </c>
      <c r="P130" s="49"/>
      <c r="R130" s="62" t="str">
        <f t="shared" si="30"/>
        <v/>
      </c>
      <c r="S130" s="62" t="str">
        <f t="shared" si="31"/>
        <v/>
      </c>
      <c r="T130" s="62" t="str">
        <f t="shared" si="27"/>
        <v/>
      </c>
    </row>
    <row r="131" spans="2:20" ht="18" customHeight="1" x14ac:dyDescent="0.25">
      <c r="B131" s="47" t="str">
        <f>IF(C131="","",COUNT($C$7:C131))</f>
        <v/>
      </c>
      <c r="C131" s="48"/>
      <c r="D131" s="49"/>
      <c r="E131" s="50"/>
      <c r="F131" s="49"/>
      <c r="G131" s="55"/>
      <c r="H131" s="56"/>
      <c r="I131" s="57" t="str">
        <f t="shared" si="24"/>
        <v/>
      </c>
      <c r="J131" s="58"/>
      <c r="K131" s="49"/>
      <c r="L131" s="59" t="str">
        <f t="shared" si="28"/>
        <v/>
      </c>
      <c r="M131" s="60" t="str">
        <f t="shared" si="25"/>
        <v/>
      </c>
      <c r="N131" s="61" t="str">
        <f t="shared" si="26"/>
        <v/>
      </c>
      <c r="O131" s="53" t="str">
        <f t="shared" si="29"/>
        <v/>
      </c>
      <c r="P131" s="49"/>
      <c r="R131" s="62" t="str">
        <f t="shared" si="30"/>
        <v/>
      </c>
      <c r="S131" s="62" t="str">
        <f t="shared" si="31"/>
        <v/>
      </c>
      <c r="T131" s="62" t="str">
        <f t="shared" si="27"/>
        <v/>
      </c>
    </row>
    <row r="132" spans="2:20" ht="18" customHeight="1" x14ac:dyDescent="0.25">
      <c r="B132" s="47" t="str">
        <f>IF(C132="","",COUNT($C$7:C132))</f>
        <v/>
      </c>
      <c r="C132" s="48"/>
      <c r="D132" s="49"/>
      <c r="E132" s="50"/>
      <c r="F132" s="49"/>
      <c r="G132" s="55"/>
      <c r="H132" s="56"/>
      <c r="I132" s="57" t="str">
        <f t="shared" si="24"/>
        <v/>
      </c>
      <c r="J132" s="58"/>
      <c r="K132" s="49"/>
      <c r="L132" s="59" t="str">
        <f t="shared" si="28"/>
        <v/>
      </c>
      <c r="M132" s="60" t="str">
        <f t="shared" si="25"/>
        <v/>
      </c>
      <c r="N132" s="61" t="str">
        <f t="shared" si="26"/>
        <v/>
      </c>
      <c r="O132" s="53" t="str">
        <f t="shared" si="29"/>
        <v/>
      </c>
      <c r="P132" s="49"/>
      <c r="R132" s="62" t="str">
        <f t="shared" si="30"/>
        <v/>
      </c>
      <c r="S132" s="62" t="str">
        <f t="shared" si="31"/>
        <v/>
      </c>
      <c r="T132" s="62" t="str">
        <f t="shared" si="27"/>
        <v/>
      </c>
    </row>
    <row r="133" spans="2:20" ht="18" customHeight="1" x14ac:dyDescent="0.25">
      <c r="B133" s="47" t="str">
        <f>IF(C133="","",COUNT($C$7:C133))</f>
        <v/>
      </c>
      <c r="C133" s="48"/>
      <c r="D133" s="49"/>
      <c r="E133" s="50"/>
      <c r="F133" s="49"/>
      <c r="G133" s="55"/>
      <c r="H133" s="56"/>
      <c r="I133" s="57" t="str">
        <f t="shared" si="24"/>
        <v/>
      </c>
      <c r="J133" s="58"/>
      <c r="K133" s="49"/>
      <c r="L133" s="59" t="str">
        <f t="shared" si="28"/>
        <v/>
      </c>
      <c r="M133" s="60" t="str">
        <f t="shared" si="25"/>
        <v/>
      </c>
      <c r="N133" s="61" t="str">
        <f t="shared" si="26"/>
        <v/>
      </c>
      <c r="O133" s="53" t="str">
        <f t="shared" si="29"/>
        <v/>
      </c>
      <c r="P133" s="49"/>
      <c r="R133" s="62" t="str">
        <f t="shared" si="30"/>
        <v/>
      </c>
      <c r="S133" s="62" t="str">
        <f t="shared" si="31"/>
        <v/>
      </c>
      <c r="T133" s="62" t="str">
        <f t="shared" si="27"/>
        <v/>
      </c>
    </row>
    <row r="134" spans="2:20" ht="18" customHeight="1" x14ac:dyDescent="0.25">
      <c r="B134" s="47" t="str">
        <f>IF(C134="","",COUNT($C$7:C134))</f>
        <v/>
      </c>
      <c r="C134" s="48"/>
      <c r="D134" s="49"/>
      <c r="E134" s="50"/>
      <c r="F134" s="49"/>
      <c r="G134" s="55"/>
      <c r="H134" s="56"/>
      <c r="I134" s="57" t="str">
        <f t="shared" si="24"/>
        <v/>
      </c>
      <c r="J134" s="58"/>
      <c r="K134" s="49"/>
      <c r="L134" s="59" t="str">
        <f t="shared" si="28"/>
        <v/>
      </c>
      <c r="M134" s="60" t="str">
        <f t="shared" si="25"/>
        <v/>
      </c>
      <c r="N134" s="61" t="str">
        <f t="shared" si="26"/>
        <v/>
      </c>
      <c r="O134" s="53" t="str">
        <f t="shared" si="29"/>
        <v/>
      </c>
      <c r="P134" s="49"/>
      <c r="R134" s="62" t="str">
        <f t="shared" si="30"/>
        <v/>
      </c>
      <c r="S134" s="62" t="str">
        <f t="shared" si="31"/>
        <v/>
      </c>
      <c r="T134" s="62" t="str">
        <f t="shared" si="27"/>
        <v/>
      </c>
    </row>
    <row r="135" spans="2:20" ht="18" customHeight="1" x14ac:dyDescent="0.25">
      <c r="B135" s="47" t="str">
        <f>IF(C135="","",COUNT($C$7:C135))</f>
        <v/>
      </c>
      <c r="C135" s="48"/>
      <c r="D135" s="49"/>
      <c r="E135" s="50"/>
      <c r="F135" s="49"/>
      <c r="G135" s="55"/>
      <c r="H135" s="56"/>
      <c r="I135" s="57" t="str">
        <f t="shared" ref="I135:I166" si="32">IF(OR(G135="",H135="",N(G135)=0),"",H135/G135)</f>
        <v/>
      </c>
      <c r="J135" s="58"/>
      <c r="K135" s="49"/>
      <c r="L135" s="59" t="str">
        <f t="shared" si="28"/>
        <v/>
      </c>
      <c r="M135" s="60" t="str">
        <f t="shared" ref="M135:M166" si="33">IF(OR(C135="",J135&lt;&gt;"Oui",R135="",N(E135)&lt;=N(R135)),"",S135/(E135-R135)*100)</f>
        <v/>
      </c>
      <c r="N135" s="61" t="str">
        <f t="shared" ref="N135:N166" si="34">IF(OR(M135="",I135=""),"",M135*I135)</f>
        <v/>
      </c>
      <c r="O135" s="53" t="str">
        <f t="shared" si="29"/>
        <v/>
      </c>
      <c r="P135" s="49"/>
      <c r="R135" s="62" t="str">
        <f t="shared" si="30"/>
        <v/>
      </c>
      <c r="S135" s="62" t="str">
        <f t="shared" si="31"/>
        <v/>
      </c>
      <c r="T135" s="62" t="str">
        <f t="shared" ref="T135:T166" si="35">IF(M135="","",E135-R135)</f>
        <v/>
      </c>
    </row>
    <row r="136" spans="2:20" ht="18" customHeight="1" x14ac:dyDescent="0.25">
      <c r="B136" s="47" t="str">
        <f>IF(C136="","",COUNT($C$7:C136))</f>
        <v/>
      </c>
      <c r="C136" s="48"/>
      <c r="D136" s="49"/>
      <c r="E136" s="50"/>
      <c r="F136" s="49"/>
      <c r="G136" s="55"/>
      <c r="H136" s="56"/>
      <c r="I136" s="57" t="str">
        <f t="shared" si="32"/>
        <v/>
      </c>
      <c r="J136" s="58"/>
      <c r="K136" s="49"/>
      <c r="L136" s="59" t="str">
        <f t="shared" ref="L136:L167" si="36">IF(OR(C136="",E136="",E135=""),"",E136-E135)</f>
        <v/>
      </c>
      <c r="M136" s="60" t="str">
        <f t="shared" si="33"/>
        <v/>
      </c>
      <c r="N136" s="61" t="str">
        <f t="shared" si="34"/>
        <v/>
      </c>
      <c r="O136" s="53" t="str">
        <f t="shared" ref="O136:O167" si="37">IF(C136="","",IF(OR(E136="",G136="",H136=""),"Incomplet",IF(AND(ISNUMBER(E135),E136&lt;E135),"Km incohérent",IF(AND(N(Capacite)&gt;0,G136&gt;Capacite*1.02),"Quantité &gt; réservoir",IF(ISNUMBER(M136),IF(AND(ConsoMoyenne&gt;0,ABS(M136/MAX(ConsoMoyenne,0.0001)-1)&gt;SeuilConso),"Conso. atypique","Conforme"),"Conforme")))))</f>
        <v/>
      </c>
      <c r="P136" s="49"/>
      <c r="R136" s="62" t="str">
        <f t="shared" ref="R136:R167" si="38">IF(C136="","",IF(J135="Oui",E135,R135))</f>
        <v/>
      </c>
      <c r="S136" s="62" t="str">
        <f t="shared" ref="S136:S167" si="39">IF(C136="","",IF(J135="Oui",N(G136),N(S135)+N(G136)))</f>
        <v/>
      </c>
      <c r="T136" s="62" t="str">
        <f t="shared" si="35"/>
        <v/>
      </c>
    </row>
    <row r="137" spans="2:20" ht="18" customHeight="1" x14ac:dyDescent="0.25">
      <c r="B137" s="47" t="str">
        <f>IF(C137="","",COUNT($C$7:C137))</f>
        <v/>
      </c>
      <c r="C137" s="48"/>
      <c r="D137" s="49"/>
      <c r="E137" s="50"/>
      <c r="F137" s="49"/>
      <c r="G137" s="55"/>
      <c r="H137" s="56"/>
      <c r="I137" s="57" t="str">
        <f t="shared" si="32"/>
        <v/>
      </c>
      <c r="J137" s="58"/>
      <c r="K137" s="49"/>
      <c r="L137" s="59" t="str">
        <f t="shared" si="36"/>
        <v/>
      </c>
      <c r="M137" s="60" t="str">
        <f t="shared" si="33"/>
        <v/>
      </c>
      <c r="N137" s="61" t="str">
        <f t="shared" si="34"/>
        <v/>
      </c>
      <c r="O137" s="53" t="str">
        <f t="shared" si="37"/>
        <v/>
      </c>
      <c r="P137" s="49"/>
      <c r="R137" s="62" t="str">
        <f t="shared" si="38"/>
        <v/>
      </c>
      <c r="S137" s="62" t="str">
        <f t="shared" si="39"/>
        <v/>
      </c>
      <c r="T137" s="62" t="str">
        <f t="shared" si="35"/>
        <v/>
      </c>
    </row>
    <row r="138" spans="2:20" ht="18" customHeight="1" x14ac:dyDescent="0.25">
      <c r="B138" s="47" t="str">
        <f>IF(C138="","",COUNT($C$7:C138))</f>
        <v/>
      </c>
      <c r="C138" s="48"/>
      <c r="D138" s="49"/>
      <c r="E138" s="50"/>
      <c r="F138" s="49"/>
      <c r="G138" s="55"/>
      <c r="H138" s="56"/>
      <c r="I138" s="57" t="str">
        <f t="shared" si="32"/>
        <v/>
      </c>
      <c r="J138" s="58"/>
      <c r="K138" s="49"/>
      <c r="L138" s="59" t="str">
        <f t="shared" si="36"/>
        <v/>
      </c>
      <c r="M138" s="60" t="str">
        <f t="shared" si="33"/>
        <v/>
      </c>
      <c r="N138" s="61" t="str">
        <f t="shared" si="34"/>
        <v/>
      </c>
      <c r="O138" s="53" t="str">
        <f t="shared" si="37"/>
        <v/>
      </c>
      <c r="P138" s="49"/>
      <c r="R138" s="62" t="str">
        <f t="shared" si="38"/>
        <v/>
      </c>
      <c r="S138" s="62" t="str">
        <f t="shared" si="39"/>
        <v/>
      </c>
      <c r="T138" s="62" t="str">
        <f t="shared" si="35"/>
        <v/>
      </c>
    </row>
    <row r="139" spans="2:20" ht="18" customHeight="1" x14ac:dyDescent="0.25">
      <c r="B139" s="47" t="str">
        <f>IF(C139="","",COUNT($C$7:C139))</f>
        <v/>
      </c>
      <c r="C139" s="48"/>
      <c r="D139" s="49"/>
      <c r="E139" s="50"/>
      <c r="F139" s="49"/>
      <c r="G139" s="55"/>
      <c r="H139" s="56"/>
      <c r="I139" s="57" t="str">
        <f t="shared" si="32"/>
        <v/>
      </c>
      <c r="J139" s="58"/>
      <c r="K139" s="49"/>
      <c r="L139" s="59" t="str">
        <f t="shared" si="36"/>
        <v/>
      </c>
      <c r="M139" s="60" t="str">
        <f t="shared" si="33"/>
        <v/>
      </c>
      <c r="N139" s="61" t="str">
        <f t="shared" si="34"/>
        <v/>
      </c>
      <c r="O139" s="53" t="str">
        <f t="shared" si="37"/>
        <v/>
      </c>
      <c r="P139" s="49"/>
      <c r="R139" s="62" t="str">
        <f t="shared" si="38"/>
        <v/>
      </c>
      <c r="S139" s="62" t="str">
        <f t="shared" si="39"/>
        <v/>
      </c>
      <c r="T139" s="62" t="str">
        <f t="shared" si="35"/>
        <v/>
      </c>
    </row>
    <row r="140" spans="2:20" ht="18" customHeight="1" x14ac:dyDescent="0.25">
      <c r="B140" s="47" t="str">
        <f>IF(C140="","",COUNT($C$7:C140))</f>
        <v/>
      </c>
      <c r="C140" s="48"/>
      <c r="D140" s="49"/>
      <c r="E140" s="50"/>
      <c r="F140" s="49"/>
      <c r="G140" s="55"/>
      <c r="H140" s="56"/>
      <c r="I140" s="57" t="str">
        <f t="shared" si="32"/>
        <v/>
      </c>
      <c r="J140" s="58"/>
      <c r="K140" s="49"/>
      <c r="L140" s="59" t="str">
        <f t="shared" si="36"/>
        <v/>
      </c>
      <c r="M140" s="60" t="str">
        <f t="shared" si="33"/>
        <v/>
      </c>
      <c r="N140" s="61" t="str">
        <f t="shared" si="34"/>
        <v/>
      </c>
      <c r="O140" s="53" t="str">
        <f t="shared" si="37"/>
        <v/>
      </c>
      <c r="P140" s="49"/>
      <c r="R140" s="62" t="str">
        <f t="shared" si="38"/>
        <v/>
      </c>
      <c r="S140" s="62" t="str">
        <f t="shared" si="39"/>
        <v/>
      </c>
      <c r="T140" s="62" t="str">
        <f t="shared" si="35"/>
        <v/>
      </c>
    </row>
    <row r="141" spans="2:20" ht="18" customHeight="1" x14ac:dyDescent="0.25">
      <c r="B141" s="47" t="str">
        <f>IF(C141="","",COUNT($C$7:C141))</f>
        <v/>
      </c>
      <c r="C141" s="48"/>
      <c r="D141" s="49"/>
      <c r="E141" s="50"/>
      <c r="F141" s="49"/>
      <c r="G141" s="55"/>
      <c r="H141" s="56"/>
      <c r="I141" s="57" t="str">
        <f t="shared" si="32"/>
        <v/>
      </c>
      <c r="J141" s="58"/>
      <c r="K141" s="49"/>
      <c r="L141" s="59" t="str">
        <f t="shared" si="36"/>
        <v/>
      </c>
      <c r="M141" s="60" t="str">
        <f t="shared" si="33"/>
        <v/>
      </c>
      <c r="N141" s="61" t="str">
        <f t="shared" si="34"/>
        <v/>
      </c>
      <c r="O141" s="53" t="str">
        <f t="shared" si="37"/>
        <v/>
      </c>
      <c r="P141" s="49"/>
      <c r="R141" s="62" t="str">
        <f t="shared" si="38"/>
        <v/>
      </c>
      <c r="S141" s="62" t="str">
        <f t="shared" si="39"/>
        <v/>
      </c>
      <c r="T141" s="62" t="str">
        <f t="shared" si="35"/>
        <v/>
      </c>
    </row>
    <row r="142" spans="2:20" ht="18" customHeight="1" x14ac:dyDescent="0.25">
      <c r="B142" s="47" t="str">
        <f>IF(C142="","",COUNT($C$7:C142))</f>
        <v/>
      </c>
      <c r="C142" s="48"/>
      <c r="D142" s="49"/>
      <c r="E142" s="50"/>
      <c r="F142" s="49"/>
      <c r="G142" s="55"/>
      <c r="H142" s="56"/>
      <c r="I142" s="57" t="str">
        <f t="shared" si="32"/>
        <v/>
      </c>
      <c r="J142" s="58"/>
      <c r="K142" s="49"/>
      <c r="L142" s="59" t="str">
        <f t="shared" si="36"/>
        <v/>
      </c>
      <c r="M142" s="60" t="str">
        <f t="shared" si="33"/>
        <v/>
      </c>
      <c r="N142" s="61" t="str">
        <f t="shared" si="34"/>
        <v/>
      </c>
      <c r="O142" s="53" t="str">
        <f t="shared" si="37"/>
        <v/>
      </c>
      <c r="P142" s="49"/>
      <c r="R142" s="62" t="str">
        <f t="shared" si="38"/>
        <v/>
      </c>
      <c r="S142" s="62" t="str">
        <f t="shared" si="39"/>
        <v/>
      </c>
      <c r="T142" s="62" t="str">
        <f t="shared" si="35"/>
        <v/>
      </c>
    </row>
    <row r="143" spans="2:20" ht="18" customHeight="1" x14ac:dyDescent="0.25">
      <c r="B143" s="47" t="str">
        <f>IF(C143="","",COUNT($C$7:C143))</f>
        <v/>
      </c>
      <c r="C143" s="48"/>
      <c r="D143" s="49"/>
      <c r="E143" s="50"/>
      <c r="F143" s="49"/>
      <c r="G143" s="55"/>
      <c r="H143" s="56"/>
      <c r="I143" s="57" t="str">
        <f t="shared" si="32"/>
        <v/>
      </c>
      <c r="J143" s="58"/>
      <c r="K143" s="49"/>
      <c r="L143" s="59" t="str">
        <f t="shared" si="36"/>
        <v/>
      </c>
      <c r="M143" s="60" t="str">
        <f t="shared" si="33"/>
        <v/>
      </c>
      <c r="N143" s="61" t="str">
        <f t="shared" si="34"/>
        <v/>
      </c>
      <c r="O143" s="53" t="str">
        <f t="shared" si="37"/>
        <v/>
      </c>
      <c r="P143" s="49"/>
      <c r="R143" s="62" t="str">
        <f t="shared" si="38"/>
        <v/>
      </c>
      <c r="S143" s="62" t="str">
        <f t="shared" si="39"/>
        <v/>
      </c>
      <c r="T143" s="62" t="str">
        <f t="shared" si="35"/>
        <v/>
      </c>
    </row>
    <row r="144" spans="2:20" ht="18" customHeight="1" x14ac:dyDescent="0.25">
      <c r="B144" s="47" t="str">
        <f>IF(C144="","",COUNT($C$7:C144))</f>
        <v/>
      </c>
      <c r="C144" s="48"/>
      <c r="D144" s="49"/>
      <c r="E144" s="50"/>
      <c r="F144" s="49"/>
      <c r="G144" s="55"/>
      <c r="H144" s="56"/>
      <c r="I144" s="57" t="str">
        <f t="shared" si="32"/>
        <v/>
      </c>
      <c r="J144" s="58"/>
      <c r="K144" s="49"/>
      <c r="L144" s="59" t="str">
        <f t="shared" si="36"/>
        <v/>
      </c>
      <c r="M144" s="60" t="str">
        <f t="shared" si="33"/>
        <v/>
      </c>
      <c r="N144" s="61" t="str">
        <f t="shared" si="34"/>
        <v/>
      </c>
      <c r="O144" s="53" t="str">
        <f t="shared" si="37"/>
        <v/>
      </c>
      <c r="P144" s="49"/>
      <c r="R144" s="62" t="str">
        <f t="shared" si="38"/>
        <v/>
      </c>
      <c r="S144" s="62" t="str">
        <f t="shared" si="39"/>
        <v/>
      </c>
      <c r="T144" s="62" t="str">
        <f t="shared" si="35"/>
        <v/>
      </c>
    </row>
    <row r="145" spans="2:20" ht="18" customHeight="1" x14ac:dyDescent="0.25">
      <c r="B145" s="47" t="str">
        <f>IF(C145="","",COUNT($C$7:C145))</f>
        <v/>
      </c>
      <c r="C145" s="48"/>
      <c r="D145" s="49"/>
      <c r="E145" s="50"/>
      <c r="F145" s="49"/>
      <c r="G145" s="55"/>
      <c r="H145" s="56"/>
      <c r="I145" s="57" t="str">
        <f t="shared" si="32"/>
        <v/>
      </c>
      <c r="J145" s="58"/>
      <c r="K145" s="49"/>
      <c r="L145" s="59" t="str">
        <f t="shared" si="36"/>
        <v/>
      </c>
      <c r="M145" s="60" t="str">
        <f t="shared" si="33"/>
        <v/>
      </c>
      <c r="N145" s="61" t="str">
        <f t="shared" si="34"/>
        <v/>
      </c>
      <c r="O145" s="53" t="str">
        <f t="shared" si="37"/>
        <v/>
      </c>
      <c r="P145" s="49"/>
      <c r="R145" s="62" t="str">
        <f t="shared" si="38"/>
        <v/>
      </c>
      <c r="S145" s="62" t="str">
        <f t="shared" si="39"/>
        <v/>
      </c>
      <c r="T145" s="62" t="str">
        <f t="shared" si="35"/>
        <v/>
      </c>
    </row>
    <row r="146" spans="2:20" ht="18" customHeight="1" x14ac:dyDescent="0.25">
      <c r="B146" s="47" t="str">
        <f>IF(C146="","",COUNT($C$7:C146))</f>
        <v/>
      </c>
      <c r="C146" s="48"/>
      <c r="D146" s="49"/>
      <c r="E146" s="50"/>
      <c r="F146" s="49"/>
      <c r="G146" s="55"/>
      <c r="H146" s="56"/>
      <c r="I146" s="57" t="str">
        <f t="shared" si="32"/>
        <v/>
      </c>
      <c r="J146" s="58"/>
      <c r="K146" s="49"/>
      <c r="L146" s="59" t="str">
        <f t="shared" si="36"/>
        <v/>
      </c>
      <c r="M146" s="60" t="str">
        <f t="shared" si="33"/>
        <v/>
      </c>
      <c r="N146" s="61" t="str">
        <f t="shared" si="34"/>
        <v/>
      </c>
      <c r="O146" s="53" t="str">
        <f t="shared" si="37"/>
        <v/>
      </c>
      <c r="P146" s="49"/>
      <c r="R146" s="62" t="str">
        <f t="shared" si="38"/>
        <v/>
      </c>
      <c r="S146" s="62" t="str">
        <f t="shared" si="39"/>
        <v/>
      </c>
      <c r="T146" s="62" t="str">
        <f t="shared" si="35"/>
        <v/>
      </c>
    </row>
    <row r="147" spans="2:20" ht="18" customHeight="1" x14ac:dyDescent="0.25">
      <c r="B147" s="47" t="str">
        <f>IF(C147="","",COUNT($C$7:C147))</f>
        <v/>
      </c>
      <c r="C147" s="48"/>
      <c r="D147" s="49"/>
      <c r="E147" s="50"/>
      <c r="F147" s="49"/>
      <c r="G147" s="55"/>
      <c r="H147" s="56"/>
      <c r="I147" s="57" t="str">
        <f t="shared" si="32"/>
        <v/>
      </c>
      <c r="J147" s="58"/>
      <c r="K147" s="49"/>
      <c r="L147" s="59" t="str">
        <f t="shared" si="36"/>
        <v/>
      </c>
      <c r="M147" s="60" t="str">
        <f t="shared" si="33"/>
        <v/>
      </c>
      <c r="N147" s="61" t="str">
        <f t="shared" si="34"/>
        <v/>
      </c>
      <c r="O147" s="53" t="str">
        <f t="shared" si="37"/>
        <v/>
      </c>
      <c r="P147" s="49"/>
      <c r="R147" s="62" t="str">
        <f t="shared" si="38"/>
        <v/>
      </c>
      <c r="S147" s="62" t="str">
        <f t="shared" si="39"/>
        <v/>
      </c>
      <c r="T147" s="62" t="str">
        <f t="shared" si="35"/>
        <v/>
      </c>
    </row>
    <row r="148" spans="2:20" ht="18" customHeight="1" x14ac:dyDescent="0.25">
      <c r="B148" s="47" t="str">
        <f>IF(C148="","",COUNT($C$7:C148))</f>
        <v/>
      </c>
      <c r="C148" s="48"/>
      <c r="D148" s="49"/>
      <c r="E148" s="50"/>
      <c r="F148" s="49"/>
      <c r="G148" s="55"/>
      <c r="H148" s="56"/>
      <c r="I148" s="57" t="str">
        <f t="shared" si="32"/>
        <v/>
      </c>
      <c r="J148" s="58"/>
      <c r="K148" s="49"/>
      <c r="L148" s="59" t="str">
        <f t="shared" si="36"/>
        <v/>
      </c>
      <c r="M148" s="60" t="str">
        <f t="shared" si="33"/>
        <v/>
      </c>
      <c r="N148" s="61" t="str">
        <f t="shared" si="34"/>
        <v/>
      </c>
      <c r="O148" s="53" t="str">
        <f t="shared" si="37"/>
        <v/>
      </c>
      <c r="P148" s="49"/>
      <c r="R148" s="62" t="str">
        <f t="shared" si="38"/>
        <v/>
      </c>
      <c r="S148" s="62" t="str">
        <f t="shared" si="39"/>
        <v/>
      </c>
      <c r="T148" s="62" t="str">
        <f t="shared" si="35"/>
        <v/>
      </c>
    </row>
    <row r="149" spans="2:20" ht="18" customHeight="1" x14ac:dyDescent="0.25">
      <c r="B149" s="47" t="str">
        <f>IF(C149="","",COUNT($C$7:C149))</f>
        <v/>
      </c>
      <c r="C149" s="48"/>
      <c r="D149" s="49"/>
      <c r="E149" s="50"/>
      <c r="F149" s="49"/>
      <c r="G149" s="55"/>
      <c r="H149" s="56"/>
      <c r="I149" s="57" t="str">
        <f t="shared" si="32"/>
        <v/>
      </c>
      <c r="J149" s="58"/>
      <c r="K149" s="49"/>
      <c r="L149" s="59" t="str">
        <f t="shared" si="36"/>
        <v/>
      </c>
      <c r="M149" s="60" t="str">
        <f t="shared" si="33"/>
        <v/>
      </c>
      <c r="N149" s="61" t="str">
        <f t="shared" si="34"/>
        <v/>
      </c>
      <c r="O149" s="53" t="str">
        <f t="shared" si="37"/>
        <v/>
      </c>
      <c r="P149" s="49"/>
      <c r="R149" s="62" t="str">
        <f t="shared" si="38"/>
        <v/>
      </c>
      <c r="S149" s="62" t="str">
        <f t="shared" si="39"/>
        <v/>
      </c>
      <c r="T149" s="62" t="str">
        <f t="shared" si="35"/>
        <v/>
      </c>
    </row>
    <row r="150" spans="2:20" ht="18" customHeight="1" x14ac:dyDescent="0.25">
      <c r="B150" s="47" t="str">
        <f>IF(C150="","",COUNT($C$7:C150))</f>
        <v/>
      </c>
      <c r="C150" s="48"/>
      <c r="D150" s="49"/>
      <c r="E150" s="50"/>
      <c r="F150" s="49"/>
      <c r="G150" s="55"/>
      <c r="H150" s="56"/>
      <c r="I150" s="57" t="str">
        <f t="shared" si="32"/>
        <v/>
      </c>
      <c r="J150" s="58"/>
      <c r="K150" s="49"/>
      <c r="L150" s="59" t="str">
        <f t="shared" si="36"/>
        <v/>
      </c>
      <c r="M150" s="60" t="str">
        <f t="shared" si="33"/>
        <v/>
      </c>
      <c r="N150" s="61" t="str">
        <f t="shared" si="34"/>
        <v/>
      </c>
      <c r="O150" s="53" t="str">
        <f t="shared" si="37"/>
        <v/>
      </c>
      <c r="P150" s="49"/>
      <c r="R150" s="62" t="str">
        <f t="shared" si="38"/>
        <v/>
      </c>
      <c r="S150" s="62" t="str">
        <f t="shared" si="39"/>
        <v/>
      </c>
      <c r="T150" s="62" t="str">
        <f t="shared" si="35"/>
        <v/>
      </c>
    </row>
    <row r="151" spans="2:20" ht="18" customHeight="1" x14ac:dyDescent="0.25">
      <c r="B151" s="47" t="str">
        <f>IF(C151="","",COUNT($C$7:C151))</f>
        <v/>
      </c>
      <c r="C151" s="48"/>
      <c r="D151" s="49"/>
      <c r="E151" s="50"/>
      <c r="F151" s="49"/>
      <c r="G151" s="55"/>
      <c r="H151" s="56"/>
      <c r="I151" s="57" t="str">
        <f t="shared" si="32"/>
        <v/>
      </c>
      <c r="J151" s="58"/>
      <c r="K151" s="49"/>
      <c r="L151" s="59" t="str">
        <f t="shared" si="36"/>
        <v/>
      </c>
      <c r="M151" s="60" t="str">
        <f t="shared" si="33"/>
        <v/>
      </c>
      <c r="N151" s="61" t="str">
        <f t="shared" si="34"/>
        <v/>
      </c>
      <c r="O151" s="53" t="str">
        <f t="shared" si="37"/>
        <v/>
      </c>
      <c r="P151" s="49"/>
      <c r="R151" s="62" t="str">
        <f t="shared" si="38"/>
        <v/>
      </c>
      <c r="S151" s="62" t="str">
        <f t="shared" si="39"/>
        <v/>
      </c>
      <c r="T151" s="62" t="str">
        <f t="shared" si="35"/>
        <v/>
      </c>
    </row>
    <row r="152" spans="2:20" ht="18" customHeight="1" x14ac:dyDescent="0.25">
      <c r="B152" s="47" t="str">
        <f>IF(C152="","",COUNT($C$7:C152))</f>
        <v/>
      </c>
      <c r="C152" s="48"/>
      <c r="D152" s="49"/>
      <c r="E152" s="50"/>
      <c r="F152" s="49"/>
      <c r="G152" s="55"/>
      <c r="H152" s="56"/>
      <c r="I152" s="57" t="str">
        <f t="shared" si="32"/>
        <v/>
      </c>
      <c r="J152" s="58"/>
      <c r="K152" s="49"/>
      <c r="L152" s="59" t="str">
        <f t="shared" si="36"/>
        <v/>
      </c>
      <c r="M152" s="60" t="str">
        <f t="shared" si="33"/>
        <v/>
      </c>
      <c r="N152" s="61" t="str">
        <f t="shared" si="34"/>
        <v/>
      </c>
      <c r="O152" s="53" t="str">
        <f t="shared" si="37"/>
        <v/>
      </c>
      <c r="P152" s="49"/>
      <c r="R152" s="62" t="str">
        <f t="shared" si="38"/>
        <v/>
      </c>
      <c r="S152" s="62" t="str">
        <f t="shared" si="39"/>
        <v/>
      </c>
      <c r="T152" s="62" t="str">
        <f t="shared" si="35"/>
        <v/>
      </c>
    </row>
    <row r="153" spans="2:20" ht="18" customHeight="1" x14ac:dyDescent="0.25">
      <c r="B153" s="47" t="str">
        <f>IF(C153="","",COUNT($C$7:C153))</f>
        <v/>
      </c>
      <c r="C153" s="48"/>
      <c r="D153" s="49"/>
      <c r="E153" s="50"/>
      <c r="F153" s="49"/>
      <c r="G153" s="55"/>
      <c r="H153" s="56"/>
      <c r="I153" s="57" t="str">
        <f t="shared" si="32"/>
        <v/>
      </c>
      <c r="J153" s="58"/>
      <c r="K153" s="49"/>
      <c r="L153" s="59" t="str">
        <f t="shared" si="36"/>
        <v/>
      </c>
      <c r="M153" s="60" t="str">
        <f t="shared" si="33"/>
        <v/>
      </c>
      <c r="N153" s="61" t="str">
        <f t="shared" si="34"/>
        <v/>
      </c>
      <c r="O153" s="53" t="str">
        <f t="shared" si="37"/>
        <v/>
      </c>
      <c r="P153" s="49"/>
      <c r="R153" s="62" t="str">
        <f t="shared" si="38"/>
        <v/>
      </c>
      <c r="S153" s="62" t="str">
        <f t="shared" si="39"/>
        <v/>
      </c>
      <c r="T153" s="62" t="str">
        <f t="shared" si="35"/>
        <v/>
      </c>
    </row>
    <row r="154" spans="2:20" ht="18" customHeight="1" x14ac:dyDescent="0.25">
      <c r="B154" s="47" t="str">
        <f>IF(C154="","",COUNT($C$7:C154))</f>
        <v/>
      </c>
      <c r="C154" s="48"/>
      <c r="D154" s="49"/>
      <c r="E154" s="50"/>
      <c r="F154" s="49"/>
      <c r="G154" s="55"/>
      <c r="H154" s="56"/>
      <c r="I154" s="57" t="str">
        <f t="shared" si="32"/>
        <v/>
      </c>
      <c r="J154" s="58"/>
      <c r="K154" s="49"/>
      <c r="L154" s="59" t="str">
        <f t="shared" si="36"/>
        <v/>
      </c>
      <c r="M154" s="60" t="str">
        <f t="shared" si="33"/>
        <v/>
      </c>
      <c r="N154" s="61" t="str">
        <f t="shared" si="34"/>
        <v/>
      </c>
      <c r="O154" s="53" t="str">
        <f t="shared" si="37"/>
        <v/>
      </c>
      <c r="P154" s="49"/>
      <c r="R154" s="62" t="str">
        <f t="shared" si="38"/>
        <v/>
      </c>
      <c r="S154" s="62" t="str">
        <f t="shared" si="39"/>
        <v/>
      </c>
      <c r="T154" s="62" t="str">
        <f t="shared" si="35"/>
        <v/>
      </c>
    </row>
    <row r="155" spans="2:20" ht="18" customHeight="1" x14ac:dyDescent="0.25">
      <c r="B155" s="47" t="str">
        <f>IF(C155="","",COUNT($C$7:C155))</f>
        <v/>
      </c>
      <c r="C155" s="48"/>
      <c r="D155" s="49"/>
      <c r="E155" s="50"/>
      <c r="F155" s="49"/>
      <c r="G155" s="55"/>
      <c r="H155" s="56"/>
      <c r="I155" s="57" t="str">
        <f t="shared" si="32"/>
        <v/>
      </c>
      <c r="J155" s="58"/>
      <c r="K155" s="49"/>
      <c r="L155" s="59" t="str">
        <f t="shared" si="36"/>
        <v/>
      </c>
      <c r="M155" s="60" t="str">
        <f t="shared" si="33"/>
        <v/>
      </c>
      <c r="N155" s="61" t="str">
        <f t="shared" si="34"/>
        <v/>
      </c>
      <c r="O155" s="53" t="str">
        <f t="shared" si="37"/>
        <v/>
      </c>
      <c r="P155" s="49"/>
      <c r="R155" s="62" t="str">
        <f t="shared" si="38"/>
        <v/>
      </c>
      <c r="S155" s="62" t="str">
        <f t="shared" si="39"/>
        <v/>
      </c>
      <c r="T155" s="62" t="str">
        <f t="shared" si="35"/>
        <v/>
      </c>
    </row>
    <row r="156" spans="2:20" ht="18" customHeight="1" x14ac:dyDescent="0.25">
      <c r="B156" s="47" t="str">
        <f>IF(C156="","",COUNT($C$7:C156))</f>
        <v/>
      </c>
      <c r="C156" s="48"/>
      <c r="D156" s="49"/>
      <c r="E156" s="50"/>
      <c r="F156" s="49"/>
      <c r="G156" s="55"/>
      <c r="H156" s="56"/>
      <c r="I156" s="57" t="str">
        <f t="shared" si="32"/>
        <v/>
      </c>
      <c r="J156" s="58"/>
      <c r="K156" s="49"/>
      <c r="L156" s="59" t="str">
        <f t="shared" si="36"/>
        <v/>
      </c>
      <c r="M156" s="60" t="str">
        <f t="shared" si="33"/>
        <v/>
      </c>
      <c r="N156" s="61" t="str">
        <f t="shared" si="34"/>
        <v/>
      </c>
      <c r="O156" s="53" t="str">
        <f t="shared" si="37"/>
        <v/>
      </c>
      <c r="P156" s="49"/>
      <c r="R156" s="62" t="str">
        <f t="shared" si="38"/>
        <v/>
      </c>
      <c r="S156" s="62" t="str">
        <f t="shared" si="39"/>
        <v/>
      </c>
      <c r="T156" s="62" t="str">
        <f t="shared" si="35"/>
        <v/>
      </c>
    </row>
    <row r="157" spans="2:20" ht="18" customHeight="1" x14ac:dyDescent="0.25">
      <c r="B157" s="47" t="str">
        <f>IF(C157="","",COUNT($C$7:C157))</f>
        <v/>
      </c>
      <c r="C157" s="48"/>
      <c r="D157" s="49"/>
      <c r="E157" s="50"/>
      <c r="F157" s="49"/>
      <c r="G157" s="55"/>
      <c r="H157" s="56"/>
      <c r="I157" s="57" t="str">
        <f t="shared" si="32"/>
        <v/>
      </c>
      <c r="J157" s="58"/>
      <c r="K157" s="49"/>
      <c r="L157" s="59" t="str">
        <f t="shared" si="36"/>
        <v/>
      </c>
      <c r="M157" s="60" t="str">
        <f t="shared" si="33"/>
        <v/>
      </c>
      <c r="N157" s="61" t="str">
        <f t="shared" si="34"/>
        <v/>
      </c>
      <c r="O157" s="53" t="str">
        <f t="shared" si="37"/>
        <v/>
      </c>
      <c r="P157" s="49"/>
      <c r="R157" s="62" t="str">
        <f t="shared" si="38"/>
        <v/>
      </c>
      <c r="S157" s="62" t="str">
        <f t="shared" si="39"/>
        <v/>
      </c>
      <c r="T157" s="62" t="str">
        <f t="shared" si="35"/>
        <v/>
      </c>
    </row>
    <row r="158" spans="2:20" ht="18" customHeight="1" x14ac:dyDescent="0.25">
      <c r="B158" s="47" t="str">
        <f>IF(C158="","",COUNT($C$7:C158))</f>
        <v/>
      </c>
      <c r="C158" s="48"/>
      <c r="D158" s="49"/>
      <c r="E158" s="50"/>
      <c r="F158" s="49"/>
      <c r="G158" s="55"/>
      <c r="H158" s="56"/>
      <c r="I158" s="57" t="str">
        <f t="shared" si="32"/>
        <v/>
      </c>
      <c r="J158" s="58"/>
      <c r="K158" s="49"/>
      <c r="L158" s="59" t="str">
        <f t="shared" si="36"/>
        <v/>
      </c>
      <c r="M158" s="60" t="str">
        <f t="shared" si="33"/>
        <v/>
      </c>
      <c r="N158" s="61" t="str">
        <f t="shared" si="34"/>
        <v/>
      </c>
      <c r="O158" s="53" t="str">
        <f t="shared" si="37"/>
        <v/>
      </c>
      <c r="P158" s="49"/>
      <c r="R158" s="62" t="str">
        <f t="shared" si="38"/>
        <v/>
      </c>
      <c r="S158" s="62" t="str">
        <f t="shared" si="39"/>
        <v/>
      </c>
      <c r="T158" s="62" t="str">
        <f t="shared" si="35"/>
        <v/>
      </c>
    </row>
    <row r="159" spans="2:20" ht="18" customHeight="1" x14ac:dyDescent="0.25">
      <c r="B159" s="47" t="str">
        <f>IF(C159="","",COUNT($C$7:C159))</f>
        <v/>
      </c>
      <c r="C159" s="48"/>
      <c r="D159" s="49"/>
      <c r="E159" s="50"/>
      <c r="F159" s="49"/>
      <c r="G159" s="55"/>
      <c r="H159" s="56"/>
      <c r="I159" s="57" t="str">
        <f t="shared" si="32"/>
        <v/>
      </c>
      <c r="J159" s="58"/>
      <c r="K159" s="49"/>
      <c r="L159" s="59" t="str">
        <f t="shared" si="36"/>
        <v/>
      </c>
      <c r="M159" s="60" t="str">
        <f t="shared" si="33"/>
        <v/>
      </c>
      <c r="N159" s="61" t="str">
        <f t="shared" si="34"/>
        <v/>
      </c>
      <c r="O159" s="53" t="str">
        <f t="shared" si="37"/>
        <v/>
      </c>
      <c r="P159" s="49"/>
      <c r="R159" s="62" t="str">
        <f t="shared" si="38"/>
        <v/>
      </c>
      <c r="S159" s="62" t="str">
        <f t="shared" si="39"/>
        <v/>
      </c>
      <c r="T159" s="62" t="str">
        <f t="shared" si="35"/>
        <v/>
      </c>
    </row>
    <row r="160" spans="2:20" ht="18" customHeight="1" x14ac:dyDescent="0.25">
      <c r="B160" s="47" t="str">
        <f>IF(C160="","",COUNT($C$7:C160))</f>
        <v/>
      </c>
      <c r="C160" s="48"/>
      <c r="D160" s="49"/>
      <c r="E160" s="50"/>
      <c r="F160" s="49"/>
      <c r="G160" s="55"/>
      <c r="H160" s="56"/>
      <c r="I160" s="57" t="str">
        <f t="shared" si="32"/>
        <v/>
      </c>
      <c r="J160" s="58"/>
      <c r="K160" s="49"/>
      <c r="L160" s="59" t="str">
        <f t="shared" si="36"/>
        <v/>
      </c>
      <c r="M160" s="60" t="str">
        <f t="shared" si="33"/>
        <v/>
      </c>
      <c r="N160" s="61" t="str">
        <f t="shared" si="34"/>
        <v/>
      </c>
      <c r="O160" s="53" t="str">
        <f t="shared" si="37"/>
        <v/>
      </c>
      <c r="P160" s="49"/>
      <c r="R160" s="62" t="str">
        <f t="shared" si="38"/>
        <v/>
      </c>
      <c r="S160" s="62" t="str">
        <f t="shared" si="39"/>
        <v/>
      </c>
      <c r="T160" s="62" t="str">
        <f t="shared" si="35"/>
        <v/>
      </c>
    </row>
    <row r="161" spans="2:20" ht="18" customHeight="1" x14ac:dyDescent="0.25">
      <c r="B161" s="47" t="str">
        <f>IF(C161="","",COUNT($C$7:C161))</f>
        <v/>
      </c>
      <c r="C161" s="48"/>
      <c r="D161" s="49"/>
      <c r="E161" s="50"/>
      <c r="F161" s="49"/>
      <c r="G161" s="55"/>
      <c r="H161" s="56"/>
      <c r="I161" s="57" t="str">
        <f t="shared" si="32"/>
        <v/>
      </c>
      <c r="J161" s="58"/>
      <c r="K161" s="49"/>
      <c r="L161" s="59" t="str">
        <f t="shared" si="36"/>
        <v/>
      </c>
      <c r="M161" s="60" t="str">
        <f t="shared" si="33"/>
        <v/>
      </c>
      <c r="N161" s="61" t="str">
        <f t="shared" si="34"/>
        <v/>
      </c>
      <c r="O161" s="53" t="str">
        <f t="shared" si="37"/>
        <v/>
      </c>
      <c r="P161" s="49"/>
      <c r="R161" s="62" t="str">
        <f t="shared" si="38"/>
        <v/>
      </c>
      <c r="S161" s="62" t="str">
        <f t="shared" si="39"/>
        <v/>
      </c>
      <c r="T161" s="62" t="str">
        <f t="shared" si="35"/>
        <v/>
      </c>
    </row>
    <row r="162" spans="2:20" ht="18" customHeight="1" x14ac:dyDescent="0.25">
      <c r="B162" s="47" t="str">
        <f>IF(C162="","",COUNT($C$7:C162))</f>
        <v/>
      </c>
      <c r="C162" s="48"/>
      <c r="D162" s="49"/>
      <c r="E162" s="50"/>
      <c r="F162" s="49"/>
      <c r="G162" s="55"/>
      <c r="H162" s="56"/>
      <c r="I162" s="57" t="str">
        <f t="shared" si="32"/>
        <v/>
      </c>
      <c r="J162" s="58"/>
      <c r="K162" s="49"/>
      <c r="L162" s="59" t="str">
        <f t="shared" si="36"/>
        <v/>
      </c>
      <c r="M162" s="60" t="str">
        <f t="shared" si="33"/>
        <v/>
      </c>
      <c r="N162" s="61" t="str">
        <f t="shared" si="34"/>
        <v/>
      </c>
      <c r="O162" s="53" t="str">
        <f t="shared" si="37"/>
        <v/>
      </c>
      <c r="P162" s="49"/>
      <c r="R162" s="62" t="str">
        <f t="shared" si="38"/>
        <v/>
      </c>
      <c r="S162" s="62" t="str">
        <f t="shared" si="39"/>
        <v/>
      </c>
      <c r="T162" s="62" t="str">
        <f t="shared" si="35"/>
        <v/>
      </c>
    </row>
    <row r="163" spans="2:20" ht="18" customHeight="1" x14ac:dyDescent="0.25">
      <c r="B163" s="47" t="str">
        <f>IF(C163="","",COUNT($C$7:C163))</f>
        <v/>
      </c>
      <c r="C163" s="48"/>
      <c r="D163" s="49"/>
      <c r="E163" s="50"/>
      <c r="F163" s="49"/>
      <c r="G163" s="55"/>
      <c r="H163" s="56"/>
      <c r="I163" s="57" t="str">
        <f t="shared" si="32"/>
        <v/>
      </c>
      <c r="J163" s="58"/>
      <c r="K163" s="49"/>
      <c r="L163" s="59" t="str">
        <f t="shared" si="36"/>
        <v/>
      </c>
      <c r="M163" s="60" t="str">
        <f t="shared" si="33"/>
        <v/>
      </c>
      <c r="N163" s="61" t="str">
        <f t="shared" si="34"/>
        <v/>
      </c>
      <c r="O163" s="53" t="str">
        <f t="shared" si="37"/>
        <v/>
      </c>
      <c r="P163" s="49"/>
      <c r="R163" s="62" t="str">
        <f t="shared" si="38"/>
        <v/>
      </c>
      <c r="S163" s="62" t="str">
        <f t="shared" si="39"/>
        <v/>
      </c>
      <c r="T163" s="62" t="str">
        <f t="shared" si="35"/>
        <v/>
      </c>
    </row>
    <row r="164" spans="2:20" ht="18" customHeight="1" x14ac:dyDescent="0.25">
      <c r="B164" s="47" t="str">
        <f>IF(C164="","",COUNT($C$7:C164))</f>
        <v/>
      </c>
      <c r="C164" s="48"/>
      <c r="D164" s="49"/>
      <c r="E164" s="50"/>
      <c r="F164" s="49"/>
      <c r="G164" s="55"/>
      <c r="H164" s="56"/>
      <c r="I164" s="57" t="str">
        <f t="shared" si="32"/>
        <v/>
      </c>
      <c r="J164" s="58"/>
      <c r="K164" s="49"/>
      <c r="L164" s="59" t="str">
        <f t="shared" si="36"/>
        <v/>
      </c>
      <c r="M164" s="60" t="str">
        <f t="shared" si="33"/>
        <v/>
      </c>
      <c r="N164" s="61" t="str">
        <f t="shared" si="34"/>
        <v/>
      </c>
      <c r="O164" s="53" t="str">
        <f t="shared" si="37"/>
        <v/>
      </c>
      <c r="P164" s="49"/>
      <c r="R164" s="62" t="str">
        <f t="shared" si="38"/>
        <v/>
      </c>
      <c r="S164" s="62" t="str">
        <f t="shared" si="39"/>
        <v/>
      </c>
      <c r="T164" s="62" t="str">
        <f t="shared" si="35"/>
        <v/>
      </c>
    </row>
    <row r="165" spans="2:20" ht="18" customHeight="1" x14ac:dyDescent="0.25">
      <c r="B165" s="47" t="str">
        <f>IF(C165="","",COUNT($C$7:C165))</f>
        <v/>
      </c>
      <c r="C165" s="48"/>
      <c r="D165" s="49"/>
      <c r="E165" s="50"/>
      <c r="F165" s="49"/>
      <c r="G165" s="55"/>
      <c r="H165" s="56"/>
      <c r="I165" s="57" t="str">
        <f t="shared" si="32"/>
        <v/>
      </c>
      <c r="J165" s="58"/>
      <c r="K165" s="49"/>
      <c r="L165" s="59" t="str">
        <f t="shared" si="36"/>
        <v/>
      </c>
      <c r="M165" s="60" t="str">
        <f t="shared" si="33"/>
        <v/>
      </c>
      <c r="N165" s="61" t="str">
        <f t="shared" si="34"/>
        <v/>
      </c>
      <c r="O165" s="53" t="str">
        <f t="shared" si="37"/>
        <v/>
      </c>
      <c r="P165" s="49"/>
      <c r="R165" s="62" t="str">
        <f t="shared" si="38"/>
        <v/>
      </c>
      <c r="S165" s="62" t="str">
        <f t="shared" si="39"/>
        <v/>
      </c>
      <c r="T165" s="62" t="str">
        <f t="shared" si="35"/>
        <v/>
      </c>
    </row>
    <row r="166" spans="2:20" ht="18" customHeight="1" x14ac:dyDescent="0.25">
      <c r="B166" s="47" t="str">
        <f>IF(C166="","",COUNT($C$7:C166))</f>
        <v/>
      </c>
      <c r="C166" s="48"/>
      <c r="D166" s="49"/>
      <c r="E166" s="50"/>
      <c r="F166" s="49"/>
      <c r="G166" s="55"/>
      <c r="H166" s="56"/>
      <c r="I166" s="57" t="str">
        <f t="shared" si="32"/>
        <v/>
      </c>
      <c r="J166" s="58"/>
      <c r="K166" s="49"/>
      <c r="L166" s="59" t="str">
        <f t="shared" si="36"/>
        <v/>
      </c>
      <c r="M166" s="60" t="str">
        <f t="shared" si="33"/>
        <v/>
      </c>
      <c r="N166" s="61" t="str">
        <f t="shared" si="34"/>
        <v/>
      </c>
      <c r="O166" s="53" t="str">
        <f t="shared" si="37"/>
        <v/>
      </c>
      <c r="P166" s="49"/>
      <c r="R166" s="62" t="str">
        <f t="shared" si="38"/>
        <v/>
      </c>
      <c r="S166" s="62" t="str">
        <f t="shared" si="39"/>
        <v/>
      </c>
      <c r="T166" s="62" t="str">
        <f t="shared" si="35"/>
        <v/>
      </c>
    </row>
    <row r="167" spans="2:20" ht="18" customHeight="1" x14ac:dyDescent="0.25">
      <c r="B167" s="47" t="str">
        <f>IF(C167="","",COUNT($C$7:C167))</f>
        <v/>
      </c>
      <c r="C167" s="48"/>
      <c r="D167" s="49"/>
      <c r="E167" s="50"/>
      <c r="F167" s="49"/>
      <c r="G167" s="55"/>
      <c r="H167" s="56"/>
      <c r="I167" s="57" t="str">
        <f t="shared" ref="I167:I198" si="40">IF(OR(G167="",H167="",N(G167)=0),"",H167/G167)</f>
        <v/>
      </c>
      <c r="J167" s="58"/>
      <c r="K167" s="49"/>
      <c r="L167" s="59" t="str">
        <f t="shared" si="36"/>
        <v/>
      </c>
      <c r="M167" s="60" t="str">
        <f t="shared" ref="M167:M198" si="41">IF(OR(C167="",J167&lt;&gt;"Oui",R167="",N(E167)&lt;=N(R167)),"",S167/(E167-R167)*100)</f>
        <v/>
      </c>
      <c r="N167" s="61" t="str">
        <f t="shared" ref="N167:N198" si="42">IF(OR(M167="",I167=""),"",M167*I167)</f>
        <v/>
      </c>
      <c r="O167" s="53" t="str">
        <f t="shared" si="37"/>
        <v/>
      </c>
      <c r="P167" s="49"/>
      <c r="R167" s="62" t="str">
        <f t="shared" si="38"/>
        <v/>
      </c>
      <c r="S167" s="62" t="str">
        <f t="shared" si="39"/>
        <v/>
      </c>
      <c r="T167" s="62" t="str">
        <f t="shared" ref="T167:T198" si="43">IF(M167="","",E167-R167)</f>
        <v/>
      </c>
    </row>
    <row r="168" spans="2:20" ht="18" customHeight="1" x14ac:dyDescent="0.25">
      <c r="B168" s="47" t="str">
        <f>IF(C168="","",COUNT($C$7:C168))</f>
        <v/>
      </c>
      <c r="C168" s="48"/>
      <c r="D168" s="49"/>
      <c r="E168" s="50"/>
      <c r="F168" s="49"/>
      <c r="G168" s="55"/>
      <c r="H168" s="56"/>
      <c r="I168" s="57" t="str">
        <f t="shared" si="40"/>
        <v/>
      </c>
      <c r="J168" s="58"/>
      <c r="K168" s="49"/>
      <c r="L168" s="59" t="str">
        <f t="shared" ref="L168:L199" si="44">IF(OR(C168="",E168="",E167=""),"",E168-E167)</f>
        <v/>
      </c>
      <c r="M168" s="60" t="str">
        <f t="shared" si="41"/>
        <v/>
      </c>
      <c r="N168" s="61" t="str">
        <f t="shared" si="42"/>
        <v/>
      </c>
      <c r="O168" s="53" t="str">
        <f t="shared" ref="O168:O199" si="45">IF(C168="","",IF(OR(E168="",G168="",H168=""),"Incomplet",IF(AND(ISNUMBER(E167),E168&lt;E167),"Km incohérent",IF(AND(N(Capacite)&gt;0,G168&gt;Capacite*1.02),"Quantité &gt; réservoir",IF(ISNUMBER(M168),IF(AND(ConsoMoyenne&gt;0,ABS(M168/MAX(ConsoMoyenne,0.0001)-1)&gt;SeuilConso),"Conso. atypique","Conforme"),"Conforme")))))</f>
        <v/>
      </c>
      <c r="P168" s="49"/>
      <c r="R168" s="62" t="str">
        <f t="shared" ref="R168:R199" si="46">IF(C168="","",IF(J167="Oui",E167,R167))</f>
        <v/>
      </c>
      <c r="S168" s="62" t="str">
        <f t="shared" ref="S168:S199" si="47">IF(C168="","",IF(J167="Oui",N(G168),N(S167)+N(G168)))</f>
        <v/>
      </c>
      <c r="T168" s="62" t="str">
        <f t="shared" si="43"/>
        <v/>
      </c>
    </row>
    <row r="169" spans="2:20" ht="18" customHeight="1" x14ac:dyDescent="0.25">
      <c r="B169" s="47" t="str">
        <f>IF(C169="","",COUNT($C$7:C169))</f>
        <v/>
      </c>
      <c r="C169" s="48"/>
      <c r="D169" s="49"/>
      <c r="E169" s="50"/>
      <c r="F169" s="49"/>
      <c r="G169" s="55"/>
      <c r="H169" s="56"/>
      <c r="I169" s="57" t="str">
        <f t="shared" si="40"/>
        <v/>
      </c>
      <c r="J169" s="58"/>
      <c r="K169" s="49"/>
      <c r="L169" s="59" t="str">
        <f t="shared" si="44"/>
        <v/>
      </c>
      <c r="M169" s="60" t="str">
        <f t="shared" si="41"/>
        <v/>
      </c>
      <c r="N169" s="61" t="str">
        <f t="shared" si="42"/>
        <v/>
      </c>
      <c r="O169" s="53" t="str">
        <f t="shared" si="45"/>
        <v/>
      </c>
      <c r="P169" s="49"/>
      <c r="R169" s="62" t="str">
        <f t="shared" si="46"/>
        <v/>
      </c>
      <c r="S169" s="62" t="str">
        <f t="shared" si="47"/>
        <v/>
      </c>
      <c r="T169" s="62" t="str">
        <f t="shared" si="43"/>
        <v/>
      </c>
    </row>
    <row r="170" spans="2:20" ht="18" customHeight="1" x14ac:dyDescent="0.25">
      <c r="B170" s="47" t="str">
        <f>IF(C170="","",COUNT($C$7:C170))</f>
        <v/>
      </c>
      <c r="C170" s="48"/>
      <c r="D170" s="49"/>
      <c r="E170" s="50"/>
      <c r="F170" s="49"/>
      <c r="G170" s="55"/>
      <c r="H170" s="56"/>
      <c r="I170" s="57" t="str">
        <f t="shared" si="40"/>
        <v/>
      </c>
      <c r="J170" s="58"/>
      <c r="K170" s="49"/>
      <c r="L170" s="59" t="str">
        <f t="shared" si="44"/>
        <v/>
      </c>
      <c r="M170" s="60" t="str">
        <f t="shared" si="41"/>
        <v/>
      </c>
      <c r="N170" s="61" t="str">
        <f t="shared" si="42"/>
        <v/>
      </c>
      <c r="O170" s="53" t="str">
        <f t="shared" si="45"/>
        <v/>
      </c>
      <c r="P170" s="49"/>
      <c r="R170" s="62" t="str">
        <f t="shared" si="46"/>
        <v/>
      </c>
      <c r="S170" s="62" t="str">
        <f t="shared" si="47"/>
        <v/>
      </c>
      <c r="T170" s="62" t="str">
        <f t="shared" si="43"/>
        <v/>
      </c>
    </row>
    <row r="171" spans="2:20" ht="18" customHeight="1" x14ac:dyDescent="0.25">
      <c r="B171" s="47" t="str">
        <f>IF(C171="","",COUNT($C$7:C171))</f>
        <v/>
      </c>
      <c r="C171" s="48"/>
      <c r="D171" s="49"/>
      <c r="E171" s="50"/>
      <c r="F171" s="49"/>
      <c r="G171" s="55"/>
      <c r="H171" s="56"/>
      <c r="I171" s="57" t="str">
        <f t="shared" si="40"/>
        <v/>
      </c>
      <c r="J171" s="58"/>
      <c r="K171" s="49"/>
      <c r="L171" s="59" t="str">
        <f t="shared" si="44"/>
        <v/>
      </c>
      <c r="M171" s="60" t="str">
        <f t="shared" si="41"/>
        <v/>
      </c>
      <c r="N171" s="61" t="str">
        <f t="shared" si="42"/>
        <v/>
      </c>
      <c r="O171" s="53" t="str">
        <f t="shared" si="45"/>
        <v/>
      </c>
      <c r="P171" s="49"/>
      <c r="R171" s="62" t="str">
        <f t="shared" si="46"/>
        <v/>
      </c>
      <c r="S171" s="62" t="str">
        <f t="shared" si="47"/>
        <v/>
      </c>
      <c r="T171" s="62" t="str">
        <f t="shared" si="43"/>
        <v/>
      </c>
    </row>
    <row r="172" spans="2:20" ht="18" customHeight="1" x14ac:dyDescent="0.25">
      <c r="B172" s="47" t="str">
        <f>IF(C172="","",COUNT($C$7:C172))</f>
        <v/>
      </c>
      <c r="C172" s="48"/>
      <c r="D172" s="49"/>
      <c r="E172" s="50"/>
      <c r="F172" s="49"/>
      <c r="G172" s="55"/>
      <c r="H172" s="56"/>
      <c r="I172" s="57" t="str">
        <f t="shared" si="40"/>
        <v/>
      </c>
      <c r="J172" s="58"/>
      <c r="K172" s="49"/>
      <c r="L172" s="59" t="str">
        <f t="shared" si="44"/>
        <v/>
      </c>
      <c r="M172" s="60" t="str">
        <f t="shared" si="41"/>
        <v/>
      </c>
      <c r="N172" s="61" t="str">
        <f t="shared" si="42"/>
        <v/>
      </c>
      <c r="O172" s="53" t="str">
        <f t="shared" si="45"/>
        <v/>
      </c>
      <c r="P172" s="49"/>
      <c r="R172" s="62" t="str">
        <f t="shared" si="46"/>
        <v/>
      </c>
      <c r="S172" s="62" t="str">
        <f t="shared" si="47"/>
        <v/>
      </c>
      <c r="T172" s="62" t="str">
        <f t="shared" si="43"/>
        <v/>
      </c>
    </row>
    <row r="173" spans="2:20" ht="18" customHeight="1" x14ac:dyDescent="0.25">
      <c r="B173" s="47" t="str">
        <f>IF(C173="","",COUNT($C$7:C173))</f>
        <v/>
      </c>
      <c r="C173" s="48"/>
      <c r="D173" s="49"/>
      <c r="E173" s="50"/>
      <c r="F173" s="49"/>
      <c r="G173" s="55"/>
      <c r="H173" s="56"/>
      <c r="I173" s="57" t="str">
        <f t="shared" si="40"/>
        <v/>
      </c>
      <c r="J173" s="58"/>
      <c r="K173" s="49"/>
      <c r="L173" s="59" t="str">
        <f t="shared" si="44"/>
        <v/>
      </c>
      <c r="M173" s="60" t="str">
        <f t="shared" si="41"/>
        <v/>
      </c>
      <c r="N173" s="61" t="str">
        <f t="shared" si="42"/>
        <v/>
      </c>
      <c r="O173" s="53" t="str">
        <f t="shared" si="45"/>
        <v/>
      </c>
      <c r="P173" s="49"/>
      <c r="R173" s="62" t="str">
        <f t="shared" si="46"/>
        <v/>
      </c>
      <c r="S173" s="62" t="str">
        <f t="shared" si="47"/>
        <v/>
      </c>
      <c r="T173" s="62" t="str">
        <f t="shared" si="43"/>
        <v/>
      </c>
    </row>
    <row r="174" spans="2:20" ht="18" customHeight="1" x14ac:dyDescent="0.25">
      <c r="B174" s="47" t="str">
        <f>IF(C174="","",COUNT($C$7:C174))</f>
        <v/>
      </c>
      <c r="C174" s="48"/>
      <c r="D174" s="49"/>
      <c r="E174" s="50"/>
      <c r="F174" s="49"/>
      <c r="G174" s="55"/>
      <c r="H174" s="56"/>
      <c r="I174" s="57" t="str">
        <f t="shared" si="40"/>
        <v/>
      </c>
      <c r="J174" s="58"/>
      <c r="K174" s="49"/>
      <c r="L174" s="59" t="str">
        <f t="shared" si="44"/>
        <v/>
      </c>
      <c r="M174" s="60" t="str">
        <f t="shared" si="41"/>
        <v/>
      </c>
      <c r="N174" s="61" t="str">
        <f t="shared" si="42"/>
        <v/>
      </c>
      <c r="O174" s="53" t="str">
        <f t="shared" si="45"/>
        <v/>
      </c>
      <c r="P174" s="49"/>
      <c r="R174" s="62" t="str">
        <f t="shared" si="46"/>
        <v/>
      </c>
      <c r="S174" s="62" t="str">
        <f t="shared" si="47"/>
        <v/>
      </c>
      <c r="T174" s="62" t="str">
        <f t="shared" si="43"/>
        <v/>
      </c>
    </row>
    <row r="175" spans="2:20" ht="18" customHeight="1" x14ac:dyDescent="0.25">
      <c r="B175" s="47" t="str">
        <f>IF(C175="","",COUNT($C$7:C175))</f>
        <v/>
      </c>
      <c r="C175" s="48"/>
      <c r="D175" s="49"/>
      <c r="E175" s="50"/>
      <c r="F175" s="49"/>
      <c r="G175" s="55"/>
      <c r="H175" s="56"/>
      <c r="I175" s="57" t="str">
        <f t="shared" si="40"/>
        <v/>
      </c>
      <c r="J175" s="58"/>
      <c r="K175" s="49"/>
      <c r="L175" s="59" t="str">
        <f t="shared" si="44"/>
        <v/>
      </c>
      <c r="M175" s="60" t="str">
        <f t="shared" si="41"/>
        <v/>
      </c>
      <c r="N175" s="61" t="str">
        <f t="shared" si="42"/>
        <v/>
      </c>
      <c r="O175" s="53" t="str">
        <f t="shared" si="45"/>
        <v/>
      </c>
      <c r="P175" s="49"/>
      <c r="R175" s="62" t="str">
        <f t="shared" si="46"/>
        <v/>
      </c>
      <c r="S175" s="62" t="str">
        <f t="shared" si="47"/>
        <v/>
      </c>
      <c r="T175" s="62" t="str">
        <f t="shared" si="43"/>
        <v/>
      </c>
    </row>
    <row r="176" spans="2:20" ht="18" customHeight="1" x14ac:dyDescent="0.25">
      <c r="B176" s="47" t="str">
        <f>IF(C176="","",COUNT($C$7:C176))</f>
        <v/>
      </c>
      <c r="C176" s="48"/>
      <c r="D176" s="49"/>
      <c r="E176" s="50"/>
      <c r="F176" s="49"/>
      <c r="G176" s="55"/>
      <c r="H176" s="56"/>
      <c r="I176" s="57" t="str">
        <f t="shared" si="40"/>
        <v/>
      </c>
      <c r="J176" s="58"/>
      <c r="K176" s="49"/>
      <c r="L176" s="59" t="str">
        <f t="shared" si="44"/>
        <v/>
      </c>
      <c r="M176" s="60" t="str">
        <f t="shared" si="41"/>
        <v/>
      </c>
      <c r="N176" s="61" t="str">
        <f t="shared" si="42"/>
        <v/>
      </c>
      <c r="O176" s="53" t="str">
        <f t="shared" si="45"/>
        <v/>
      </c>
      <c r="P176" s="49"/>
      <c r="R176" s="62" t="str">
        <f t="shared" si="46"/>
        <v/>
      </c>
      <c r="S176" s="62" t="str">
        <f t="shared" si="47"/>
        <v/>
      </c>
      <c r="T176" s="62" t="str">
        <f t="shared" si="43"/>
        <v/>
      </c>
    </row>
    <row r="177" spans="2:20" ht="18" customHeight="1" x14ac:dyDescent="0.25">
      <c r="B177" s="47" t="str">
        <f>IF(C177="","",COUNT($C$7:C177))</f>
        <v/>
      </c>
      <c r="C177" s="48"/>
      <c r="D177" s="49"/>
      <c r="E177" s="50"/>
      <c r="F177" s="49"/>
      <c r="G177" s="55"/>
      <c r="H177" s="56"/>
      <c r="I177" s="57" t="str">
        <f t="shared" si="40"/>
        <v/>
      </c>
      <c r="J177" s="58"/>
      <c r="K177" s="49"/>
      <c r="L177" s="59" t="str">
        <f t="shared" si="44"/>
        <v/>
      </c>
      <c r="M177" s="60" t="str">
        <f t="shared" si="41"/>
        <v/>
      </c>
      <c r="N177" s="61" t="str">
        <f t="shared" si="42"/>
        <v/>
      </c>
      <c r="O177" s="53" t="str">
        <f t="shared" si="45"/>
        <v/>
      </c>
      <c r="P177" s="49"/>
      <c r="R177" s="62" t="str">
        <f t="shared" si="46"/>
        <v/>
      </c>
      <c r="S177" s="62" t="str">
        <f t="shared" si="47"/>
        <v/>
      </c>
      <c r="T177" s="62" t="str">
        <f t="shared" si="43"/>
        <v/>
      </c>
    </row>
    <row r="178" spans="2:20" ht="18" customHeight="1" x14ac:dyDescent="0.25">
      <c r="B178" s="47" t="str">
        <f>IF(C178="","",COUNT($C$7:C178))</f>
        <v/>
      </c>
      <c r="C178" s="48"/>
      <c r="D178" s="49"/>
      <c r="E178" s="50"/>
      <c r="F178" s="49"/>
      <c r="G178" s="55"/>
      <c r="H178" s="56"/>
      <c r="I178" s="57" t="str">
        <f t="shared" si="40"/>
        <v/>
      </c>
      <c r="J178" s="58"/>
      <c r="K178" s="49"/>
      <c r="L178" s="59" t="str">
        <f t="shared" si="44"/>
        <v/>
      </c>
      <c r="M178" s="60" t="str">
        <f t="shared" si="41"/>
        <v/>
      </c>
      <c r="N178" s="61" t="str">
        <f t="shared" si="42"/>
        <v/>
      </c>
      <c r="O178" s="53" t="str">
        <f t="shared" si="45"/>
        <v/>
      </c>
      <c r="P178" s="49"/>
      <c r="R178" s="62" t="str">
        <f t="shared" si="46"/>
        <v/>
      </c>
      <c r="S178" s="62" t="str">
        <f t="shared" si="47"/>
        <v/>
      </c>
      <c r="T178" s="62" t="str">
        <f t="shared" si="43"/>
        <v/>
      </c>
    </row>
    <row r="179" spans="2:20" ht="18" customHeight="1" x14ac:dyDescent="0.25">
      <c r="B179" s="47" t="str">
        <f>IF(C179="","",COUNT($C$7:C179))</f>
        <v/>
      </c>
      <c r="C179" s="48"/>
      <c r="D179" s="49"/>
      <c r="E179" s="50"/>
      <c r="F179" s="49"/>
      <c r="G179" s="55"/>
      <c r="H179" s="56"/>
      <c r="I179" s="57" t="str">
        <f t="shared" si="40"/>
        <v/>
      </c>
      <c r="J179" s="58"/>
      <c r="K179" s="49"/>
      <c r="L179" s="59" t="str">
        <f t="shared" si="44"/>
        <v/>
      </c>
      <c r="M179" s="60" t="str">
        <f t="shared" si="41"/>
        <v/>
      </c>
      <c r="N179" s="61" t="str">
        <f t="shared" si="42"/>
        <v/>
      </c>
      <c r="O179" s="53" t="str">
        <f t="shared" si="45"/>
        <v/>
      </c>
      <c r="P179" s="49"/>
      <c r="R179" s="62" t="str">
        <f t="shared" si="46"/>
        <v/>
      </c>
      <c r="S179" s="62" t="str">
        <f t="shared" si="47"/>
        <v/>
      </c>
      <c r="T179" s="62" t="str">
        <f t="shared" si="43"/>
        <v/>
      </c>
    </row>
    <row r="180" spans="2:20" ht="18" customHeight="1" x14ac:dyDescent="0.25">
      <c r="B180" s="47" t="str">
        <f>IF(C180="","",COUNT($C$7:C180))</f>
        <v/>
      </c>
      <c r="C180" s="48"/>
      <c r="D180" s="49"/>
      <c r="E180" s="50"/>
      <c r="F180" s="49"/>
      <c r="G180" s="55"/>
      <c r="H180" s="56"/>
      <c r="I180" s="57" t="str">
        <f t="shared" si="40"/>
        <v/>
      </c>
      <c r="J180" s="58"/>
      <c r="K180" s="49"/>
      <c r="L180" s="59" t="str">
        <f t="shared" si="44"/>
        <v/>
      </c>
      <c r="M180" s="60" t="str">
        <f t="shared" si="41"/>
        <v/>
      </c>
      <c r="N180" s="61" t="str">
        <f t="shared" si="42"/>
        <v/>
      </c>
      <c r="O180" s="53" t="str">
        <f t="shared" si="45"/>
        <v/>
      </c>
      <c r="P180" s="49"/>
      <c r="R180" s="62" t="str">
        <f t="shared" si="46"/>
        <v/>
      </c>
      <c r="S180" s="62" t="str">
        <f t="shared" si="47"/>
        <v/>
      </c>
      <c r="T180" s="62" t="str">
        <f t="shared" si="43"/>
        <v/>
      </c>
    </row>
    <row r="181" spans="2:20" ht="18" customHeight="1" x14ac:dyDescent="0.25">
      <c r="B181" s="47" t="str">
        <f>IF(C181="","",COUNT($C$7:C181))</f>
        <v/>
      </c>
      <c r="C181" s="48"/>
      <c r="D181" s="49"/>
      <c r="E181" s="50"/>
      <c r="F181" s="49"/>
      <c r="G181" s="55"/>
      <c r="H181" s="56"/>
      <c r="I181" s="57" t="str">
        <f t="shared" si="40"/>
        <v/>
      </c>
      <c r="J181" s="58"/>
      <c r="K181" s="49"/>
      <c r="L181" s="59" t="str">
        <f t="shared" si="44"/>
        <v/>
      </c>
      <c r="M181" s="60" t="str">
        <f t="shared" si="41"/>
        <v/>
      </c>
      <c r="N181" s="61" t="str">
        <f t="shared" si="42"/>
        <v/>
      </c>
      <c r="O181" s="53" t="str">
        <f t="shared" si="45"/>
        <v/>
      </c>
      <c r="P181" s="49"/>
      <c r="R181" s="62" t="str">
        <f t="shared" si="46"/>
        <v/>
      </c>
      <c r="S181" s="62" t="str">
        <f t="shared" si="47"/>
        <v/>
      </c>
      <c r="T181" s="62" t="str">
        <f t="shared" si="43"/>
        <v/>
      </c>
    </row>
    <row r="182" spans="2:20" ht="18" customHeight="1" x14ac:dyDescent="0.25">
      <c r="B182" s="47" t="str">
        <f>IF(C182="","",COUNT($C$7:C182))</f>
        <v/>
      </c>
      <c r="C182" s="48"/>
      <c r="D182" s="49"/>
      <c r="E182" s="50"/>
      <c r="F182" s="49"/>
      <c r="G182" s="55"/>
      <c r="H182" s="56"/>
      <c r="I182" s="57" t="str">
        <f t="shared" si="40"/>
        <v/>
      </c>
      <c r="J182" s="58"/>
      <c r="K182" s="49"/>
      <c r="L182" s="59" t="str">
        <f t="shared" si="44"/>
        <v/>
      </c>
      <c r="M182" s="60" t="str">
        <f t="shared" si="41"/>
        <v/>
      </c>
      <c r="N182" s="61" t="str">
        <f t="shared" si="42"/>
        <v/>
      </c>
      <c r="O182" s="53" t="str">
        <f t="shared" si="45"/>
        <v/>
      </c>
      <c r="P182" s="49"/>
      <c r="R182" s="62" t="str">
        <f t="shared" si="46"/>
        <v/>
      </c>
      <c r="S182" s="62" t="str">
        <f t="shared" si="47"/>
        <v/>
      </c>
      <c r="T182" s="62" t="str">
        <f t="shared" si="43"/>
        <v/>
      </c>
    </row>
    <row r="183" spans="2:20" ht="18" customHeight="1" x14ac:dyDescent="0.25">
      <c r="B183" s="47" t="str">
        <f>IF(C183="","",COUNT($C$7:C183))</f>
        <v/>
      </c>
      <c r="C183" s="48"/>
      <c r="D183" s="49"/>
      <c r="E183" s="50"/>
      <c r="F183" s="49"/>
      <c r="G183" s="55"/>
      <c r="H183" s="56"/>
      <c r="I183" s="57" t="str">
        <f t="shared" si="40"/>
        <v/>
      </c>
      <c r="J183" s="58"/>
      <c r="K183" s="49"/>
      <c r="L183" s="59" t="str">
        <f t="shared" si="44"/>
        <v/>
      </c>
      <c r="M183" s="60" t="str">
        <f t="shared" si="41"/>
        <v/>
      </c>
      <c r="N183" s="61" t="str">
        <f t="shared" si="42"/>
        <v/>
      </c>
      <c r="O183" s="53" t="str">
        <f t="shared" si="45"/>
        <v/>
      </c>
      <c r="P183" s="49"/>
      <c r="R183" s="62" t="str">
        <f t="shared" si="46"/>
        <v/>
      </c>
      <c r="S183" s="62" t="str">
        <f t="shared" si="47"/>
        <v/>
      </c>
      <c r="T183" s="62" t="str">
        <f t="shared" si="43"/>
        <v/>
      </c>
    </row>
    <row r="184" spans="2:20" ht="18" customHeight="1" x14ac:dyDescent="0.25">
      <c r="B184" s="47" t="str">
        <f>IF(C184="","",COUNT($C$7:C184))</f>
        <v/>
      </c>
      <c r="C184" s="48"/>
      <c r="D184" s="49"/>
      <c r="E184" s="50"/>
      <c r="F184" s="49"/>
      <c r="G184" s="55"/>
      <c r="H184" s="56"/>
      <c r="I184" s="57" t="str">
        <f t="shared" si="40"/>
        <v/>
      </c>
      <c r="J184" s="58"/>
      <c r="K184" s="49"/>
      <c r="L184" s="59" t="str">
        <f t="shared" si="44"/>
        <v/>
      </c>
      <c r="M184" s="60" t="str">
        <f t="shared" si="41"/>
        <v/>
      </c>
      <c r="N184" s="61" t="str">
        <f t="shared" si="42"/>
        <v/>
      </c>
      <c r="O184" s="53" t="str">
        <f t="shared" si="45"/>
        <v/>
      </c>
      <c r="P184" s="49"/>
      <c r="R184" s="62" t="str">
        <f t="shared" si="46"/>
        <v/>
      </c>
      <c r="S184" s="62" t="str">
        <f t="shared" si="47"/>
        <v/>
      </c>
      <c r="T184" s="62" t="str">
        <f t="shared" si="43"/>
        <v/>
      </c>
    </row>
    <row r="185" spans="2:20" ht="18" customHeight="1" x14ac:dyDescent="0.25">
      <c r="B185" s="47" t="str">
        <f>IF(C185="","",COUNT($C$7:C185))</f>
        <v/>
      </c>
      <c r="C185" s="48"/>
      <c r="D185" s="49"/>
      <c r="E185" s="50"/>
      <c r="F185" s="49"/>
      <c r="G185" s="55"/>
      <c r="H185" s="56"/>
      <c r="I185" s="57" t="str">
        <f t="shared" si="40"/>
        <v/>
      </c>
      <c r="J185" s="58"/>
      <c r="K185" s="49"/>
      <c r="L185" s="59" t="str">
        <f t="shared" si="44"/>
        <v/>
      </c>
      <c r="M185" s="60" t="str">
        <f t="shared" si="41"/>
        <v/>
      </c>
      <c r="N185" s="61" t="str">
        <f t="shared" si="42"/>
        <v/>
      </c>
      <c r="O185" s="53" t="str">
        <f t="shared" si="45"/>
        <v/>
      </c>
      <c r="P185" s="49"/>
      <c r="R185" s="62" t="str">
        <f t="shared" si="46"/>
        <v/>
      </c>
      <c r="S185" s="62" t="str">
        <f t="shared" si="47"/>
        <v/>
      </c>
      <c r="T185" s="62" t="str">
        <f t="shared" si="43"/>
        <v/>
      </c>
    </row>
    <row r="186" spans="2:20" ht="18" customHeight="1" x14ac:dyDescent="0.25">
      <c r="B186" s="47" t="str">
        <f>IF(C186="","",COUNT($C$7:C186))</f>
        <v/>
      </c>
      <c r="C186" s="48"/>
      <c r="D186" s="49"/>
      <c r="E186" s="50"/>
      <c r="F186" s="49"/>
      <c r="G186" s="55"/>
      <c r="H186" s="56"/>
      <c r="I186" s="57" t="str">
        <f t="shared" si="40"/>
        <v/>
      </c>
      <c r="J186" s="58"/>
      <c r="K186" s="49"/>
      <c r="L186" s="59" t="str">
        <f t="shared" si="44"/>
        <v/>
      </c>
      <c r="M186" s="60" t="str">
        <f t="shared" si="41"/>
        <v/>
      </c>
      <c r="N186" s="61" t="str">
        <f t="shared" si="42"/>
        <v/>
      </c>
      <c r="O186" s="53" t="str">
        <f t="shared" si="45"/>
        <v/>
      </c>
      <c r="P186" s="49"/>
      <c r="R186" s="62" t="str">
        <f t="shared" si="46"/>
        <v/>
      </c>
      <c r="S186" s="62" t="str">
        <f t="shared" si="47"/>
        <v/>
      </c>
      <c r="T186" s="62" t="str">
        <f t="shared" si="43"/>
        <v/>
      </c>
    </row>
    <row r="187" spans="2:20" ht="18" customHeight="1" x14ac:dyDescent="0.25">
      <c r="B187" s="47" t="str">
        <f>IF(C187="","",COUNT($C$7:C187))</f>
        <v/>
      </c>
      <c r="C187" s="48"/>
      <c r="D187" s="49"/>
      <c r="E187" s="50"/>
      <c r="F187" s="49"/>
      <c r="G187" s="55"/>
      <c r="H187" s="56"/>
      <c r="I187" s="57" t="str">
        <f t="shared" si="40"/>
        <v/>
      </c>
      <c r="J187" s="58"/>
      <c r="K187" s="49"/>
      <c r="L187" s="59" t="str">
        <f t="shared" si="44"/>
        <v/>
      </c>
      <c r="M187" s="60" t="str">
        <f t="shared" si="41"/>
        <v/>
      </c>
      <c r="N187" s="61" t="str">
        <f t="shared" si="42"/>
        <v/>
      </c>
      <c r="O187" s="53" t="str">
        <f t="shared" si="45"/>
        <v/>
      </c>
      <c r="P187" s="49"/>
      <c r="R187" s="62" t="str">
        <f t="shared" si="46"/>
        <v/>
      </c>
      <c r="S187" s="62" t="str">
        <f t="shared" si="47"/>
        <v/>
      </c>
      <c r="T187" s="62" t="str">
        <f t="shared" si="43"/>
        <v/>
      </c>
    </row>
    <row r="188" spans="2:20" ht="18" customHeight="1" x14ac:dyDescent="0.25">
      <c r="B188" s="47" t="str">
        <f>IF(C188="","",COUNT($C$7:C188))</f>
        <v/>
      </c>
      <c r="C188" s="48"/>
      <c r="D188" s="49"/>
      <c r="E188" s="50"/>
      <c r="F188" s="49"/>
      <c r="G188" s="55"/>
      <c r="H188" s="56"/>
      <c r="I188" s="57" t="str">
        <f t="shared" si="40"/>
        <v/>
      </c>
      <c r="J188" s="58"/>
      <c r="K188" s="49"/>
      <c r="L188" s="59" t="str">
        <f t="shared" si="44"/>
        <v/>
      </c>
      <c r="M188" s="60" t="str">
        <f t="shared" si="41"/>
        <v/>
      </c>
      <c r="N188" s="61" t="str">
        <f t="shared" si="42"/>
        <v/>
      </c>
      <c r="O188" s="53" t="str">
        <f t="shared" si="45"/>
        <v/>
      </c>
      <c r="P188" s="49"/>
      <c r="R188" s="62" t="str">
        <f t="shared" si="46"/>
        <v/>
      </c>
      <c r="S188" s="62" t="str">
        <f t="shared" si="47"/>
        <v/>
      </c>
      <c r="T188" s="62" t="str">
        <f t="shared" si="43"/>
        <v/>
      </c>
    </row>
    <row r="189" spans="2:20" ht="18" customHeight="1" x14ac:dyDescent="0.25">
      <c r="B189" s="47" t="str">
        <f>IF(C189="","",COUNT($C$7:C189))</f>
        <v/>
      </c>
      <c r="C189" s="48"/>
      <c r="D189" s="49"/>
      <c r="E189" s="50"/>
      <c r="F189" s="49"/>
      <c r="G189" s="55"/>
      <c r="H189" s="56"/>
      <c r="I189" s="57" t="str">
        <f t="shared" si="40"/>
        <v/>
      </c>
      <c r="J189" s="58"/>
      <c r="K189" s="49"/>
      <c r="L189" s="59" t="str">
        <f t="shared" si="44"/>
        <v/>
      </c>
      <c r="M189" s="60" t="str">
        <f t="shared" si="41"/>
        <v/>
      </c>
      <c r="N189" s="61" t="str">
        <f t="shared" si="42"/>
        <v/>
      </c>
      <c r="O189" s="53" t="str">
        <f t="shared" si="45"/>
        <v/>
      </c>
      <c r="P189" s="49"/>
      <c r="R189" s="62" t="str">
        <f t="shared" si="46"/>
        <v/>
      </c>
      <c r="S189" s="62" t="str">
        <f t="shared" si="47"/>
        <v/>
      </c>
      <c r="T189" s="62" t="str">
        <f t="shared" si="43"/>
        <v/>
      </c>
    </row>
    <row r="190" spans="2:20" ht="18" customHeight="1" x14ac:dyDescent="0.25">
      <c r="B190" s="47" t="str">
        <f>IF(C190="","",COUNT($C$7:C190))</f>
        <v/>
      </c>
      <c r="C190" s="48"/>
      <c r="D190" s="49"/>
      <c r="E190" s="50"/>
      <c r="F190" s="49"/>
      <c r="G190" s="55"/>
      <c r="H190" s="56"/>
      <c r="I190" s="57" t="str">
        <f t="shared" si="40"/>
        <v/>
      </c>
      <c r="J190" s="58"/>
      <c r="K190" s="49"/>
      <c r="L190" s="59" t="str">
        <f t="shared" si="44"/>
        <v/>
      </c>
      <c r="M190" s="60" t="str">
        <f t="shared" si="41"/>
        <v/>
      </c>
      <c r="N190" s="61" t="str">
        <f t="shared" si="42"/>
        <v/>
      </c>
      <c r="O190" s="53" t="str">
        <f t="shared" si="45"/>
        <v/>
      </c>
      <c r="P190" s="49"/>
      <c r="R190" s="62" t="str">
        <f t="shared" si="46"/>
        <v/>
      </c>
      <c r="S190" s="62" t="str">
        <f t="shared" si="47"/>
        <v/>
      </c>
      <c r="T190" s="62" t="str">
        <f t="shared" si="43"/>
        <v/>
      </c>
    </row>
    <row r="191" spans="2:20" ht="18" customHeight="1" x14ac:dyDescent="0.25">
      <c r="B191" s="47" t="str">
        <f>IF(C191="","",COUNT($C$7:C191))</f>
        <v/>
      </c>
      <c r="C191" s="48"/>
      <c r="D191" s="49"/>
      <c r="E191" s="50"/>
      <c r="F191" s="49"/>
      <c r="G191" s="55"/>
      <c r="H191" s="56"/>
      <c r="I191" s="57" t="str">
        <f t="shared" si="40"/>
        <v/>
      </c>
      <c r="J191" s="58"/>
      <c r="K191" s="49"/>
      <c r="L191" s="59" t="str">
        <f t="shared" si="44"/>
        <v/>
      </c>
      <c r="M191" s="60" t="str">
        <f t="shared" si="41"/>
        <v/>
      </c>
      <c r="N191" s="61" t="str">
        <f t="shared" si="42"/>
        <v/>
      </c>
      <c r="O191" s="53" t="str">
        <f t="shared" si="45"/>
        <v/>
      </c>
      <c r="P191" s="49"/>
      <c r="R191" s="62" t="str">
        <f t="shared" si="46"/>
        <v/>
      </c>
      <c r="S191" s="62" t="str">
        <f t="shared" si="47"/>
        <v/>
      </c>
      <c r="T191" s="62" t="str">
        <f t="shared" si="43"/>
        <v/>
      </c>
    </row>
    <row r="192" spans="2:20" ht="18" customHeight="1" x14ac:dyDescent="0.25">
      <c r="B192" s="47" t="str">
        <f>IF(C192="","",COUNT($C$7:C192))</f>
        <v/>
      </c>
      <c r="C192" s="48"/>
      <c r="D192" s="49"/>
      <c r="E192" s="50"/>
      <c r="F192" s="49"/>
      <c r="G192" s="55"/>
      <c r="H192" s="56"/>
      <c r="I192" s="57" t="str">
        <f t="shared" si="40"/>
        <v/>
      </c>
      <c r="J192" s="58"/>
      <c r="K192" s="49"/>
      <c r="L192" s="59" t="str">
        <f t="shared" si="44"/>
        <v/>
      </c>
      <c r="M192" s="60" t="str">
        <f t="shared" si="41"/>
        <v/>
      </c>
      <c r="N192" s="61" t="str">
        <f t="shared" si="42"/>
        <v/>
      </c>
      <c r="O192" s="53" t="str">
        <f t="shared" si="45"/>
        <v/>
      </c>
      <c r="P192" s="49"/>
      <c r="R192" s="62" t="str">
        <f t="shared" si="46"/>
        <v/>
      </c>
      <c r="S192" s="62" t="str">
        <f t="shared" si="47"/>
        <v/>
      </c>
      <c r="T192" s="62" t="str">
        <f t="shared" si="43"/>
        <v/>
      </c>
    </row>
    <row r="193" spans="2:20" ht="18" customHeight="1" x14ac:dyDescent="0.25">
      <c r="B193" s="47" t="str">
        <f>IF(C193="","",COUNT($C$7:C193))</f>
        <v/>
      </c>
      <c r="C193" s="48"/>
      <c r="D193" s="49"/>
      <c r="E193" s="50"/>
      <c r="F193" s="49"/>
      <c r="G193" s="55"/>
      <c r="H193" s="56"/>
      <c r="I193" s="57" t="str">
        <f t="shared" si="40"/>
        <v/>
      </c>
      <c r="J193" s="58"/>
      <c r="K193" s="49"/>
      <c r="L193" s="59" t="str">
        <f t="shared" si="44"/>
        <v/>
      </c>
      <c r="M193" s="60" t="str">
        <f t="shared" si="41"/>
        <v/>
      </c>
      <c r="N193" s="61" t="str">
        <f t="shared" si="42"/>
        <v/>
      </c>
      <c r="O193" s="53" t="str">
        <f t="shared" si="45"/>
        <v/>
      </c>
      <c r="P193" s="49"/>
      <c r="R193" s="62" t="str">
        <f t="shared" si="46"/>
        <v/>
      </c>
      <c r="S193" s="62" t="str">
        <f t="shared" si="47"/>
        <v/>
      </c>
      <c r="T193" s="62" t="str">
        <f t="shared" si="43"/>
        <v/>
      </c>
    </row>
    <row r="194" spans="2:20" ht="18" customHeight="1" x14ac:dyDescent="0.25">
      <c r="B194" s="47" t="str">
        <f>IF(C194="","",COUNT($C$7:C194))</f>
        <v/>
      </c>
      <c r="C194" s="48"/>
      <c r="D194" s="49"/>
      <c r="E194" s="50"/>
      <c r="F194" s="49"/>
      <c r="G194" s="55"/>
      <c r="H194" s="56"/>
      <c r="I194" s="57" t="str">
        <f t="shared" si="40"/>
        <v/>
      </c>
      <c r="J194" s="58"/>
      <c r="K194" s="49"/>
      <c r="L194" s="59" t="str">
        <f t="shared" si="44"/>
        <v/>
      </c>
      <c r="M194" s="60" t="str">
        <f t="shared" si="41"/>
        <v/>
      </c>
      <c r="N194" s="61" t="str">
        <f t="shared" si="42"/>
        <v/>
      </c>
      <c r="O194" s="53" t="str">
        <f t="shared" si="45"/>
        <v/>
      </c>
      <c r="P194" s="49"/>
      <c r="R194" s="62" t="str">
        <f t="shared" si="46"/>
        <v/>
      </c>
      <c r="S194" s="62" t="str">
        <f t="shared" si="47"/>
        <v/>
      </c>
      <c r="T194" s="62" t="str">
        <f t="shared" si="43"/>
        <v/>
      </c>
    </row>
    <row r="195" spans="2:20" ht="18" customHeight="1" x14ac:dyDescent="0.25">
      <c r="B195" s="47" t="str">
        <f>IF(C195="","",COUNT($C$7:C195))</f>
        <v/>
      </c>
      <c r="C195" s="48"/>
      <c r="D195" s="49"/>
      <c r="E195" s="50"/>
      <c r="F195" s="49"/>
      <c r="G195" s="55"/>
      <c r="H195" s="56"/>
      <c r="I195" s="57" t="str">
        <f t="shared" si="40"/>
        <v/>
      </c>
      <c r="J195" s="58"/>
      <c r="K195" s="49"/>
      <c r="L195" s="59" t="str">
        <f t="shared" si="44"/>
        <v/>
      </c>
      <c r="M195" s="60" t="str">
        <f t="shared" si="41"/>
        <v/>
      </c>
      <c r="N195" s="61" t="str">
        <f t="shared" si="42"/>
        <v/>
      </c>
      <c r="O195" s="53" t="str">
        <f t="shared" si="45"/>
        <v/>
      </c>
      <c r="P195" s="49"/>
      <c r="R195" s="62" t="str">
        <f t="shared" si="46"/>
        <v/>
      </c>
      <c r="S195" s="62" t="str">
        <f t="shared" si="47"/>
        <v/>
      </c>
      <c r="T195" s="62" t="str">
        <f t="shared" si="43"/>
        <v/>
      </c>
    </row>
    <row r="196" spans="2:20" ht="18" customHeight="1" x14ac:dyDescent="0.25">
      <c r="B196" s="47" t="str">
        <f>IF(C196="","",COUNT($C$7:C196))</f>
        <v/>
      </c>
      <c r="C196" s="48"/>
      <c r="D196" s="49"/>
      <c r="E196" s="50"/>
      <c r="F196" s="49"/>
      <c r="G196" s="55"/>
      <c r="H196" s="56"/>
      <c r="I196" s="57" t="str">
        <f t="shared" si="40"/>
        <v/>
      </c>
      <c r="J196" s="58"/>
      <c r="K196" s="49"/>
      <c r="L196" s="59" t="str">
        <f t="shared" si="44"/>
        <v/>
      </c>
      <c r="M196" s="60" t="str">
        <f t="shared" si="41"/>
        <v/>
      </c>
      <c r="N196" s="61" t="str">
        <f t="shared" si="42"/>
        <v/>
      </c>
      <c r="O196" s="53" t="str">
        <f t="shared" si="45"/>
        <v/>
      </c>
      <c r="P196" s="49"/>
      <c r="R196" s="62" t="str">
        <f t="shared" si="46"/>
        <v/>
      </c>
      <c r="S196" s="62" t="str">
        <f t="shared" si="47"/>
        <v/>
      </c>
      <c r="T196" s="62" t="str">
        <f t="shared" si="43"/>
        <v/>
      </c>
    </row>
    <row r="197" spans="2:20" ht="18" customHeight="1" x14ac:dyDescent="0.25">
      <c r="B197" s="47" t="str">
        <f>IF(C197="","",COUNT($C$7:C197))</f>
        <v/>
      </c>
      <c r="C197" s="48"/>
      <c r="D197" s="49"/>
      <c r="E197" s="50"/>
      <c r="F197" s="49"/>
      <c r="G197" s="55"/>
      <c r="H197" s="56"/>
      <c r="I197" s="57" t="str">
        <f t="shared" si="40"/>
        <v/>
      </c>
      <c r="J197" s="58"/>
      <c r="K197" s="49"/>
      <c r="L197" s="59" t="str">
        <f t="shared" si="44"/>
        <v/>
      </c>
      <c r="M197" s="60" t="str">
        <f t="shared" si="41"/>
        <v/>
      </c>
      <c r="N197" s="61" t="str">
        <f t="shared" si="42"/>
        <v/>
      </c>
      <c r="O197" s="53" t="str">
        <f t="shared" si="45"/>
        <v/>
      </c>
      <c r="P197" s="49"/>
      <c r="R197" s="62" t="str">
        <f t="shared" si="46"/>
        <v/>
      </c>
      <c r="S197" s="62" t="str">
        <f t="shared" si="47"/>
        <v/>
      </c>
      <c r="T197" s="62" t="str">
        <f t="shared" si="43"/>
        <v/>
      </c>
    </row>
    <row r="198" spans="2:20" ht="18" customHeight="1" x14ac:dyDescent="0.25">
      <c r="B198" s="47" t="str">
        <f>IF(C198="","",COUNT($C$7:C198))</f>
        <v/>
      </c>
      <c r="C198" s="48"/>
      <c r="D198" s="49"/>
      <c r="E198" s="50"/>
      <c r="F198" s="49"/>
      <c r="G198" s="55"/>
      <c r="H198" s="56"/>
      <c r="I198" s="57" t="str">
        <f t="shared" si="40"/>
        <v/>
      </c>
      <c r="J198" s="58"/>
      <c r="K198" s="49"/>
      <c r="L198" s="59" t="str">
        <f t="shared" si="44"/>
        <v/>
      </c>
      <c r="M198" s="60" t="str">
        <f t="shared" si="41"/>
        <v/>
      </c>
      <c r="N198" s="61" t="str">
        <f t="shared" si="42"/>
        <v/>
      </c>
      <c r="O198" s="53" t="str">
        <f t="shared" si="45"/>
        <v/>
      </c>
      <c r="P198" s="49"/>
      <c r="R198" s="62" t="str">
        <f t="shared" si="46"/>
        <v/>
      </c>
      <c r="S198" s="62" t="str">
        <f t="shared" si="47"/>
        <v/>
      </c>
      <c r="T198" s="62" t="str">
        <f t="shared" si="43"/>
        <v/>
      </c>
    </row>
    <row r="199" spans="2:20" ht="18" customHeight="1" x14ac:dyDescent="0.25">
      <c r="B199" s="47" t="str">
        <f>IF(C199="","",COUNT($C$7:C199))</f>
        <v/>
      </c>
      <c r="C199" s="48"/>
      <c r="D199" s="49"/>
      <c r="E199" s="50"/>
      <c r="F199" s="49"/>
      <c r="G199" s="55"/>
      <c r="H199" s="56"/>
      <c r="I199" s="57" t="str">
        <f t="shared" ref="I199:I230" si="48">IF(OR(G199="",H199="",N(G199)=0),"",H199/G199)</f>
        <v/>
      </c>
      <c r="J199" s="58"/>
      <c r="K199" s="49"/>
      <c r="L199" s="59" t="str">
        <f t="shared" si="44"/>
        <v/>
      </c>
      <c r="M199" s="60" t="str">
        <f t="shared" ref="M199:M206" si="49">IF(OR(C199="",J199&lt;&gt;"Oui",R199="",N(E199)&lt;=N(R199)),"",S199/(E199-R199)*100)</f>
        <v/>
      </c>
      <c r="N199" s="61" t="str">
        <f t="shared" ref="N199:N230" si="50">IF(OR(M199="",I199=""),"",M199*I199)</f>
        <v/>
      </c>
      <c r="O199" s="53" t="str">
        <f t="shared" si="45"/>
        <v/>
      </c>
      <c r="P199" s="49"/>
      <c r="R199" s="62" t="str">
        <f t="shared" si="46"/>
        <v/>
      </c>
      <c r="S199" s="62" t="str">
        <f t="shared" si="47"/>
        <v/>
      </c>
      <c r="T199" s="62" t="str">
        <f t="shared" ref="T199:T206" si="51">IF(M199="","",E199-R199)</f>
        <v/>
      </c>
    </row>
    <row r="200" spans="2:20" ht="18" customHeight="1" x14ac:dyDescent="0.25">
      <c r="B200" s="47" t="str">
        <f>IF(C200="","",COUNT($C$7:C200))</f>
        <v/>
      </c>
      <c r="C200" s="48"/>
      <c r="D200" s="49"/>
      <c r="E200" s="50"/>
      <c r="F200" s="49"/>
      <c r="G200" s="55"/>
      <c r="H200" s="56"/>
      <c r="I200" s="57" t="str">
        <f t="shared" si="48"/>
        <v/>
      </c>
      <c r="J200" s="58"/>
      <c r="K200" s="49"/>
      <c r="L200" s="59" t="str">
        <f t="shared" ref="L200:L206" si="52">IF(OR(C200="",E200="",E199=""),"",E200-E199)</f>
        <v/>
      </c>
      <c r="M200" s="60" t="str">
        <f t="shared" si="49"/>
        <v/>
      </c>
      <c r="N200" s="61" t="str">
        <f t="shared" si="50"/>
        <v/>
      </c>
      <c r="O200" s="53" t="str">
        <f t="shared" ref="O200:O206" si="53">IF(C200="","",IF(OR(E200="",G200="",H200=""),"Incomplet",IF(AND(ISNUMBER(E199),E200&lt;E199),"Km incohérent",IF(AND(N(Capacite)&gt;0,G200&gt;Capacite*1.02),"Quantité &gt; réservoir",IF(ISNUMBER(M200),IF(AND(ConsoMoyenne&gt;0,ABS(M200/MAX(ConsoMoyenne,0.0001)-1)&gt;SeuilConso),"Conso. atypique","Conforme"),"Conforme")))))</f>
        <v/>
      </c>
      <c r="P200" s="49"/>
      <c r="R200" s="62" t="str">
        <f t="shared" ref="R200:R206" si="54">IF(C200="","",IF(J199="Oui",E199,R199))</f>
        <v/>
      </c>
      <c r="S200" s="62" t="str">
        <f t="shared" ref="S200:S206" si="55">IF(C200="","",IF(J199="Oui",N(G200),N(S199)+N(G200)))</f>
        <v/>
      </c>
      <c r="T200" s="62" t="str">
        <f t="shared" si="51"/>
        <v/>
      </c>
    </row>
    <row r="201" spans="2:20" ht="18" customHeight="1" x14ac:dyDescent="0.25">
      <c r="B201" s="47" t="str">
        <f>IF(C201="","",COUNT($C$7:C201))</f>
        <v/>
      </c>
      <c r="C201" s="48"/>
      <c r="D201" s="49"/>
      <c r="E201" s="50"/>
      <c r="F201" s="49"/>
      <c r="G201" s="55"/>
      <c r="H201" s="56"/>
      <c r="I201" s="57" t="str">
        <f t="shared" si="48"/>
        <v/>
      </c>
      <c r="J201" s="58"/>
      <c r="K201" s="49"/>
      <c r="L201" s="59" t="str">
        <f t="shared" si="52"/>
        <v/>
      </c>
      <c r="M201" s="60" t="str">
        <f t="shared" si="49"/>
        <v/>
      </c>
      <c r="N201" s="61" t="str">
        <f t="shared" si="50"/>
        <v/>
      </c>
      <c r="O201" s="53" t="str">
        <f t="shared" si="53"/>
        <v/>
      </c>
      <c r="P201" s="49"/>
      <c r="R201" s="62" t="str">
        <f t="shared" si="54"/>
        <v/>
      </c>
      <c r="S201" s="62" t="str">
        <f t="shared" si="55"/>
        <v/>
      </c>
      <c r="T201" s="62" t="str">
        <f t="shared" si="51"/>
        <v/>
      </c>
    </row>
    <row r="202" spans="2:20" ht="18" customHeight="1" x14ac:dyDescent="0.25">
      <c r="B202" s="47" t="str">
        <f>IF(C202="","",COUNT($C$7:C202))</f>
        <v/>
      </c>
      <c r="C202" s="48"/>
      <c r="D202" s="49"/>
      <c r="E202" s="50"/>
      <c r="F202" s="49"/>
      <c r="G202" s="55"/>
      <c r="H202" s="56"/>
      <c r="I202" s="57" t="str">
        <f t="shared" si="48"/>
        <v/>
      </c>
      <c r="J202" s="58"/>
      <c r="K202" s="49"/>
      <c r="L202" s="59" t="str">
        <f t="shared" si="52"/>
        <v/>
      </c>
      <c r="M202" s="60" t="str">
        <f t="shared" si="49"/>
        <v/>
      </c>
      <c r="N202" s="61" t="str">
        <f t="shared" si="50"/>
        <v/>
      </c>
      <c r="O202" s="53" t="str">
        <f t="shared" si="53"/>
        <v/>
      </c>
      <c r="P202" s="49"/>
      <c r="R202" s="62" t="str">
        <f t="shared" si="54"/>
        <v/>
      </c>
      <c r="S202" s="62" t="str">
        <f t="shared" si="55"/>
        <v/>
      </c>
      <c r="T202" s="62" t="str">
        <f t="shared" si="51"/>
        <v/>
      </c>
    </row>
    <row r="203" spans="2:20" ht="18" customHeight="1" x14ac:dyDescent="0.25">
      <c r="B203" s="47" t="str">
        <f>IF(C203="","",COUNT($C$7:C203))</f>
        <v/>
      </c>
      <c r="C203" s="48"/>
      <c r="D203" s="49"/>
      <c r="E203" s="50"/>
      <c r="F203" s="49"/>
      <c r="G203" s="55"/>
      <c r="H203" s="56"/>
      <c r="I203" s="57" t="str">
        <f t="shared" si="48"/>
        <v/>
      </c>
      <c r="J203" s="58"/>
      <c r="K203" s="49"/>
      <c r="L203" s="59" t="str">
        <f t="shared" si="52"/>
        <v/>
      </c>
      <c r="M203" s="60" t="str">
        <f t="shared" si="49"/>
        <v/>
      </c>
      <c r="N203" s="61" t="str">
        <f t="shared" si="50"/>
        <v/>
      </c>
      <c r="O203" s="53" t="str">
        <f t="shared" si="53"/>
        <v/>
      </c>
      <c r="P203" s="49"/>
      <c r="R203" s="62" t="str">
        <f t="shared" si="54"/>
        <v/>
      </c>
      <c r="S203" s="62" t="str">
        <f t="shared" si="55"/>
        <v/>
      </c>
      <c r="T203" s="62" t="str">
        <f t="shared" si="51"/>
        <v/>
      </c>
    </row>
    <row r="204" spans="2:20" ht="18" customHeight="1" x14ac:dyDescent="0.25">
      <c r="B204" s="47" t="str">
        <f>IF(C204="","",COUNT($C$7:C204))</f>
        <v/>
      </c>
      <c r="C204" s="48"/>
      <c r="D204" s="49"/>
      <c r="E204" s="50"/>
      <c r="F204" s="49"/>
      <c r="G204" s="55"/>
      <c r="H204" s="56"/>
      <c r="I204" s="57" t="str">
        <f t="shared" si="48"/>
        <v/>
      </c>
      <c r="J204" s="58"/>
      <c r="K204" s="49"/>
      <c r="L204" s="59" t="str">
        <f t="shared" si="52"/>
        <v/>
      </c>
      <c r="M204" s="60" t="str">
        <f t="shared" si="49"/>
        <v/>
      </c>
      <c r="N204" s="61" t="str">
        <f t="shared" si="50"/>
        <v/>
      </c>
      <c r="O204" s="53" t="str">
        <f t="shared" si="53"/>
        <v/>
      </c>
      <c r="P204" s="49"/>
      <c r="R204" s="62" t="str">
        <f t="shared" si="54"/>
        <v/>
      </c>
      <c r="S204" s="62" t="str">
        <f t="shared" si="55"/>
        <v/>
      </c>
      <c r="T204" s="62" t="str">
        <f t="shared" si="51"/>
        <v/>
      </c>
    </row>
    <row r="205" spans="2:20" ht="18" customHeight="1" x14ac:dyDescent="0.25">
      <c r="B205" s="47" t="str">
        <f>IF(C205="","",COUNT($C$7:C205))</f>
        <v/>
      </c>
      <c r="C205" s="48"/>
      <c r="D205" s="49"/>
      <c r="E205" s="50"/>
      <c r="F205" s="49"/>
      <c r="G205" s="55"/>
      <c r="H205" s="56"/>
      <c r="I205" s="57" t="str">
        <f t="shared" si="48"/>
        <v/>
      </c>
      <c r="J205" s="58"/>
      <c r="K205" s="49"/>
      <c r="L205" s="59" t="str">
        <f t="shared" si="52"/>
        <v/>
      </c>
      <c r="M205" s="60" t="str">
        <f t="shared" si="49"/>
        <v/>
      </c>
      <c r="N205" s="61" t="str">
        <f t="shared" si="50"/>
        <v/>
      </c>
      <c r="O205" s="53" t="str">
        <f t="shared" si="53"/>
        <v/>
      </c>
      <c r="P205" s="49"/>
      <c r="R205" s="62" t="str">
        <f t="shared" si="54"/>
        <v/>
      </c>
      <c r="S205" s="62" t="str">
        <f t="shared" si="55"/>
        <v/>
      </c>
      <c r="T205" s="62" t="str">
        <f t="shared" si="51"/>
        <v/>
      </c>
    </row>
    <row r="206" spans="2:20" ht="18" customHeight="1" x14ac:dyDescent="0.25">
      <c r="B206" s="47" t="str">
        <f>IF(C206="","",COUNT($C$7:C206))</f>
        <v/>
      </c>
      <c r="C206" s="48"/>
      <c r="D206" s="49"/>
      <c r="E206" s="50"/>
      <c r="F206" s="49"/>
      <c r="G206" s="55"/>
      <c r="H206" s="56"/>
      <c r="I206" s="57" t="str">
        <f t="shared" si="48"/>
        <v/>
      </c>
      <c r="J206" s="58"/>
      <c r="K206" s="49"/>
      <c r="L206" s="59" t="str">
        <f t="shared" si="52"/>
        <v/>
      </c>
      <c r="M206" s="60" t="str">
        <f t="shared" si="49"/>
        <v/>
      </c>
      <c r="N206" s="61" t="str">
        <f t="shared" si="50"/>
        <v/>
      </c>
      <c r="O206" s="53" t="str">
        <f t="shared" si="53"/>
        <v/>
      </c>
      <c r="P206" s="49"/>
      <c r="R206" s="62" t="str">
        <f t="shared" si="54"/>
        <v/>
      </c>
      <c r="S206" s="62" t="str">
        <f t="shared" si="55"/>
        <v/>
      </c>
      <c r="T206" s="62" t="str">
        <f t="shared" si="51"/>
        <v/>
      </c>
    </row>
  </sheetData>
  <autoFilter ref="B6:P206" xr:uid="{00000000-0009-0000-0000-000002000000}"/>
  <mergeCells count="1">
    <mergeCell ref="L4:N4"/>
  </mergeCells>
  <conditionalFormatting sqref="J7:J206">
    <cfRule type="expression" dxfId="12" priority="4">
      <formula>$J7="Non"</formula>
    </cfRule>
  </conditionalFormatting>
  <conditionalFormatting sqref="O7:O206">
    <cfRule type="expression" dxfId="11" priority="1" stopIfTrue="1">
      <formula>OR($O7="Km incohérent",$O7="Quantité &gt; réservoir")</formula>
    </cfRule>
    <cfRule type="expression" dxfId="10" priority="2" stopIfTrue="1">
      <formula>OR($O7="Incomplet",$O7="Conso. atypique")</formula>
    </cfRule>
    <cfRule type="expression" dxfId="9" priority="3" stopIfTrue="1">
      <formula>$O7="Conforme"</formula>
    </cfRule>
  </conditionalFormatting>
  <dataValidations count="6">
    <dataValidation type="date" allowBlank="1" showErrorMessage="1" errorTitle="Date non valide" error="Saisissez une date au format jj/mm/aaaa." sqref="C7:C206" xr:uid="{00000000-0002-0000-0200-000000000000}">
      <formula1>36526</formula1>
      <formula2>73051</formula2>
    </dataValidation>
    <dataValidation type="list" allowBlank="1" showErrorMessage="1" errorTitle="Valeur non prévue" error="Choisissez une valeur dans la liste déroulante." sqref="D7:D206" xr:uid="{00000000-0002-0000-0200-000001000000}">
      <formula1>ListeConducteurs</formula1>
    </dataValidation>
    <dataValidation type="whole" allowBlank="1" showErrorMessage="1" errorTitle="Valeur non valide" error="Relevé du compteur au moment du plein." sqref="E7:E206" xr:uid="{00000000-0002-0000-0200-000002000000}">
      <formula1>0</formula1>
      <formula2>2000000</formula2>
    </dataValidation>
    <dataValidation type="decimal" allowBlank="1" showErrorMessage="1" errorTitle="Valeur non valide" error="Saisissez un nombre positif." sqref="G7:H206" xr:uid="{00000000-0002-0000-0200-000003000000}">
      <formula1>0</formula1>
      <formula2>100000</formula2>
    </dataValidation>
    <dataValidation type="list" allowBlank="1" showInputMessage="1" showErrorMessage="1" errorTitle="Valeur non prévue" error="Choisissez une valeur dans la liste déroulante." promptTitle="Plein complet" prompt="Oui si le réservoir (ou la batterie) a été rempli complètement : indispensable au calcul de la consommation." sqref="J7:J206" xr:uid="{00000000-0002-0000-0200-000004000000}">
      <formula1>"Oui,Non"</formula1>
    </dataValidation>
    <dataValidation type="list" allowBlank="1" showErrorMessage="1" errorTitle="Valeur non prévue" error="Choisissez une valeur dans la liste déroulante." sqref="K7:K206" xr:uid="{00000000-0002-0000-0200-000005000000}">
      <formula1>ListeReglements</formula1>
    </dataValidation>
  </dataValidations>
  <printOptions horizontalCentered="1"/>
  <pageMargins left="0.35" right="0.35" top="0.45" bottom="0.55000000000000004" header="0.5" footer="0.5"/>
  <pageSetup paperSize="9" fitToHeight="0" orientation="landscape"/>
  <headerFooter>
    <oddFooter>&amp;L&amp;8 &amp;K7A828CCarnet de bord du véhicule – &amp;A&amp;R&amp;8 &amp;K7A828CPage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D232B"/>
    <pageSetUpPr fitToPage="1"/>
  </sheetPr>
  <dimension ref="A1:N306"/>
  <sheetViews>
    <sheetView showGridLines="0" workbookViewId="0">
      <pane xSplit="3" ySplit="6" topLeftCell="D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3" customWidth="1"/>
    <col min="2" max="2" width="5" customWidth="1"/>
    <col min="3" max="3" width="11" customWidth="1"/>
    <col min="4" max="4" width="12" customWidth="1"/>
    <col min="5" max="5" width="30" customWidth="1"/>
    <col min="6" max="6" width="22" customWidth="1"/>
    <col min="7" max="7" width="30" customWidth="1"/>
    <col min="8" max="8" width="40" customWidth="1"/>
    <col min="9" max="9" width="12" customWidth="1"/>
    <col min="10" max="10" width="20" customWidth="1"/>
    <col min="11" max="11" width="13" customWidth="1"/>
    <col min="12" max="12" width="14" customWidth="1"/>
    <col min="13" max="13" width="18" customWidth="1"/>
    <col min="14" max="14" width="3" customWidth="1"/>
  </cols>
  <sheetData>
    <row r="1" spans="1:14" ht="30" customHeight="1" x14ac:dyDescent="0.35">
      <c r="A1" s="1"/>
      <c r="B1" s="39" t="s">
        <v>204</v>
      </c>
      <c r="M1" s="40" t="str">
        <f>IF(Immatriculation="","",Immatriculation&amp;"   ·   "&amp;TRIM(Marque&amp;" "&amp;Modele))</f>
        <v>GH-482-TK   ·   Voltéra Compacte 1.6 hybride</v>
      </c>
    </row>
    <row r="2" spans="1:14" ht="18" customHeight="1" x14ac:dyDescent="0.25">
      <c r="A2" s="1"/>
      <c r="B2" s="41" t="s">
        <v>205</v>
      </c>
      <c r="M2" s="42" t="str">
        <f>"Kilométrage au compteur : "&amp;FIXED(KmActuel,0)&amp;" km"</f>
        <v>Kilométrage au compteur : 68.387 km</v>
      </c>
    </row>
    <row r="3" spans="1:14" ht="3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21.95" customHeight="1" x14ac:dyDescent="0.25">
      <c r="B4" s="43" t="s">
        <v>206</v>
      </c>
      <c r="I4" s="44" t="s">
        <v>90</v>
      </c>
      <c r="J4" s="153" t="s">
        <v>91</v>
      </c>
      <c r="K4" s="154"/>
    </row>
    <row r="5" spans="1:14" ht="8.1" customHeight="1" x14ac:dyDescent="0.25"/>
    <row r="6" spans="1:14" ht="36" customHeight="1" x14ac:dyDescent="0.25">
      <c r="B6" s="45" t="s">
        <v>92</v>
      </c>
      <c r="C6" s="46" t="s">
        <v>93</v>
      </c>
      <c r="D6" s="46" t="s">
        <v>155</v>
      </c>
      <c r="E6" s="46" t="s">
        <v>207</v>
      </c>
      <c r="F6" s="45" t="s">
        <v>208</v>
      </c>
      <c r="G6" s="46" t="s">
        <v>209</v>
      </c>
      <c r="H6" s="46" t="s">
        <v>210</v>
      </c>
      <c r="I6" s="46" t="s">
        <v>157</v>
      </c>
      <c r="J6" s="46" t="s">
        <v>159</v>
      </c>
      <c r="K6" s="46" t="s">
        <v>211</v>
      </c>
      <c r="L6" s="46" t="s">
        <v>212</v>
      </c>
      <c r="M6" s="45" t="s">
        <v>103</v>
      </c>
    </row>
    <row r="7" spans="1:14" ht="18" customHeight="1" x14ac:dyDescent="0.25">
      <c r="B7" s="47">
        <f>IF(C7="","",COUNT($C$7:C7))</f>
        <v>1</v>
      </c>
      <c r="C7" s="48">
        <v>46400</v>
      </c>
      <c r="D7" s="50">
        <v>49056</v>
      </c>
      <c r="E7" s="49" t="s">
        <v>213</v>
      </c>
      <c r="F7" s="63" t="str">
        <f t="shared" ref="F7:F70" si="0">IF(E7="","",IFERROR(INDEX(NaturesPoste,MATCH(E7,NaturesNoms,0))&amp;"","Nature inconnue"))</f>
        <v>Péages et stationnement</v>
      </c>
      <c r="G7" s="49" t="s">
        <v>214</v>
      </c>
      <c r="H7" s="49" t="s">
        <v>215</v>
      </c>
      <c r="I7" s="56">
        <v>9.8000000000000007</v>
      </c>
      <c r="J7" s="49" t="s">
        <v>168</v>
      </c>
      <c r="K7" s="58" t="s">
        <v>167</v>
      </c>
      <c r="L7" s="49" t="s">
        <v>216</v>
      </c>
      <c r="M7" s="53" t="str">
        <f t="shared" ref="M7:M70" si="1">IF(C7="","",IF(OR(E7="",I7=""),"Incomplet",IF(F7="Nature inconnue","Nature inconnue",IF(AND(ISNUMBER(D7),D7&lt;N(KmOuverture)),"Km &lt; ouverture",IF(AND(D7="",OR(F7="Entretien",F7="Réparations",F7="Pneumatiques")),"Km manquant","Conforme")))))</f>
        <v>Conforme</v>
      </c>
    </row>
    <row r="8" spans="1:14" ht="18" customHeight="1" x14ac:dyDescent="0.25">
      <c r="B8" s="47">
        <f>IF(C8="","",COUNT($C$7:C8))</f>
        <v>2</v>
      </c>
      <c r="C8" s="48">
        <v>46400</v>
      </c>
      <c r="D8" s="50">
        <v>49056</v>
      </c>
      <c r="E8" s="49" t="s">
        <v>217</v>
      </c>
      <c r="F8" s="63" t="str">
        <f t="shared" si="0"/>
        <v>Péages et stationnement</v>
      </c>
      <c r="G8" s="49" t="s">
        <v>218</v>
      </c>
      <c r="H8" s="49" t="s">
        <v>219</v>
      </c>
      <c r="I8" s="56">
        <v>8</v>
      </c>
      <c r="J8" s="49" t="s">
        <v>168</v>
      </c>
      <c r="K8" s="58" t="s">
        <v>167</v>
      </c>
      <c r="L8" s="49" t="s">
        <v>220</v>
      </c>
      <c r="M8" s="53" t="str">
        <f t="shared" si="1"/>
        <v>Conforme</v>
      </c>
    </row>
    <row r="9" spans="1:14" ht="18" customHeight="1" x14ac:dyDescent="0.25">
      <c r="B9" s="47">
        <f>IF(C9="","",COUNT($C$7:C9))</f>
        <v>3</v>
      </c>
      <c r="C9" s="48">
        <v>46410</v>
      </c>
      <c r="D9" s="50">
        <v>49491</v>
      </c>
      <c r="E9" s="49" t="s">
        <v>221</v>
      </c>
      <c r="F9" s="63" t="str">
        <f t="shared" si="0"/>
        <v>Lavage et divers</v>
      </c>
      <c r="G9" s="49" t="s">
        <v>222</v>
      </c>
      <c r="H9" s="49" t="s">
        <v>223</v>
      </c>
      <c r="I9" s="56">
        <v>12</v>
      </c>
      <c r="J9" s="49" t="s">
        <v>224</v>
      </c>
      <c r="K9" s="58" t="s">
        <v>186</v>
      </c>
      <c r="L9" s="49"/>
      <c r="M9" s="53" t="str">
        <f t="shared" si="1"/>
        <v>Conforme</v>
      </c>
    </row>
    <row r="10" spans="1:14" ht="18" customHeight="1" x14ac:dyDescent="0.25">
      <c r="B10" s="47">
        <f>IF(C10="","",COUNT($C$7:C10))</f>
        <v>4</v>
      </c>
      <c r="C10" s="48">
        <v>46412</v>
      </c>
      <c r="D10" s="50">
        <v>49525</v>
      </c>
      <c r="E10" s="49" t="s">
        <v>225</v>
      </c>
      <c r="F10" s="63" t="str">
        <f t="shared" si="0"/>
        <v>Contrôle technique</v>
      </c>
      <c r="G10" s="49" t="s">
        <v>226</v>
      </c>
      <c r="H10" s="49" t="s">
        <v>227</v>
      </c>
      <c r="I10" s="56">
        <v>79</v>
      </c>
      <c r="J10" s="49" t="s">
        <v>168</v>
      </c>
      <c r="K10" s="58" t="s">
        <v>186</v>
      </c>
      <c r="L10" s="49" t="s">
        <v>228</v>
      </c>
      <c r="M10" s="53" t="str">
        <f t="shared" si="1"/>
        <v>Conforme</v>
      </c>
    </row>
    <row r="11" spans="1:14" ht="18" customHeight="1" x14ac:dyDescent="0.25">
      <c r="B11" s="47">
        <f>IF(C11="","",COUNT($C$7:C11))</f>
        <v>5</v>
      </c>
      <c r="C11" s="48">
        <v>46420</v>
      </c>
      <c r="D11" s="50">
        <v>49955</v>
      </c>
      <c r="E11" s="49" t="s">
        <v>213</v>
      </c>
      <c r="F11" s="63" t="str">
        <f t="shared" si="0"/>
        <v>Péages et stationnement</v>
      </c>
      <c r="G11" s="49" t="s">
        <v>214</v>
      </c>
      <c r="H11" s="49" t="s">
        <v>215</v>
      </c>
      <c r="I11" s="56">
        <v>9.8000000000000007</v>
      </c>
      <c r="J11" s="49" t="s">
        <v>168</v>
      </c>
      <c r="K11" s="58" t="s">
        <v>167</v>
      </c>
      <c r="L11" s="49" t="s">
        <v>229</v>
      </c>
      <c r="M11" s="53" t="str">
        <f t="shared" si="1"/>
        <v>Conforme</v>
      </c>
    </row>
    <row r="12" spans="1:14" ht="18" customHeight="1" x14ac:dyDescent="0.25">
      <c r="B12" s="47">
        <f>IF(C12="","",COUNT($C$7:C12))</f>
        <v>6</v>
      </c>
      <c r="C12" s="48">
        <v>46437</v>
      </c>
      <c r="D12" s="50">
        <v>50999</v>
      </c>
      <c r="E12" s="49" t="s">
        <v>213</v>
      </c>
      <c r="F12" s="63" t="str">
        <f t="shared" si="0"/>
        <v>Péages et stationnement</v>
      </c>
      <c r="G12" s="49" t="s">
        <v>214</v>
      </c>
      <c r="H12" s="49" t="s">
        <v>230</v>
      </c>
      <c r="I12" s="56">
        <v>14.6</v>
      </c>
      <c r="J12" s="49" t="s">
        <v>168</v>
      </c>
      <c r="K12" s="58" t="s">
        <v>167</v>
      </c>
      <c r="L12" s="49" t="s">
        <v>231</v>
      </c>
      <c r="M12" s="53" t="str">
        <f t="shared" si="1"/>
        <v>Conforme</v>
      </c>
    </row>
    <row r="13" spans="1:14" ht="18" customHeight="1" x14ac:dyDescent="0.25">
      <c r="B13" s="47">
        <f>IF(C13="","",COUNT($C$7:C13))</f>
        <v>7</v>
      </c>
      <c r="C13" s="48">
        <v>46441</v>
      </c>
      <c r="D13" s="50">
        <v>51277</v>
      </c>
      <c r="E13" s="49" t="s">
        <v>213</v>
      </c>
      <c r="F13" s="63" t="str">
        <f t="shared" si="0"/>
        <v>Péages et stationnement</v>
      </c>
      <c r="G13" s="49" t="s">
        <v>214</v>
      </c>
      <c r="H13" s="49" t="s">
        <v>215</v>
      </c>
      <c r="I13" s="56">
        <v>9.8000000000000007</v>
      </c>
      <c r="J13" s="49" t="s">
        <v>168</v>
      </c>
      <c r="K13" s="58" t="s">
        <v>167</v>
      </c>
      <c r="L13" s="49" t="s">
        <v>232</v>
      </c>
      <c r="M13" s="53" t="str">
        <f t="shared" si="1"/>
        <v>Conforme</v>
      </c>
    </row>
    <row r="14" spans="1:14" ht="18" customHeight="1" x14ac:dyDescent="0.25">
      <c r="B14" s="47">
        <f>IF(C14="","",COUNT($C$7:C14))</f>
        <v>8</v>
      </c>
      <c r="C14" s="48">
        <v>46441</v>
      </c>
      <c r="D14" s="50">
        <v>51277</v>
      </c>
      <c r="E14" s="49" t="s">
        <v>217</v>
      </c>
      <c r="F14" s="63" t="str">
        <f t="shared" si="0"/>
        <v>Péages et stationnement</v>
      </c>
      <c r="G14" s="49" t="s">
        <v>218</v>
      </c>
      <c r="H14" s="49" t="s">
        <v>219</v>
      </c>
      <c r="I14" s="56">
        <v>8</v>
      </c>
      <c r="J14" s="49" t="s">
        <v>168</v>
      </c>
      <c r="K14" s="58" t="s">
        <v>167</v>
      </c>
      <c r="L14" s="49" t="s">
        <v>233</v>
      </c>
      <c r="M14" s="53" t="str">
        <f t="shared" si="1"/>
        <v>Conforme</v>
      </c>
    </row>
    <row r="15" spans="1:14" ht="18" customHeight="1" x14ac:dyDescent="0.25">
      <c r="B15" s="47">
        <f>IF(C15="","",COUNT($C$7:C15))</f>
        <v>9</v>
      </c>
      <c r="C15" s="48">
        <v>46445</v>
      </c>
      <c r="D15" s="50">
        <v>51471</v>
      </c>
      <c r="E15" s="49" t="s">
        <v>221</v>
      </c>
      <c r="F15" s="63" t="str">
        <f t="shared" si="0"/>
        <v>Lavage et divers</v>
      </c>
      <c r="G15" s="49" t="s">
        <v>222</v>
      </c>
      <c r="H15" s="49" t="s">
        <v>223</v>
      </c>
      <c r="I15" s="56">
        <v>12</v>
      </c>
      <c r="J15" s="49" t="s">
        <v>224</v>
      </c>
      <c r="K15" s="58" t="s">
        <v>186</v>
      </c>
      <c r="L15" s="49"/>
      <c r="M15" s="53" t="str">
        <f t="shared" si="1"/>
        <v>Conforme</v>
      </c>
    </row>
    <row r="16" spans="1:14" ht="18" customHeight="1" x14ac:dyDescent="0.25">
      <c r="B16" s="47">
        <f>IF(C16="","",COUNT($C$7:C16))</f>
        <v>10</v>
      </c>
      <c r="C16" s="48">
        <v>46448</v>
      </c>
      <c r="D16" s="50">
        <v>51702</v>
      </c>
      <c r="E16" s="49" t="s">
        <v>213</v>
      </c>
      <c r="F16" s="63" t="str">
        <f t="shared" si="0"/>
        <v>Péages et stationnement</v>
      </c>
      <c r="G16" s="49" t="s">
        <v>214</v>
      </c>
      <c r="H16" s="49" t="s">
        <v>230</v>
      </c>
      <c r="I16" s="56">
        <v>14.6</v>
      </c>
      <c r="J16" s="49" t="s">
        <v>168</v>
      </c>
      <c r="K16" s="58" t="s">
        <v>167</v>
      </c>
      <c r="L16" s="49" t="s">
        <v>234</v>
      </c>
      <c r="M16" s="53" t="str">
        <f t="shared" si="1"/>
        <v>Conforme</v>
      </c>
    </row>
    <row r="17" spans="2:13" ht="18" customHeight="1" x14ac:dyDescent="0.25">
      <c r="B17" s="47">
        <f>IF(C17="","",COUNT($C$7:C17))</f>
        <v>11</v>
      </c>
      <c r="C17" s="48">
        <v>46450</v>
      </c>
      <c r="D17" s="50">
        <v>51854</v>
      </c>
      <c r="E17" s="49" t="s">
        <v>213</v>
      </c>
      <c r="F17" s="63" t="str">
        <f t="shared" si="0"/>
        <v>Péages et stationnement</v>
      </c>
      <c r="G17" s="49" t="s">
        <v>214</v>
      </c>
      <c r="H17" s="49" t="s">
        <v>235</v>
      </c>
      <c r="I17" s="56">
        <v>11.2</v>
      </c>
      <c r="J17" s="49" t="s">
        <v>168</v>
      </c>
      <c r="K17" s="58" t="s">
        <v>167</v>
      </c>
      <c r="L17" s="49" t="s">
        <v>236</v>
      </c>
      <c r="M17" s="53" t="str">
        <f t="shared" si="1"/>
        <v>Conforme</v>
      </c>
    </row>
    <row r="18" spans="2:13" ht="18" customHeight="1" x14ac:dyDescent="0.25">
      <c r="B18" s="47">
        <f>IF(C18="","",COUNT($C$7:C18))</f>
        <v>12</v>
      </c>
      <c r="C18" s="48">
        <v>46462</v>
      </c>
      <c r="D18" s="50">
        <v>52471</v>
      </c>
      <c r="E18" s="49" t="s">
        <v>213</v>
      </c>
      <c r="F18" s="63" t="str">
        <f t="shared" si="0"/>
        <v>Péages et stationnement</v>
      </c>
      <c r="G18" s="49" t="s">
        <v>214</v>
      </c>
      <c r="H18" s="49" t="s">
        <v>215</v>
      </c>
      <c r="I18" s="56">
        <v>9.8000000000000007</v>
      </c>
      <c r="J18" s="49" t="s">
        <v>168</v>
      </c>
      <c r="K18" s="58" t="s">
        <v>167</v>
      </c>
      <c r="L18" s="49" t="s">
        <v>237</v>
      </c>
      <c r="M18" s="53" t="str">
        <f t="shared" si="1"/>
        <v>Conforme</v>
      </c>
    </row>
    <row r="19" spans="2:13" ht="18" customHeight="1" x14ac:dyDescent="0.25">
      <c r="B19" s="47">
        <f>IF(C19="","",COUNT($C$7:C19))</f>
        <v>13</v>
      </c>
      <c r="C19" s="48">
        <v>46462</v>
      </c>
      <c r="D19" s="50">
        <v>52471</v>
      </c>
      <c r="E19" s="49" t="s">
        <v>217</v>
      </c>
      <c r="F19" s="63" t="str">
        <f t="shared" si="0"/>
        <v>Péages et stationnement</v>
      </c>
      <c r="G19" s="49" t="s">
        <v>218</v>
      </c>
      <c r="H19" s="49" t="s">
        <v>219</v>
      </c>
      <c r="I19" s="56">
        <v>8</v>
      </c>
      <c r="J19" s="49" t="s">
        <v>168</v>
      </c>
      <c r="K19" s="58" t="s">
        <v>167</v>
      </c>
      <c r="L19" s="49" t="s">
        <v>238</v>
      </c>
      <c r="M19" s="53" t="str">
        <f t="shared" si="1"/>
        <v>Conforme</v>
      </c>
    </row>
    <row r="20" spans="2:13" ht="18" customHeight="1" x14ac:dyDescent="0.25">
      <c r="B20" s="47">
        <f>IF(C20="","",COUNT($C$7:C20))</f>
        <v>14</v>
      </c>
      <c r="C20" s="48">
        <v>46478</v>
      </c>
      <c r="D20" s="50">
        <v>53489</v>
      </c>
      <c r="E20" s="49" t="s">
        <v>239</v>
      </c>
      <c r="F20" s="63" t="str">
        <f t="shared" si="0"/>
        <v>Assurance</v>
      </c>
      <c r="G20" s="49" t="s">
        <v>240</v>
      </c>
      <c r="H20" s="49" t="s">
        <v>241</v>
      </c>
      <c r="I20" s="56">
        <v>624</v>
      </c>
      <c r="J20" s="49" t="s">
        <v>242</v>
      </c>
      <c r="K20" s="58" t="s">
        <v>186</v>
      </c>
      <c r="L20" s="49" t="s">
        <v>243</v>
      </c>
      <c r="M20" s="53" t="str">
        <f t="shared" si="1"/>
        <v>Conforme</v>
      </c>
    </row>
    <row r="21" spans="2:13" ht="18" customHeight="1" x14ac:dyDescent="0.25">
      <c r="B21" s="47">
        <f>IF(C21="","",COUNT($C$7:C21))</f>
        <v>15</v>
      </c>
      <c r="C21" s="48">
        <v>46480</v>
      </c>
      <c r="D21" s="50">
        <v>53551</v>
      </c>
      <c r="E21" s="49" t="s">
        <v>221</v>
      </c>
      <c r="F21" s="63" t="str">
        <f t="shared" si="0"/>
        <v>Lavage et divers</v>
      </c>
      <c r="G21" s="49" t="s">
        <v>222</v>
      </c>
      <c r="H21" s="49" t="s">
        <v>223</v>
      </c>
      <c r="I21" s="56">
        <v>12</v>
      </c>
      <c r="J21" s="49" t="s">
        <v>224</v>
      </c>
      <c r="K21" s="58" t="s">
        <v>186</v>
      </c>
      <c r="L21" s="49"/>
      <c r="M21" s="53" t="str">
        <f t="shared" si="1"/>
        <v>Conforme</v>
      </c>
    </row>
    <row r="22" spans="2:13" ht="18" customHeight="1" x14ac:dyDescent="0.25">
      <c r="B22" s="47">
        <f>IF(C22="","",COUNT($C$7:C22))</f>
        <v>16</v>
      </c>
      <c r="C22" s="48">
        <v>46485</v>
      </c>
      <c r="D22" s="50">
        <v>53859</v>
      </c>
      <c r="E22" s="49" t="s">
        <v>213</v>
      </c>
      <c r="F22" s="63" t="str">
        <f t="shared" si="0"/>
        <v>Péages et stationnement</v>
      </c>
      <c r="G22" s="49" t="s">
        <v>214</v>
      </c>
      <c r="H22" s="49" t="s">
        <v>215</v>
      </c>
      <c r="I22" s="56">
        <v>9.8000000000000007</v>
      </c>
      <c r="J22" s="49" t="s">
        <v>168</v>
      </c>
      <c r="K22" s="58" t="s">
        <v>167</v>
      </c>
      <c r="L22" s="49" t="s">
        <v>244</v>
      </c>
      <c r="M22" s="53" t="str">
        <f t="shared" si="1"/>
        <v>Conforme</v>
      </c>
    </row>
    <row r="23" spans="2:13" ht="18" customHeight="1" x14ac:dyDescent="0.25">
      <c r="B23" s="47">
        <f>IF(C23="","",COUNT($C$7:C23))</f>
        <v>17</v>
      </c>
      <c r="C23" s="48">
        <v>46497</v>
      </c>
      <c r="D23" s="50">
        <v>54528</v>
      </c>
      <c r="E23" s="49" t="s">
        <v>213</v>
      </c>
      <c r="F23" s="63" t="str">
        <f t="shared" si="0"/>
        <v>Péages et stationnement</v>
      </c>
      <c r="G23" s="49" t="s">
        <v>214</v>
      </c>
      <c r="H23" s="49" t="s">
        <v>215</v>
      </c>
      <c r="I23" s="56">
        <v>9.8000000000000007</v>
      </c>
      <c r="J23" s="49" t="s">
        <v>168</v>
      </c>
      <c r="K23" s="58" t="s">
        <v>167</v>
      </c>
      <c r="L23" s="49" t="s">
        <v>245</v>
      </c>
      <c r="M23" s="53" t="str">
        <f t="shared" si="1"/>
        <v>Conforme</v>
      </c>
    </row>
    <row r="24" spans="2:13" ht="18" customHeight="1" x14ac:dyDescent="0.25">
      <c r="B24" s="47">
        <f>IF(C24="","",COUNT($C$7:C24))</f>
        <v>18</v>
      </c>
      <c r="C24" s="48">
        <v>46497</v>
      </c>
      <c r="D24" s="50">
        <v>54528</v>
      </c>
      <c r="E24" s="49" t="s">
        <v>217</v>
      </c>
      <c r="F24" s="63" t="str">
        <f t="shared" si="0"/>
        <v>Péages et stationnement</v>
      </c>
      <c r="G24" s="49" t="s">
        <v>218</v>
      </c>
      <c r="H24" s="49" t="s">
        <v>219</v>
      </c>
      <c r="I24" s="56">
        <v>8</v>
      </c>
      <c r="J24" s="49" t="s">
        <v>168</v>
      </c>
      <c r="K24" s="58" t="s">
        <v>167</v>
      </c>
      <c r="L24" s="49" t="s">
        <v>246</v>
      </c>
      <c r="M24" s="53" t="str">
        <f t="shared" si="1"/>
        <v>Conforme</v>
      </c>
    </row>
    <row r="25" spans="2:13" ht="18" customHeight="1" x14ac:dyDescent="0.25">
      <c r="B25" s="47">
        <f>IF(C25="","",COUNT($C$7:C25))</f>
        <v>19</v>
      </c>
      <c r="C25" s="48">
        <v>46498</v>
      </c>
      <c r="D25" s="50">
        <v>54670</v>
      </c>
      <c r="E25" s="49" t="s">
        <v>213</v>
      </c>
      <c r="F25" s="63" t="str">
        <f t="shared" si="0"/>
        <v>Péages et stationnement</v>
      </c>
      <c r="G25" s="49" t="s">
        <v>214</v>
      </c>
      <c r="H25" s="49" t="s">
        <v>235</v>
      </c>
      <c r="I25" s="56">
        <v>11.2</v>
      </c>
      <c r="J25" s="49" t="s">
        <v>168</v>
      </c>
      <c r="K25" s="58" t="s">
        <v>167</v>
      </c>
      <c r="L25" s="49" t="s">
        <v>247</v>
      </c>
      <c r="M25" s="53" t="str">
        <f t="shared" si="1"/>
        <v>Conforme</v>
      </c>
    </row>
    <row r="26" spans="2:13" ht="18" customHeight="1" x14ac:dyDescent="0.25">
      <c r="B26" s="47">
        <f>IF(C26="","",COUNT($C$7:C26))</f>
        <v>20</v>
      </c>
      <c r="C26" s="48">
        <v>46504</v>
      </c>
      <c r="D26" s="50">
        <v>55073</v>
      </c>
      <c r="E26" s="49" t="s">
        <v>217</v>
      </c>
      <c r="F26" s="63" t="str">
        <f t="shared" si="0"/>
        <v>Péages et stationnement</v>
      </c>
      <c r="G26" s="49" t="s">
        <v>218</v>
      </c>
      <c r="H26" s="49" t="s">
        <v>219</v>
      </c>
      <c r="I26" s="56">
        <v>8</v>
      </c>
      <c r="J26" s="49" t="s">
        <v>168</v>
      </c>
      <c r="K26" s="58" t="s">
        <v>167</v>
      </c>
      <c r="L26" s="49" t="s">
        <v>248</v>
      </c>
      <c r="M26" s="53" t="str">
        <f t="shared" si="1"/>
        <v>Conforme</v>
      </c>
    </row>
    <row r="27" spans="2:13" ht="18" customHeight="1" x14ac:dyDescent="0.25">
      <c r="B27" s="47">
        <f>IF(C27="","",COUNT($C$7:C27))</f>
        <v>21</v>
      </c>
      <c r="C27" s="48">
        <v>46515</v>
      </c>
      <c r="D27" s="50">
        <v>55507</v>
      </c>
      <c r="E27" s="49" t="s">
        <v>221</v>
      </c>
      <c r="F27" s="63" t="str">
        <f t="shared" si="0"/>
        <v>Lavage et divers</v>
      </c>
      <c r="G27" s="49" t="s">
        <v>222</v>
      </c>
      <c r="H27" s="49" t="s">
        <v>223</v>
      </c>
      <c r="I27" s="56">
        <v>12</v>
      </c>
      <c r="J27" s="49" t="s">
        <v>224</v>
      </c>
      <c r="K27" s="58" t="s">
        <v>186</v>
      </c>
      <c r="L27" s="49"/>
      <c r="M27" s="53" t="str">
        <f t="shared" si="1"/>
        <v>Conforme</v>
      </c>
    </row>
    <row r="28" spans="2:13" ht="18" customHeight="1" x14ac:dyDescent="0.25">
      <c r="B28" s="47">
        <f>IF(C28="","",COUNT($C$7:C28))</f>
        <v>22</v>
      </c>
      <c r="C28" s="48">
        <v>46525</v>
      </c>
      <c r="D28" s="50">
        <v>56024</v>
      </c>
      <c r="E28" s="49" t="s">
        <v>213</v>
      </c>
      <c r="F28" s="63" t="str">
        <f t="shared" si="0"/>
        <v>Péages et stationnement</v>
      </c>
      <c r="G28" s="49" t="s">
        <v>214</v>
      </c>
      <c r="H28" s="49" t="s">
        <v>215</v>
      </c>
      <c r="I28" s="56">
        <v>9.8000000000000007</v>
      </c>
      <c r="J28" s="49" t="s">
        <v>168</v>
      </c>
      <c r="K28" s="58" t="s">
        <v>167</v>
      </c>
      <c r="L28" s="49" t="s">
        <v>249</v>
      </c>
      <c r="M28" s="53" t="str">
        <f t="shared" si="1"/>
        <v>Conforme</v>
      </c>
    </row>
    <row r="29" spans="2:13" ht="18" customHeight="1" x14ac:dyDescent="0.25">
      <c r="B29" s="47">
        <f>IF(C29="","",COUNT($C$7:C29))</f>
        <v>23</v>
      </c>
      <c r="C29" s="48">
        <v>46535</v>
      </c>
      <c r="D29" s="50">
        <v>56995</v>
      </c>
      <c r="E29" s="49" t="s">
        <v>213</v>
      </c>
      <c r="F29" s="63" t="str">
        <f t="shared" si="0"/>
        <v>Péages et stationnement</v>
      </c>
      <c r="G29" s="49" t="s">
        <v>214</v>
      </c>
      <c r="H29" s="49" t="s">
        <v>250</v>
      </c>
      <c r="I29" s="56">
        <v>13.4</v>
      </c>
      <c r="J29" s="49" t="s">
        <v>168</v>
      </c>
      <c r="K29" s="58" t="s">
        <v>167</v>
      </c>
      <c r="L29" s="49" t="s">
        <v>251</v>
      </c>
      <c r="M29" s="53" t="str">
        <f t="shared" si="1"/>
        <v>Conforme</v>
      </c>
    </row>
    <row r="30" spans="2:13" ht="18" customHeight="1" x14ac:dyDescent="0.25">
      <c r="B30" s="47">
        <f>IF(C30="","",COUNT($C$7:C30))</f>
        <v>24</v>
      </c>
      <c r="C30" s="48">
        <v>46541</v>
      </c>
      <c r="D30" s="50">
        <v>57364</v>
      </c>
      <c r="E30" s="49" t="s">
        <v>217</v>
      </c>
      <c r="F30" s="63" t="str">
        <f t="shared" si="0"/>
        <v>Péages et stationnement</v>
      </c>
      <c r="G30" s="49" t="s">
        <v>252</v>
      </c>
      <c r="H30" s="49" t="s">
        <v>219</v>
      </c>
      <c r="I30" s="56">
        <v>6.5</v>
      </c>
      <c r="J30" s="49" t="s">
        <v>168</v>
      </c>
      <c r="K30" s="58" t="s">
        <v>167</v>
      </c>
      <c r="L30" s="49" t="s">
        <v>253</v>
      </c>
      <c r="M30" s="53" t="str">
        <f t="shared" si="1"/>
        <v>Conforme</v>
      </c>
    </row>
    <row r="31" spans="2:13" ht="18" customHeight="1" x14ac:dyDescent="0.25">
      <c r="B31" s="47">
        <f>IF(C31="","",COUNT($C$7:C31))</f>
        <v>25</v>
      </c>
      <c r="C31" s="48">
        <v>46546</v>
      </c>
      <c r="D31" s="50">
        <v>57496</v>
      </c>
      <c r="E31" s="49" t="s">
        <v>217</v>
      </c>
      <c r="F31" s="63" t="str">
        <f t="shared" si="0"/>
        <v>Péages et stationnement</v>
      </c>
      <c r="G31" s="49" t="s">
        <v>254</v>
      </c>
      <c r="H31" s="49" t="s">
        <v>219</v>
      </c>
      <c r="I31" s="56">
        <v>4.2</v>
      </c>
      <c r="J31" s="49" t="s">
        <v>168</v>
      </c>
      <c r="K31" s="58" t="s">
        <v>167</v>
      </c>
      <c r="L31" s="49" t="s">
        <v>255</v>
      </c>
      <c r="M31" s="53" t="str">
        <f t="shared" si="1"/>
        <v>Conforme</v>
      </c>
    </row>
    <row r="32" spans="2:13" ht="18" customHeight="1" x14ac:dyDescent="0.25">
      <c r="B32" s="47">
        <f>IF(C32="","",COUNT($C$7:C32))</f>
        <v>26</v>
      </c>
      <c r="C32" s="48">
        <v>46547</v>
      </c>
      <c r="D32" s="50">
        <v>57496</v>
      </c>
      <c r="E32" s="49" t="s">
        <v>256</v>
      </c>
      <c r="F32" s="63" t="str">
        <f t="shared" si="0"/>
        <v>Entretien</v>
      </c>
      <c r="G32" s="49" t="s">
        <v>257</v>
      </c>
      <c r="H32" s="49" t="s">
        <v>258</v>
      </c>
      <c r="I32" s="56">
        <v>189.5</v>
      </c>
      <c r="J32" s="49" t="s">
        <v>168</v>
      </c>
      <c r="K32" s="58" t="s">
        <v>186</v>
      </c>
      <c r="L32" s="49" t="s">
        <v>259</v>
      </c>
      <c r="M32" s="53" t="str">
        <f t="shared" si="1"/>
        <v>Conforme</v>
      </c>
    </row>
    <row r="33" spans="2:13" ht="18" customHeight="1" x14ac:dyDescent="0.25">
      <c r="B33" s="47">
        <f>IF(C33="","",COUNT($C$7:C33))</f>
        <v>27</v>
      </c>
      <c r="C33" s="48">
        <v>46547</v>
      </c>
      <c r="D33" s="50">
        <v>57496</v>
      </c>
      <c r="E33" s="49" t="s">
        <v>260</v>
      </c>
      <c r="F33" s="63" t="str">
        <f t="shared" si="0"/>
        <v>Réparations</v>
      </c>
      <c r="G33" s="49" t="s">
        <v>257</v>
      </c>
      <c r="H33" s="49" t="s">
        <v>261</v>
      </c>
      <c r="I33" s="56">
        <v>34.9</v>
      </c>
      <c r="J33" s="49" t="s">
        <v>168</v>
      </c>
      <c r="K33" s="58" t="s">
        <v>186</v>
      </c>
      <c r="L33" s="49" t="s">
        <v>259</v>
      </c>
      <c r="M33" s="53" t="str">
        <f t="shared" si="1"/>
        <v>Conforme</v>
      </c>
    </row>
    <row r="34" spans="2:13" ht="18" customHeight="1" x14ac:dyDescent="0.25">
      <c r="B34" s="47">
        <f>IF(C34="","",COUNT($C$7:C34))</f>
        <v>28</v>
      </c>
      <c r="C34" s="48">
        <v>46548</v>
      </c>
      <c r="D34" s="50">
        <v>57665</v>
      </c>
      <c r="E34" s="49" t="s">
        <v>213</v>
      </c>
      <c r="F34" s="63" t="str">
        <f t="shared" si="0"/>
        <v>Péages et stationnement</v>
      </c>
      <c r="G34" s="49" t="s">
        <v>214</v>
      </c>
      <c r="H34" s="49" t="s">
        <v>215</v>
      </c>
      <c r="I34" s="56">
        <v>9.8000000000000007</v>
      </c>
      <c r="J34" s="49" t="s">
        <v>168</v>
      </c>
      <c r="K34" s="58" t="s">
        <v>167</v>
      </c>
      <c r="L34" s="49" t="s">
        <v>262</v>
      </c>
      <c r="M34" s="53" t="str">
        <f t="shared" si="1"/>
        <v>Conforme</v>
      </c>
    </row>
    <row r="35" spans="2:13" ht="18" customHeight="1" x14ac:dyDescent="0.25">
      <c r="B35" s="47">
        <f>IF(C35="","",COUNT($C$7:C35))</f>
        <v>29</v>
      </c>
      <c r="C35" s="48">
        <v>46548</v>
      </c>
      <c r="D35" s="50">
        <v>57665</v>
      </c>
      <c r="E35" s="49" t="s">
        <v>217</v>
      </c>
      <c r="F35" s="63" t="str">
        <f t="shared" si="0"/>
        <v>Péages et stationnement</v>
      </c>
      <c r="G35" s="49" t="s">
        <v>218</v>
      </c>
      <c r="H35" s="49" t="s">
        <v>219</v>
      </c>
      <c r="I35" s="56">
        <v>8</v>
      </c>
      <c r="J35" s="49" t="s">
        <v>168</v>
      </c>
      <c r="K35" s="58" t="s">
        <v>167</v>
      </c>
      <c r="L35" s="49" t="s">
        <v>263</v>
      </c>
      <c r="M35" s="53" t="str">
        <f t="shared" si="1"/>
        <v>Conforme</v>
      </c>
    </row>
    <row r="36" spans="2:13" ht="18" customHeight="1" x14ac:dyDescent="0.25">
      <c r="B36" s="47">
        <f>IF(C36="","",COUNT($C$7:C36))</f>
        <v>30</v>
      </c>
      <c r="C36" s="48">
        <v>46550</v>
      </c>
      <c r="D36" s="50">
        <v>57681</v>
      </c>
      <c r="E36" s="49" t="s">
        <v>221</v>
      </c>
      <c r="F36" s="63" t="str">
        <f t="shared" si="0"/>
        <v>Lavage et divers</v>
      </c>
      <c r="G36" s="49" t="s">
        <v>222</v>
      </c>
      <c r="H36" s="49" t="s">
        <v>223</v>
      </c>
      <c r="I36" s="56">
        <v>12</v>
      </c>
      <c r="J36" s="49" t="s">
        <v>224</v>
      </c>
      <c r="K36" s="58" t="s">
        <v>186</v>
      </c>
      <c r="L36" s="49"/>
      <c r="M36" s="53" t="str">
        <f t="shared" si="1"/>
        <v>Conforme</v>
      </c>
    </row>
    <row r="37" spans="2:13" ht="18" customHeight="1" x14ac:dyDescent="0.25">
      <c r="B37" s="47">
        <f>IF(C37="","",COUNT($C$7:C37))</f>
        <v>31</v>
      </c>
      <c r="C37" s="48">
        <v>46553</v>
      </c>
      <c r="D37" s="50">
        <v>57917</v>
      </c>
      <c r="E37" s="49" t="s">
        <v>213</v>
      </c>
      <c r="F37" s="63" t="str">
        <f t="shared" si="0"/>
        <v>Péages et stationnement</v>
      </c>
      <c r="G37" s="49" t="s">
        <v>214</v>
      </c>
      <c r="H37" s="49" t="s">
        <v>230</v>
      </c>
      <c r="I37" s="56">
        <v>14.6</v>
      </c>
      <c r="J37" s="49" t="s">
        <v>168</v>
      </c>
      <c r="K37" s="58" t="s">
        <v>167</v>
      </c>
      <c r="L37" s="49" t="s">
        <v>264</v>
      </c>
      <c r="M37" s="53" t="str">
        <f t="shared" si="1"/>
        <v>Conforme</v>
      </c>
    </row>
    <row r="38" spans="2:13" ht="18" customHeight="1" x14ac:dyDescent="0.25">
      <c r="B38" s="47">
        <f>IF(C38="","",COUNT($C$7:C38))</f>
        <v>32</v>
      </c>
      <c r="C38" s="48">
        <v>46553</v>
      </c>
      <c r="D38" s="50">
        <v>57917</v>
      </c>
      <c r="E38" s="49" t="s">
        <v>217</v>
      </c>
      <c r="F38" s="63" t="str">
        <f t="shared" si="0"/>
        <v>Péages et stationnement</v>
      </c>
      <c r="G38" s="49" t="s">
        <v>265</v>
      </c>
      <c r="H38" s="49" t="s">
        <v>219</v>
      </c>
      <c r="I38" s="56">
        <v>5.6</v>
      </c>
      <c r="J38" s="49" t="s">
        <v>168</v>
      </c>
      <c r="K38" s="58" t="s">
        <v>167</v>
      </c>
      <c r="L38" s="49" t="s">
        <v>266</v>
      </c>
      <c r="M38" s="53" t="str">
        <f t="shared" si="1"/>
        <v>Conforme</v>
      </c>
    </row>
    <row r="39" spans="2:13" ht="18" customHeight="1" x14ac:dyDescent="0.25">
      <c r="B39" s="47">
        <f>IF(C39="","",COUNT($C$7:C39))</f>
        <v>33</v>
      </c>
      <c r="C39" s="48">
        <v>46567</v>
      </c>
      <c r="D39" s="50">
        <v>58776</v>
      </c>
      <c r="E39" s="49" t="s">
        <v>213</v>
      </c>
      <c r="F39" s="63" t="str">
        <f t="shared" si="0"/>
        <v>Péages et stationnement</v>
      </c>
      <c r="G39" s="49" t="s">
        <v>214</v>
      </c>
      <c r="H39" s="49" t="s">
        <v>215</v>
      </c>
      <c r="I39" s="56">
        <v>9.8000000000000007</v>
      </c>
      <c r="J39" s="49" t="s">
        <v>168</v>
      </c>
      <c r="K39" s="58" t="s">
        <v>167</v>
      </c>
      <c r="L39" s="49" t="s">
        <v>267</v>
      </c>
      <c r="M39" s="53" t="str">
        <f t="shared" si="1"/>
        <v>Conforme</v>
      </c>
    </row>
    <row r="40" spans="2:13" ht="18" customHeight="1" x14ac:dyDescent="0.25">
      <c r="B40" s="47">
        <f>IF(C40="","",COUNT($C$7:C40))</f>
        <v>34</v>
      </c>
      <c r="C40" s="48">
        <v>46567</v>
      </c>
      <c r="D40" s="50">
        <v>58776</v>
      </c>
      <c r="E40" s="49" t="s">
        <v>217</v>
      </c>
      <c r="F40" s="63" t="str">
        <f t="shared" si="0"/>
        <v>Péages et stationnement</v>
      </c>
      <c r="G40" s="49" t="s">
        <v>218</v>
      </c>
      <c r="H40" s="49" t="s">
        <v>219</v>
      </c>
      <c r="I40" s="56">
        <v>8</v>
      </c>
      <c r="J40" s="49" t="s">
        <v>168</v>
      </c>
      <c r="K40" s="58" t="s">
        <v>167</v>
      </c>
      <c r="L40" s="49" t="s">
        <v>268</v>
      </c>
      <c r="M40" s="53" t="str">
        <f t="shared" si="1"/>
        <v>Conforme</v>
      </c>
    </row>
    <row r="41" spans="2:13" ht="18" customHeight="1" x14ac:dyDescent="0.25">
      <c r="B41" s="47">
        <f>IF(C41="","",COUNT($C$7:C41))</f>
        <v>35</v>
      </c>
      <c r="C41" s="48">
        <v>46585</v>
      </c>
      <c r="D41" s="50">
        <v>59565</v>
      </c>
      <c r="E41" s="49" t="s">
        <v>221</v>
      </c>
      <c r="F41" s="63" t="str">
        <f t="shared" si="0"/>
        <v>Lavage et divers</v>
      </c>
      <c r="G41" s="49" t="s">
        <v>222</v>
      </c>
      <c r="H41" s="49" t="s">
        <v>223</v>
      </c>
      <c r="I41" s="56">
        <v>12</v>
      </c>
      <c r="J41" s="49" t="s">
        <v>224</v>
      </c>
      <c r="K41" s="58" t="s">
        <v>186</v>
      </c>
      <c r="L41" s="49"/>
      <c r="M41" s="53" t="str">
        <f t="shared" si="1"/>
        <v>Conforme</v>
      </c>
    </row>
    <row r="42" spans="2:13" ht="18" customHeight="1" x14ac:dyDescent="0.25">
      <c r="B42" s="47">
        <f>IF(C42="","",COUNT($C$7:C42))</f>
        <v>36</v>
      </c>
      <c r="C42" s="48">
        <v>46595</v>
      </c>
      <c r="D42" s="50">
        <v>60166</v>
      </c>
      <c r="E42" s="49" t="s">
        <v>213</v>
      </c>
      <c r="F42" s="63" t="str">
        <f t="shared" si="0"/>
        <v>Péages et stationnement</v>
      </c>
      <c r="G42" s="49" t="s">
        <v>214</v>
      </c>
      <c r="H42" s="49" t="s">
        <v>215</v>
      </c>
      <c r="I42" s="56">
        <v>9.8000000000000007</v>
      </c>
      <c r="J42" s="49" t="s">
        <v>168</v>
      </c>
      <c r="K42" s="58" t="s">
        <v>167</v>
      </c>
      <c r="L42" s="49" t="s">
        <v>269</v>
      </c>
      <c r="M42" s="53" t="str">
        <f t="shared" si="1"/>
        <v>Conforme</v>
      </c>
    </row>
    <row r="43" spans="2:13" ht="18" customHeight="1" x14ac:dyDescent="0.25">
      <c r="B43" s="47">
        <f>IF(C43="","",COUNT($C$7:C43))</f>
        <v>37</v>
      </c>
      <c r="C43" s="48">
        <v>46620</v>
      </c>
      <c r="D43" s="50">
        <v>61001</v>
      </c>
      <c r="E43" s="49" t="s">
        <v>221</v>
      </c>
      <c r="F43" s="63" t="str">
        <f t="shared" si="0"/>
        <v>Lavage et divers</v>
      </c>
      <c r="G43" s="49" t="s">
        <v>222</v>
      </c>
      <c r="H43" s="49" t="s">
        <v>223</v>
      </c>
      <c r="I43" s="56">
        <v>12</v>
      </c>
      <c r="J43" s="49" t="s">
        <v>224</v>
      </c>
      <c r="K43" s="58" t="s">
        <v>186</v>
      </c>
      <c r="L43" s="49"/>
      <c r="M43" s="53" t="str">
        <f t="shared" si="1"/>
        <v>Conforme</v>
      </c>
    </row>
    <row r="44" spans="2:13" ht="18" customHeight="1" x14ac:dyDescent="0.25">
      <c r="B44" s="47">
        <f>IF(C44="","",COUNT($C$7:C44))</f>
        <v>38</v>
      </c>
      <c r="C44" s="48">
        <v>46623</v>
      </c>
      <c r="D44" s="50">
        <v>61237</v>
      </c>
      <c r="E44" s="49" t="s">
        <v>213</v>
      </c>
      <c r="F44" s="63" t="str">
        <f t="shared" si="0"/>
        <v>Péages et stationnement</v>
      </c>
      <c r="G44" s="49" t="s">
        <v>214</v>
      </c>
      <c r="H44" s="49" t="s">
        <v>230</v>
      </c>
      <c r="I44" s="56">
        <v>14.6</v>
      </c>
      <c r="J44" s="49" t="s">
        <v>168</v>
      </c>
      <c r="K44" s="58" t="s">
        <v>167</v>
      </c>
      <c r="L44" s="49" t="s">
        <v>270</v>
      </c>
      <c r="M44" s="53" t="str">
        <f t="shared" si="1"/>
        <v>Conforme</v>
      </c>
    </row>
    <row r="45" spans="2:13" ht="18" customHeight="1" x14ac:dyDescent="0.25">
      <c r="B45" s="47">
        <f>IF(C45="","",COUNT($C$7:C45))</f>
        <v>39</v>
      </c>
      <c r="C45" s="48">
        <v>46623</v>
      </c>
      <c r="D45" s="50">
        <v>61237</v>
      </c>
      <c r="E45" s="49" t="s">
        <v>217</v>
      </c>
      <c r="F45" s="63" t="str">
        <f t="shared" si="0"/>
        <v>Péages et stationnement</v>
      </c>
      <c r="G45" s="49" t="s">
        <v>265</v>
      </c>
      <c r="H45" s="49" t="s">
        <v>219</v>
      </c>
      <c r="I45" s="56">
        <v>5.6</v>
      </c>
      <c r="J45" s="49" t="s">
        <v>168</v>
      </c>
      <c r="K45" s="58" t="s">
        <v>167</v>
      </c>
      <c r="L45" s="49" t="s">
        <v>271</v>
      </c>
      <c r="M45" s="53" t="str">
        <f t="shared" si="1"/>
        <v>Conforme</v>
      </c>
    </row>
    <row r="46" spans="2:13" ht="18" customHeight="1" x14ac:dyDescent="0.25">
      <c r="B46" s="47">
        <f>IF(C46="","",COUNT($C$7:C46))</f>
        <v>40</v>
      </c>
      <c r="C46" s="48">
        <v>46626</v>
      </c>
      <c r="D46" s="50">
        <v>61532</v>
      </c>
      <c r="E46" s="49" t="s">
        <v>213</v>
      </c>
      <c r="F46" s="63" t="str">
        <f t="shared" si="0"/>
        <v>Péages et stationnement</v>
      </c>
      <c r="G46" s="49" t="s">
        <v>214</v>
      </c>
      <c r="H46" s="49" t="s">
        <v>230</v>
      </c>
      <c r="I46" s="56">
        <v>14.6</v>
      </c>
      <c r="J46" s="49" t="s">
        <v>168</v>
      </c>
      <c r="K46" s="58" t="s">
        <v>167</v>
      </c>
      <c r="L46" s="49" t="s">
        <v>272</v>
      </c>
      <c r="M46" s="53" t="str">
        <f t="shared" si="1"/>
        <v>Conforme</v>
      </c>
    </row>
    <row r="47" spans="2:13" ht="18" customHeight="1" x14ac:dyDescent="0.25">
      <c r="B47" s="47">
        <f>IF(C47="","",COUNT($C$7:C47))</f>
        <v>41</v>
      </c>
      <c r="C47" s="48">
        <v>46630</v>
      </c>
      <c r="D47" s="50">
        <v>61780</v>
      </c>
      <c r="E47" s="49" t="s">
        <v>213</v>
      </c>
      <c r="F47" s="63" t="str">
        <f t="shared" si="0"/>
        <v>Péages et stationnement</v>
      </c>
      <c r="G47" s="49" t="s">
        <v>214</v>
      </c>
      <c r="H47" s="49" t="s">
        <v>235</v>
      </c>
      <c r="I47" s="56">
        <v>11.2</v>
      </c>
      <c r="J47" s="49" t="s">
        <v>168</v>
      </c>
      <c r="K47" s="58" t="s">
        <v>167</v>
      </c>
      <c r="L47" s="49" t="s">
        <v>273</v>
      </c>
      <c r="M47" s="53" t="str">
        <f t="shared" si="1"/>
        <v>Conforme</v>
      </c>
    </row>
    <row r="48" spans="2:13" ht="18" customHeight="1" x14ac:dyDescent="0.25">
      <c r="B48" s="47">
        <f>IF(C48="","",COUNT($C$7:C48))</f>
        <v>42</v>
      </c>
      <c r="C48" s="48">
        <v>46632</v>
      </c>
      <c r="D48" s="50">
        <v>61976</v>
      </c>
      <c r="E48" s="49" t="s">
        <v>217</v>
      </c>
      <c r="F48" s="63" t="str">
        <f t="shared" si="0"/>
        <v>Péages et stationnement</v>
      </c>
      <c r="G48" s="49" t="s">
        <v>265</v>
      </c>
      <c r="H48" s="49" t="s">
        <v>219</v>
      </c>
      <c r="I48" s="56">
        <v>5.6</v>
      </c>
      <c r="J48" s="49" t="s">
        <v>168</v>
      </c>
      <c r="K48" s="58" t="s">
        <v>167</v>
      </c>
      <c r="L48" s="49" t="s">
        <v>274</v>
      </c>
      <c r="M48" s="53" t="str">
        <f t="shared" si="1"/>
        <v>Conforme</v>
      </c>
    </row>
    <row r="49" spans="2:13" ht="18" customHeight="1" x14ac:dyDescent="0.25">
      <c r="B49" s="47">
        <f>IF(C49="","",COUNT($C$7:C49))</f>
        <v>43</v>
      </c>
      <c r="C49" s="48">
        <v>46637</v>
      </c>
      <c r="D49" s="50">
        <v>62280</v>
      </c>
      <c r="E49" s="49" t="s">
        <v>213</v>
      </c>
      <c r="F49" s="63" t="str">
        <f t="shared" si="0"/>
        <v>Péages et stationnement</v>
      </c>
      <c r="G49" s="49" t="s">
        <v>214</v>
      </c>
      <c r="H49" s="49" t="s">
        <v>215</v>
      </c>
      <c r="I49" s="56">
        <v>9.8000000000000007</v>
      </c>
      <c r="J49" s="49" t="s">
        <v>168</v>
      </c>
      <c r="K49" s="58" t="s">
        <v>167</v>
      </c>
      <c r="L49" s="49" t="s">
        <v>275</v>
      </c>
      <c r="M49" s="53" t="str">
        <f t="shared" si="1"/>
        <v>Conforme</v>
      </c>
    </row>
    <row r="50" spans="2:13" ht="18" customHeight="1" x14ac:dyDescent="0.25">
      <c r="B50" s="47">
        <f>IF(C50="","",COUNT($C$7:C50))</f>
        <v>44</v>
      </c>
      <c r="C50" s="48">
        <v>46639</v>
      </c>
      <c r="D50" s="50">
        <v>62480</v>
      </c>
      <c r="E50" s="49" t="s">
        <v>213</v>
      </c>
      <c r="F50" s="63" t="str">
        <f t="shared" si="0"/>
        <v>Péages et stationnement</v>
      </c>
      <c r="G50" s="49" t="s">
        <v>214</v>
      </c>
      <c r="H50" s="49" t="s">
        <v>230</v>
      </c>
      <c r="I50" s="56">
        <v>14.6</v>
      </c>
      <c r="J50" s="49" t="s">
        <v>168</v>
      </c>
      <c r="K50" s="58" t="s">
        <v>167</v>
      </c>
      <c r="L50" s="49" t="s">
        <v>276</v>
      </c>
      <c r="M50" s="53" t="str">
        <f t="shared" si="1"/>
        <v>Conforme</v>
      </c>
    </row>
    <row r="51" spans="2:13" ht="18" customHeight="1" x14ac:dyDescent="0.25">
      <c r="B51" s="47">
        <f>IF(C51="","",COUNT($C$7:C51))</f>
        <v>45</v>
      </c>
      <c r="C51" s="48">
        <v>46639</v>
      </c>
      <c r="D51" s="50">
        <v>62480</v>
      </c>
      <c r="E51" s="49" t="s">
        <v>217</v>
      </c>
      <c r="F51" s="63" t="str">
        <f t="shared" si="0"/>
        <v>Péages et stationnement</v>
      </c>
      <c r="G51" s="49" t="s">
        <v>265</v>
      </c>
      <c r="H51" s="49" t="s">
        <v>219</v>
      </c>
      <c r="I51" s="56">
        <v>5.6</v>
      </c>
      <c r="J51" s="49" t="s">
        <v>168</v>
      </c>
      <c r="K51" s="58" t="s">
        <v>167</v>
      </c>
      <c r="L51" s="49" t="s">
        <v>277</v>
      </c>
      <c r="M51" s="53" t="str">
        <f t="shared" si="1"/>
        <v>Conforme</v>
      </c>
    </row>
    <row r="52" spans="2:13" ht="18" customHeight="1" x14ac:dyDescent="0.25">
      <c r="B52" s="47">
        <f>IF(C52="","",COUNT($C$7:C52))</f>
        <v>46</v>
      </c>
      <c r="C52" s="48">
        <v>46653</v>
      </c>
      <c r="D52" s="50">
        <v>63104</v>
      </c>
      <c r="E52" s="49" t="s">
        <v>213</v>
      </c>
      <c r="F52" s="63" t="str">
        <f t="shared" si="0"/>
        <v>Péages et stationnement</v>
      </c>
      <c r="G52" s="49" t="s">
        <v>214</v>
      </c>
      <c r="H52" s="49" t="s">
        <v>215</v>
      </c>
      <c r="I52" s="56">
        <v>9.8000000000000007</v>
      </c>
      <c r="J52" s="49" t="s">
        <v>168</v>
      </c>
      <c r="K52" s="58" t="s">
        <v>167</v>
      </c>
      <c r="L52" s="49" t="s">
        <v>278</v>
      </c>
      <c r="M52" s="53" t="str">
        <f t="shared" si="1"/>
        <v>Conforme</v>
      </c>
    </row>
    <row r="53" spans="2:13" ht="18" customHeight="1" x14ac:dyDescent="0.25">
      <c r="B53" s="47">
        <f>IF(C53="","",COUNT($C$7:C53))</f>
        <v>47</v>
      </c>
      <c r="C53" s="48">
        <v>46655</v>
      </c>
      <c r="D53" s="50">
        <v>63198</v>
      </c>
      <c r="E53" s="49" t="s">
        <v>221</v>
      </c>
      <c r="F53" s="63" t="str">
        <f t="shared" si="0"/>
        <v>Lavage et divers</v>
      </c>
      <c r="G53" s="49" t="s">
        <v>222</v>
      </c>
      <c r="H53" s="49" t="s">
        <v>223</v>
      </c>
      <c r="I53" s="56">
        <v>12</v>
      </c>
      <c r="J53" s="49" t="s">
        <v>224</v>
      </c>
      <c r="K53" s="58" t="s">
        <v>186</v>
      </c>
      <c r="L53" s="49"/>
      <c r="M53" s="53" t="str">
        <f t="shared" si="1"/>
        <v>Conforme</v>
      </c>
    </row>
    <row r="54" spans="2:13" ht="18" customHeight="1" x14ac:dyDescent="0.25">
      <c r="B54" s="47">
        <f>IF(C54="","",COUNT($C$7:C54))</f>
        <v>48</v>
      </c>
      <c r="C54" s="48">
        <v>46658</v>
      </c>
      <c r="D54" s="50">
        <v>63444</v>
      </c>
      <c r="E54" s="49" t="s">
        <v>213</v>
      </c>
      <c r="F54" s="63" t="str">
        <f t="shared" si="0"/>
        <v>Péages et stationnement</v>
      </c>
      <c r="G54" s="49" t="s">
        <v>214</v>
      </c>
      <c r="H54" s="49" t="s">
        <v>250</v>
      </c>
      <c r="I54" s="56">
        <v>13.4</v>
      </c>
      <c r="J54" s="49" t="s">
        <v>168</v>
      </c>
      <c r="K54" s="58" t="s">
        <v>167</v>
      </c>
      <c r="L54" s="49" t="s">
        <v>279</v>
      </c>
      <c r="M54" s="53" t="str">
        <f t="shared" si="1"/>
        <v>Conforme</v>
      </c>
    </row>
    <row r="55" spans="2:13" ht="18" customHeight="1" x14ac:dyDescent="0.25">
      <c r="B55" s="47">
        <f>IF(C55="","",COUNT($C$7:C55))</f>
        <v>49</v>
      </c>
      <c r="C55" s="48">
        <v>46660</v>
      </c>
      <c r="D55" s="50">
        <v>63528</v>
      </c>
      <c r="E55" s="49" t="s">
        <v>217</v>
      </c>
      <c r="F55" s="63" t="str">
        <f t="shared" si="0"/>
        <v>Péages et stationnement</v>
      </c>
      <c r="G55" s="49" t="s">
        <v>254</v>
      </c>
      <c r="H55" s="49" t="s">
        <v>219</v>
      </c>
      <c r="I55" s="56">
        <v>4.2</v>
      </c>
      <c r="J55" s="49" t="s">
        <v>168</v>
      </c>
      <c r="K55" s="58" t="s">
        <v>167</v>
      </c>
      <c r="L55" s="49" t="s">
        <v>280</v>
      </c>
      <c r="M55" s="53" t="str">
        <f t="shared" si="1"/>
        <v>Conforme</v>
      </c>
    </row>
    <row r="56" spans="2:13" ht="18" customHeight="1" x14ac:dyDescent="0.25">
      <c r="B56" s="47">
        <f>IF(C56="","",COUNT($C$7:C56))</f>
        <v>50</v>
      </c>
      <c r="C56" s="48">
        <v>46666</v>
      </c>
      <c r="D56" s="50">
        <v>63899</v>
      </c>
      <c r="E56" s="49" t="s">
        <v>217</v>
      </c>
      <c r="F56" s="63" t="str">
        <f t="shared" si="0"/>
        <v>Péages et stationnement</v>
      </c>
      <c r="G56" s="49" t="s">
        <v>218</v>
      </c>
      <c r="H56" s="49" t="s">
        <v>219</v>
      </c>
      <c r="I56" s="56">
        <v>8</v>
      </c>
      <c r="J56" s="49" t="s">
        <v>168</v>
      </c>
      <c r="K56" s="58" t="s">
        <v>167</v>
      </c>
      <c r="L56" s="49" t="s">
        <v>281</v>
      </c>
      <c r="M56" s="53" t="str">
        <f t="shared" si="1"/>
        <v>Conforme</v>
      </c>
    </row>
    <row r="57" spans="2:13" ht="18" customHeight="1" x14ac:dyDescent="0.25">
      <c r="B57" s="47">
        <f>IF(C57="","",COUNT($C$7:C57))</f>
        <v>51</v>
      </c>
      <c r="C57" s="48">
        <v>46680</v>
      </c>
      <c r="D57" s="50">
        <v>64882</v>
      </c>
      <c r="E57" s="49" t="s">
        <v>213</v>
      </c>
      <c r="F57" s="63" t="str">
        <f t="shared" si="0"/>
        <v>Péages et stationnement</v>
      </c>
      <c r="G57" s="49" t="s">
        <v>214</v>
      </c>
      <c r="H57" s="49" t="s">
        <v>230</v>
      </c>
      <c r="I57" s="56">
        <v>14.6</v>
      </c>
      <c r="J57" s="49" t="s">
        <v>168</v>
      </c>
      <c r="K57" s="58" t="s">
        <v>167</v>
      </c>
      <c r="L57" s="49" t="s">
        <v>282</v>
      </c>
      <c r="M57" s="53" t="str">
        <f t="shared" si="1"/>
        <v>Conforme</v>
      </c>
    </row>
    <row r="58" spans="2:13" ht="18" customHeight="1" x14ac:dyDescent="0.25">
      <c r="B58" s="47">
        <f>IF(C58="","",COUNT($C$7:C58))</f>
        <v>52</v>
      </c>
      <c r="C58" s="48">
        <v>46680</v>
      </c>
      <c r="D58" s="50">
        <v>64882</v>
      </c>
      <c r="E58" s="49" t="s">
        <v>217</v>
      </c>
      <c r="F58" s="63" t="str">
        <f t="shared" si="0"/>
        <v>Péages et stationnement</v>
      </c>
      <c r="G58" s="49" t="s">
        <v>265</v>
      </c>
      <c r="H58" s="49" t="s">
        <v>219</v>
      </c>
      <c r="I58" s="56">
        <v>5.6</v>
      </c>
      <c r="J58" s="49" t="s">
        <v>168</v>
      </c>
      <c r="K58" s="58" t="s">
        <v>167</v>
      </c>
      <c r="L58" s="49" t="s">
        <v>283</v>
      </c>
      <c r="M58" s="53" t="str">
        <f t="shared" si="1"/>
        <v>Conforme</v>
      </c>
    </row>
    <row r="59" spans="2:13" ht="18" customHeight="1" x14ac:dyDescent="0.25">
      <c r="B59" s="47">
        <f>IF(C59="","",COUNT($C$7:C59))</f>
        <v>53</v>
      </c>
      <c r="C59" s="48">
        <v>46686</v>
      </c>
      <c r="D59" s="50">
        <v>65272</v>
      </c>
      <c r="E59" s="49" t="s">
        <v>284</v>
      </c>
      <c r="F59" s="63" t="str">
        <f t="shared" si="0"/>
        <v>Pneumatiques</v>
      </c>
      <c r="G59" s="49" t="s">
        <v>285</v>
      </c>
      <c r="H59" s="49" t="s">
        <v>286</v>
      </c>
      <c r="I59" s="56">
        <v>436</v>
      </c>
      <c r="J59" s="49" t="s">
        <v>168</v>
      </c>
      <c r="K59" s="58" t="s">
        <v>186</v>
      </c>
      <c r="L59" s="49" t="s">
        <v>287</v>
      </c>
      <c r="M59" s="53" t="str">
        <f t="shared" si="1"/>
        <v>Conforme</v>
      </c>
    </row>
    <row r="60" spans="2:13" ht="18" customHeight="1" x14ac:dyDescent="0.25">
      <c r="B60" s="47">
        <f>IF(C60="","",COUNT($C$7:C60))</f>
        <v>54</v>
      </c>
      <c r="C60" s="48">
        <v>46688</v>
      </c>
      <c r="D60" s="50">
        <v>65394</v>
      </c>
      <c r="E60" s="49" t="s">
        <v>217</v>
      </c>
      <c r="F60" s="63" t="str">
        <f t="shared" si="0"/>
        <v>Péages et stationnement</v>
      </c>
      <c r="G60" s="49" t="s">
        <v>252</v>
      </c>
      <c r="H60" s="49" t="s">
        <v>219</v>
      </c>
      <c r="I60" s="56">
        <v>6.5</v>
      </c>
      <c r="J60" s="49" t="s">
        <v>168</v>
      </c>
      <c r="K60" s="58" t="s">
        <v>167</v>
      </c>
      <c r="L60" s="49" t="s">
        <v>288</v>
      </c>
      <c r="M60" s="53" t="str">
        <f t="shared" si="1"/>
        <v>Conforme</v>
      </c>
    </row>
    <row r="61" spans="2:13" ht="18" customHeight="1" x14ac:dyDescent="0.25">
      <c r="B61" s="47">
        <f>IF(C61="","",COUNT($C$7:C61))</f>
        <v>55</v>
      </c>
      <c r="C61" s="48">
        <v>46690</v>
      </c>
      <c r="D61" s="50">
        <v>65459</v>
      </c>
      <c r="E61" s="49" t="s">
        <v>221</v>
      </c>
      <c r="F61" s="63" t="str">
        <f t="shared" si="0"/>
        <v>Lavage et divers</v>
      </c>
      <c r="G61" s="49" t="s">
        <v>222</v>
      </c>
      <c r="H61" s="49" t="s">
        <v>223</v>
      </c>
      <c r="I61" s="56">
        <v>12</v>
      </c>
      <c r="J61" s="49" t="s">
        <v>224</v>
      </c>
      <c r="K61" s="58" t="s">
        <v>186</v>
      </c>
      <c r="L61" s="49"/>
      <c r="M61" s="53" t="str">
        <f t="shared" si="1"/>
        <v>Conforme</v>
      </c>
    </row>
    <row r="62" spans="2:13" ht="18" customHeight="1" x14ac:dyDescent="0.25">
      <c r="B62" s="47">
        <f>IF(C62="","",COUNT($C$7:C62))</f>
        <v>56</v>
      </c>
      <c r="C62" s="48">
        <v>46700</v>
      </c>
      <c r="D62" s="50">
        <v>65951</v>
      </c>
      <c r="E62" s="49" t="s">
        <v>217</v>
      </c>
      <c r="F62" s="63" t="str">
        <f t="shared" si="0"/>
        <v>Péages et stationnement</v>
      </c>
      <c r="G62" s="49" t="s">
        <v>218</v>
      </c>
      <c r="H62" s="49" t="s">
        <v>219</v>
      </c>
      <c r="I62" s="56">
        <v>8</v>
      </c>
      <c r="J62" s="49" t="s">
        <v>168</v>
      </c>
      <c r="K62" s="58" t="s">
        <v>167</v>
      </c>
      <c r="L62" s="49" t="s">
        <v>289</v>
      </c>
      <c r="M62" s="53" t="str">
        <f t="shared" si="1"/>
        <v>Conforme</v>
      </c>
    </row>
    <row r="63" spans="2:13" ht="18" customHeight="1" x14ac:dyDescent="0.25">
      <c r="B63" s="47">
        <f>IF(C63="","",COUNT($C$7:C63))</f>
        <v>57</v>
      </c>
      <c r="C63" s="48">
        <v>46701</v>
      </c>
      <c r="D63" s="50">
        <v>66147</v>
      </c>
      <c r="E63" s="49" t="s">
        <v>213</v>
      </c>
      <c r="F63" s="63" t="str">
        <f t="shared" si="0"/>
        <v>Péages et stationnement</v>
      </c>
      <c r="G63" s="49" t="s">
        <v>214</v>
      </c>
      <c r="H63" s="49" t="s">
        <v>230</v>
      </c>
      <c r="I63" s="56">
        <v>14.6</v>
      </c>
      <c r="J63" s="49" t="s">
        <v>168</v>
      </c>
      <c r="K63" s="58" t="s">
        <v>167</v>
      </c>
      <c r="L63" s="49" t="s">
        <v>290</v>
      </c>
      <c r="M63" s="53" t="str">
        <f t="shared" si="1"/>
        <v>Conforme</v>
      </c>
    </row>
    <row r="64" spans="2:13" ht="18" customHeight="1" x14ac:dyDescent="0.25">
      <c r="B64" s="47">
        <f>IF(C64="","",COUNT($C$7:C64))</f>
        <v>58</v>
      </c>
      <c r="C64" s="48">
        <v>46703</v>
      </c>
      <c r="D64" s="50">
        <v>66361</v>
      </c>
      <c r="E64" s="49" t="s">
        <v>213</v>
      </c>
      <c r="F64" s="63" t="str">
        <f t="shared" si="0"/>
        <v>Péages et stationnement</v>
      </c>
      <c r="G64" s="49" t="s">
        <v>214</v>
      </c>
      <c r="H64" s="49" t="s">
        <v>250</v>
      </c>
      <c r="I64" s="56">
        <v>13.4</v>
      </c>
      <c r="J64" s="49" t="s">
        <v>168</v>
      </c>
      <c r="K64" s="58" t="s">
        <v>167</v>
      </c>
      <c r="L64" s="49" t="s">
        <v>291</v>
      </c>
      <c r="M64" s="53" t="str">
        <f t="shared" si="1"/>
        <v>Conforme</v>
      </c>
    </row>
    <row r="65" spans="2:13" ht="18" customHeight="1" x14ac:dyDescent="0.25">
      <c r="B65" s="47">
        <f>IF(C65="","",COUNT($C$7:C65))</f>
        <v>59</v>
      </c>
      <c r="C65" s="48">
        <v>46709</v>
      </c>
      <c r="D65" s="50">
        <v>66727</v>
      </c>
      <c r="E65" s="49" t="s">
        <v>292</v>
      </c>
      <c r="F65" s="63" t="str">
        <f t="shared" si="0"/>
        <v>Lavage et divers</v>
      </c>
      <c r="G65" s="49" t="s">
        <v>293</v>
      </c>
      <c r="H65" s="49" t="s">
        <v>294</v>
      </c>
      <c r="I65" s="56">
        <v>18.7</v>
      </c>
      <c r="J65" s="49" t="s">
        <v>224</v>
      </c>
      <c r="K65" s="58" t="s">
        <v>186</v>
      </c>
      <c r="L65" s="49"/>
      <c r="M65" s="53" t="str">
        <f t="shared" si="1"/>
        <v>Conforme</v>
      </c>
    </row>
    <row r="66" spans="2:13" ht="18" customHeight="1" x14ac:dyDescent="0.25">
      <c r="B66" s="47">
        <f>IF(C66="","",COUNT($C$7:C66))</f>
        <v>60</v>
      </c>
      <c r="C66" s="48">
        <v>46714</v>
      </c>
      <c r="D66" s="50">
        <v>67026</v>
      </c>
      <c r="E66" s="49" t="s">
        <v>213</v>
      </c>
      <c r="F66" s="63" t="str">
        <f t="shared" si="0"/>
        <v>Péages et stationnement</v>
      </c>
      <c r="G66" s="49" t="s">
        <v>214</v>
      </c>
      <c r="H66" s="49" t="s">
        <v>215</v>
      </c>
      <c r="I66" s="56">
        <v>9.8000000000000007</v>
      </c>
      <c r="J66" s="49" t="s">
        <v>168</v>
      </c>
      <c r="K66" s="58" t="s">
        <v>167</v>
      </c>
      <c r="L66" s="49" t="s">
        <v>295</v>
      </c>
      <c r="M66" s="53" t="str">
        <f t="shared" si="1"/>
        <v>Conforme</v>
      </c>
    </row>
    <row r="67" spans="2:13" ht="18" customHeight="1" x14ac:dyDescent="0.25">
      <c r="B67" s="47">
        <f>IF(C67="","",COUNT($C$7:C67))</f>
        <v>61</v>
      </c>
      <c r="C67" s="48">
        <v>46714</v>
      </c>
      <c r="D67" s="50">
        <v>67026</v>
      </c>
      <c r="E67" s="49" t="s">
        <v>217</v>
      </c>
      <c r="F67" s="63" t="str">
        <f t="shared" si="0"/>
        <v>Péages et stationnement</v>
      </c>
      <c r="G67" s="49" t="s">
        <v>218</v>
      </c>
      <c r="H67" s="49" t="s">
        <v>219</v>
      </c>
      <c r="I67" s="56">
        <v>8</v>
      </c>
      <c r="J67" s="49" t="s">
        <v>168</v>
      </c>
      <c r="K67" s="58" t="s">
        <v>167</v>
      </c>
      <c r="L67" s="49" t="s">
        <v>296</v>
      </c>
      <c r="M67" s="53" t="str">
        <f t="shared" si="1"/>
        <v>Conforme</v>
      </c>
    </row>
    <row r="68" spans="2:13" ht="18" customHeight="1" x14ac:dyDescent="0.25">
      <c r="B68" s="47">
        <f>IF(C68="","",COUNT($C$7:C68))</f>
        <v>62</v>
      </c>
      <c r="C68" s="48">
        <v>46725</v>
      </c>
      <c r="D68" s="50">
        <v>67639</v>
      </c>
      <c r="E68" s="49" t="s">
        <v>221</v>
      </c>
      <c r="F68" s="63" t="str">
        <f t="shared" si="0"/>
        <v>Lavage et divers</v>
      </c>
      <c r="G68" s="49" t="s">
        <v>222</v>
      </c>
      <c r="H68" s="49" t="s">
        <v>223</v>
      </c>
      <c r="I68" s="56">
        <v>12</v>
      </c>
      <c r="J68" s="49" t="s">
        <v>224</v>
      </c>
      <c r="K68" s="58" t="s">
        <v>186</v>
      </c>
      <c r="L68" s="49"/>
      <c r="M68" s="53" t="str">
        <f t="shared" si="1"/>
        <v>Conforme</v>
      </c>
    </row>
    <row r="69" spans="2:13" ht="18" customHeight="1" x14ac:dyDescent="0.25">
      <c r="B69" s="47">
        <f>IF(C69="","",COUNT($C$7:C69))</f>
        <v>63</v>
      </c>
      <c r="C69" s="48">
        <v>46730</v>
      </c>
      <c r="D69" s="50">
        <v>68081</v>
      </c>
      <c r="E69" s="49" t="s">
        <v>213</v>
      </c>
      <c r="F69" s="63" t="str">
        <f t="shared" si="0"/>
        <v>Péages et stationnement</v>
      </c>
      <c r="G69" s="49" t="s">
        <v>214</v>
      </c>
      <c r="H69" s="49" t="s">
        <v>230</v>
      </c>
      <c r="I69" s="56">
        <v>14.6</v>
      </c>
      <c r="J69" s="49" t="s">
        <v>168</v>
      </c>
      <c r="K69" s="58" t="s">
        <v>167</v>
      </c>
      <c r="L69" s="49" t="s">
        <v>297</v>
      </c>
      <c r="M69" s="53" t="str">
        <f t="shared" si="1"/>
        <v>Conforme</v>
      </c>
    </row>
    <row r="70" spans="2:13" ht="18" customHeight="1" x14ac:dyDescent="0.25">
      <c r="B70" s="47">
        <f>IF(C70="","",COUNT($C$7:C70))</f>
        <v>64</v>
      </c>
      <c r="C70" s="48">
        <v>46730</v>
      </c>
      <c r="D70" s="50">
        <v>68081</v>
      </c>
      <c r="E70" s="49" t="s">
        <v>217</v>
      </c>
      <c r="F70" s="63" t="str">
        <f t="shared" si="0"/>
        <v>Péages et stationnement</v>
      </c>
      <c r="G70" s="49" t="s">
        <v>265</v>
      </c>
      <c r="H70" s="49" t="s">
        <v>219</v>
      </c>
      <c r="I70" s="56">
        <v>5.6</v>
      </c>
      <c r="J70" s="49" t="s">
        <v>168</v>
      </c>
      <c r="K70" s="58" t="s">
        <v>167</v>
      </c>
      <c r="L70" s="49" t="s">
        <v>298</v>
      </c>
      <c r="M70" s="53" t="str">
        <f t="shared" si="1"/>
        <v>Conforme</v>
      </c>
    </row>
    <row r="71" spans="2:13" ht="18" customHeight="1" x14ac:dyDescent="0.25">
      <c r="B71" s="47" t="str">
        <f>IF(C71="","",COUNT($C$7:C71))</f>
        <v/>
      </c>
      <c r="C71" s="48"/>
      <c r="D71" s="50"/>
      <c r="E71" s="49"/>
      <c r="F71" s="63" t="str">
        <f t="shared" ref="F71:F134" si="2">IF(E71="","",IFERROR(INDEX(NaturesPoste,MATCH(E71,NaturesNoms,0))&amp;"","Nature inconnue"))</f>
        <v/>
      </c>
      <c r="G71" s="49"/>
      <c r="H71" s="49"/>
      <c r="I71" s="56"/>
      <c r="J71" s="49"/>
      <c r="K71" s="58"/>
      <c r="L71" s="49"/>
      <c r="M71" s="53" t="str">
        <f t="shared" ref="M71:M134" si="3">IF(C71="","",IF(OR(E71="",I71=""),"Incomplet",IF(F71="Nature inconnue","Nature inconnue",IF(AND(ISNUMBER(D71),D71&lt;N(KmOuverture)),"Km &lt; ouverture",IF(AND(D71="",OR(F71="Entretien",F71="Réparations",F71="Pneumatiques")),"Km manquant","Conforme")))))</f>
        <v/>
      </c>
    </row>
    <row r="72" spans="2:13" ht="18" customHeight="1" x14ac:dyDescent="0.25">
      <c r="B72" s="47" t="str">
        <f>IF(C72="","",COUNT($C$7:C72))</f>
        <v/>
      </c>
      <c r="C72" s="48"/>
      <c r="D72" s="50"/>
      <c r="E72" s="49"/>
      <c r="F72" s="63" t="str">
        <f t="shared" si="2"/>
        <v/>
      </c>
      <c r="G72" s="49"/>
      <c r="H72" s="49"/>
      <c r="I72" s="56"/>
      <c r="J72" s="49"/>
      <c r="K72" s="58"/>
      <c r="L72" s="49"/>
      <c r="M72" s="53" t="str">
        <f t="shared" si="3"/>
        <v/>
      </c>
    </row>
    <row r="73" spans="2:13" ht="18" customHeight="1" x14ac:dyDescent="0.25">
      <c r="B73" s="47" t="str">
        <f>IF(C73="","",COUNT($C$7:C73))</f>
        <v/>
      </c>
      <c r="C73" s="48"/>
      <c r="D73" s="50"/>
      <c r="E73" s="49"/>
      <c r="F73" s="63" t="str">
        <f t="shared" si="2"/>
        <v/>
      </c>
      <c r="G73" s="49"/>
      <c r="H73" s="49"/>
      <c r="I73" s="56"/>
      <c r="J73" s="49"/>
      <c r="K73" s="58"/>
      <c r="L73" s="49"/>
      <c r="M73" s="53" t="str">
        <f t="shared" si="3"/>
        <v/>
      </c>
    </row>
    <row r="74" spans="2:13" ht="18" customHeight="1" x14ac:dyDescent="0.25">
      <c r="B74" s="47" t="str">
        <f>IF(C74="","",COUNT($C$7:C74))</f>
        <v/>
      </c>
      <c r="C74" s="48"/>
      <c r="D74" s="50"/>
      <c r="E74" s="49"/>
      <c r="F74" s="63" t="str">
        <f t="shared" si="2"/>
        <v/>
      </c>
      <c r="G74" s="49"/>
      <c r="H74" s="49"/>
      <c r="I74" s="56"/>
      <c r="J74" s="49"/>
      <c r="K74" s="58"/>
      <c r="L74" s="49"/>
      <c r="M74" s="53" t="str">
        <f t="shared" si="3"/>
        <v/>
      </c>
    </row>
    <row r="75" spans="2:13" ht="18" customHeight="1" x14ac:dyDescent="0.25">
      <c r="B75" s="47" t="str">
        <f>IF(C75="","",COUNT($C$7:C75))</f>
        <v/>
      </c>
      <c r="C75" s="48"/>
      <c r="D75" s="50"/>
      <c r="E75" s="49"/>
      <c r="F75" s="63" t="str">
        <f t="shared" si="2"/>
        <v/>
      </c>
      <c r="G75" s="49"/>
      <c r="H75" s="49"/>
      <c r="I75" s="56"/>
      <c r="J75" s="49"/>
      <c r="K75" s="58"/>
      <c r="L75" s="49"/>
      <c r="M75" s="53" t="str">
        <f t="shared" si="3"/>
        <v/>
      </c>
    </row>
    <row r="76" spans="2:13" ht="18" customHeight="1" x14ac:dyDescent="0.25">
      <c r="B76" s="47" t="str">
        <f>IF(C76="","",COUNT($C$7:C76))</f>
        <v/>
      </c>
      <c r="C76" s="48"/>
      <c r="D76" s="50"/>
      <c r="E76" s="49"/>
      <c r="F76" s="63" t="str">
        <f t="shared" si="2"/>
        <v/>
      </c>
      <c r="G76" s="49"/>
      <c r="H76" s="49"/>
      <c r="I76" s="56"/>
      <c r="J76" s="49"/>
      <c r="K76" s="58"/>
      <c r="L76" s="49"/>
      <c r="M76" s="53" t="str">
        <f t="shared" si="3"/>
        <v/>
      </c>
    </row>
    <row r="77" spans="2:13" ht="18" customHeight="1" x14ac:dyDescent="0.25">
      <c r="B77" s="47" t="str">
        <f>IF(C77="","",COUNT($C$7:C77))</f>
        <v/>
      </c>
      <c r="C77" s="48"/>
      <c r="D77" s="50"/>
      <c r="E77" s="49"/>
      <c r="F77" s="63" t="str">
        <f t="shared" si="2"/>
        <v/>
      </c>
      <c r="G77" s="49"/>
      <c r="H77" s="49"/>
      <c r="I77" s="56"/>
      <c r="J77" s="49"/>
      <c r="K77" s="58"/>
      <c r="L77" s="49"/>
      <c r="M77" s="53" t="str">
        <f t="shared" si="3"/>
        <v/>
      </c>
    </row>
    <row r="78" spans="2:13" ht="18" customHeight="1" x14ac:dyDescent="0.25">
      <c r="B78" s="47" t="str">
        <f>IF(C78="","",COUNT($C$7:C78))</f>
        <v/>
      </c>
      <c r="C78" s="48"/>
      <c r="D78" s="50"/>
      <c r="E78" s="49"/>
      <c r="F78" s="63" t="str">
        <f t="shared" si="2"/>
        <v/>
      </c>
      <c r="G78" s="49"/>
      <c r="H78" s="49"/>
      <c r="I78" s="56"/>
      <c r="J78" s="49"/>
      <c r="K78" s="58"/>
      <c r="L78" s="49"/>
      <c r="M78" s="53" t="str">
        <f t="shared" si="3"/>
        <v/>
      </c>
    </row>
    <row r="79" spans="2:13" ht="18" customHeight="1" x14ac:dyDescent="0.25">
      <c r="B79" s="47" t="str">
        <f>IF(C79="","",COUNT($C$7:C79))</f>
        <v/>
      </c>
      <c r="C79" s="48"/>
      <c r="D79" s="50"/>
      <c r="E79" s="49"/>
      <c r="F79" s="63" t="str">
        <f t="shared" si="2"/>
        <v/>
      </c>
      <c r="G79" s="49"/>
      <c r="H79" s="49"/>
      <c r="I79" s="56"/>
      <c r="J79" s="49"/>
      <c r="K79" s="58"/>
      <c r="L79" s="49"/>
      <c r="M79" s="53" t="str">
        <f t="shared" si="3"/>
        <v/>
      </c>
    </row>
    <row r="80" spans="2:13" ht="18" customHeight="1" x14ac:dyDescent="0.25">
      <c r="B80" s="47" t="str">
        <f>IF(C80="","",COUNT($C$7:C80))</f>
        <v/>
      </c>
      <c r="C80" s="48"/>
      <c r="D80" s="50"/>
      <c r="E80" s="49"/>
      <c r="F80" s="63" t="str">
        <f t="shared" si="2"/>
        <v/>
      </c>
      <c r="G80" s="49"/>
      <c r="H80" s="49"/>
      <c r="I80" s="56"/>
      <c r="J80" s="49"/>
      <c r="K80" s="58"/>
      <c r="L80" s="49"/>
      <c r="M80" s="53" t="str">
        <f t="shared" si="3"/>
        <v/>
      </c>
    </row>
    <row r="81" spans="2:13" ht="18" customHeight="1" x14ac:dyDescent="0.25">
      <c r="B81" s="47" t="str">
        <f>IF(C81="","",COUNT($C$7:C81))</f>
        <v/>
      </c>
      <c r="C81" s="48"/>
      <c r="D81" s="50"/>
      <c r="E81" s="49"/>
      <c r="F81" s="63" t="str">
        <f t="shared" si="2"/>
        <v/>
      </c>
      <c r="G81" s="49"/>
      <c r="H81" s="49"/>
      <c r="I81" s="56"/>
      <c r="J81" s="49"/>
      <c r="K81" s="58"/>
      <c r="L81" s="49"/>
      <c r="M81" s="53" t="str">
        <f t="shared" si="3"/>
        <v/>
      </c>
    </row>
    <row r="82" spans="2:13" ht="18" customHeight="1" x14ac:dyDescent="0.25">
      <c r="B82" s="47" t="str">
        <f>IF(C82="","",COUNT($C$7:C82))</f>
        <v/>
      </c>
      <c r="C82" s="48"/>
      <c r="D82" s="50"/>
      <c r="E82" s="49"/>
      <c r="F82" s="63" t="str">
        <f t="shared" si="2"/>
        <v/>
      </c>
      <c r="G82" s="49"/>
      <c r="H82" s="49"/>
      <c r="I82" s="56"/>
      <c r="J82" s="49"/>
      <c r="K82" s="58"/>
      <c r="L82" s="49"/>
      <c r="M82" s="53" t="str">
        <f t="shared" si="3"/>
        <v/>
      </c>
    </row>
    <row r="83" spans="2:13" ht="18" customHeight="1" x14ac:dyDescent="0.25">
      <c r="B83" s="47" t="str">
        <f>IF(C83="","",COUNT($C$7:C83))</f>
        <v/>
      </c>
      <c r="C83" s="48"/>
      <c r="D83" s="50"/>
      <c r="E83" s="49"/>
      <c r="F83" s="63" t="str">
        <f t="shared" si="2"/>
        <v/>
      </c>
      <c r="G83" s="49"/>
      <c r="H83" s="49"/>
      <c r="I83" s="56"/>
      <c r="J83" s="49"/>
      <c r="K83" s="58"/>
      <c r="L83" s="49"/>
      <c r="M83" s="53" t="str">
        <f t="shared" si="3"/>
        <v/>
      </c>
    </row>
    <row r="84" spans="2:13" ht="18" customHeight="1" x14ac:dyDescent="0.25">
      <c r="B84" s="47" t="str">
        <f>IF(C84="","",COUNT($C$7:C84))</f>
        <v/>
      </c>
      <c r="C84" s="48"/>
      <c r="D84" s="50"/>
      <c r="E84" s="49"/>
      <c r="F84" s="63" t="str">
        <f t="shared" si="2"/>
        <v/>
      </c>
      <c r="G84" s="49"/>
      <c r="H84" s="49"/>
      <c r="I84" s="56"/>
      <c r="J84" s="49"/>
      <c r="K84" s="58"/>
      <c r="L84" s="49"/>
      <c r="M84" s="53" t="str">
        <f t="shared" si="3"/>
        <v/>
      </c>
    </row>
    <row r="85" spans="2:13" ht="18" customHeight="1" x14ac:dyDescent="0.25">
      <c r="B85" s="47" t="str">
        <f>IF(C85="","",COUNT($C$7:C85))</f>
        <v/>
      </c>
      <c r="C85" s="48"/>
      <c r="D85" s="50"/>
      <c r="E85" s="49"/>
      <c r="F85" s="63" t="str">
        <f t="shared" si="2"/>
        <v/>
      </c>
      <c r="G85" s="49"/>
      <c r="H85" s="49"/>
      <c r="I85" s="56"/>
      <c r="J85" s="49"/>
      <c r="K85" s="58"/>
      <c r="L85" s="49"/>
      <c r="M85" s="53" t="str">
        <f t="shared" si="3"/>
        <v/>
      </c>
    </row>
    <row r="86" spans="2:13" ht="18" customHeight="1" x14ac:dyDescent="0.25">
      <c r="B86" s="47" t="str">
        <f>IF(C86="","",COUNT($C$7:C86))</f>
        <v/>
      </c>
      <c r="C86" s="48"/>
      <c r="D86" s="50"/>
      <c r="E86" s="49"/>
      <c r="F86" s="63" t="str">
        <f t="shared" si="2"/>
        <v/>
      </c>
      <c r="G86" s="49"/>
      <c r="H86" s="49"/>
      <c r="I86" s="56"/>
      <c r="J86" s="49"/>
      <c r="K86" s="58"/>
      <c r="L86" s="49"/>
      <c r="M86" s="53" t="str">
        <f t="shared" si="3"/>
        <v/>
      </c>
    </row>
    <row r="87" spans="2:13" ht="18" customHeight="1" x14ac:dyDescent="0.25">
      <c r="B87" s="47" t="str">
        <f>IF(C87="","",COUNT($C$7:C87))</f>
        <v/>
      </c>
      <c r="C87" s="48"/>
      <c r="D87" s="50"/>
      <c r="E87" s="49"/>
      <c r="F87" s="63" t="str">
        <f t="shared" si="2"/>
        <v/>
      </c>
      <c r="G87" s="49"/>
      <c r="H87" s="49"/>
      <c r="I87" s="56"/>
      <c r="J87" s="49"/>
      <c r="K87" s="58"/>
      <c r="L87" s="49"/>
      <c r="M87" s="53" t="str">
        <f t="shared" si="3"/>
        <v/>
      </c>
    </row>
    <row r="88" spans="2:13" ht="18" customHeight="1" x14ac:dyDescent="0.25">
      <c r="B88" s="47" t="str">
        <f>IF(C88="","",COUNT($C$7:C88))</f>
        <v/>
      </c>
      <c r="C88" s="48"/>
      <c r="D88" s="50"/>
      <c r="E88" s="49"/>
      <c r="F88" s="63" t="str">
        <f t="shared" si="2"/>
        <v/>
      </c>
      <c r="G88" s="49"/>
      <c r="H88" s="49"/>
      <c r="I88" s="56"/>
      <c r="J88" s="49"/>
      <c r="K88" s="58"/>
      <c r="L88" s="49"/>
      <c r="M88" s="53" t="str">
        <f t="shared" si="3"/>
        <v/>
      </c>
    </row>
    <row r="89" spans="2:13" ht="18" customHeight="1" x14ac:dyDescent="0.25">
      <c r="B89" s="47" t="str">
        <f>IF(C89="","",COUNT($C$7:C89))</f>
        <v/>
      </c>
      <c r="C89" s="48"/>
      <c r="D89" s="50"/>
      <c r="E89" s="49"/>
      <c r="F89" s="63" t="str">
        <f t="shared" si="2"/>
        <v/>
      </c>
      <c r="G89" s="49"/>
      <c r="H89" s="49"/>
      <c r="I89" s="56"/>
      <c r="J89" s="49"/>
      <c r="K89" s="58"/>
      <c r="L89" s="49"/>
      <c r="M89" s="53" t="str">
        <f t="shared" si="3"/>
        <v/>
      </c>
    </row>
    <row r="90" spans="2:13" ht="18" customHeight="1" x14ac:dyDescent="0.25">
      <c r="B90" s="47" t="str">
        <f>IF(C90="","",COUNT($C$7:C90))</f>
        <v/>
      </c>
      <c r="C90" s="48"/>
      <c r="D90" s="50"/>
      <c r="E90" s="49"/>
      <c r="F90" s="63" t="str">
        <f t="shared" si="2"/>
        <v/>
      </c>
      <c r="G90" s="49"/>
      <c r="H90" s="49"/>
      <c r="I90" s="56"/>
      <c r="J90" s="49"/>
      <c r="K90" s="58"/>
      <c r="L90" s="49"/>
      <c r="M90" s="53" t="str">
        <f t="shared" si="3"/>
        <v/>
      </c>
    </row>
    <row r="91" spans="2:13" ht="18" customHeight="1" x14ac:dyDescent="0.25">
      <c r="B91" s="47" t="str">
        <f>IF(C91="","",COUNT($C$7:C91))</f>
        <v/>
      </c>
      <c r="C91" s="48"/>
      <c r="D91" s="50"/>
      <c r="E91" s="49"/>
      <c r="F91" s="63" t="str">
        <f t="shared" si="2"/>
        <v/>
      </c>
      <c r="G91" s="49"/>
      <c r="H91" s="49"/>
      <c r="I91" s="56"/>
      <c r="J91" s="49"/>
      <c r="K91" s="58"/>
      <c r="L91" s="49"/>
      <c r="M91" s="53" t="str">
        <f t="shared" si="3"/>
        <v/>
      </c>
    </row>
    <row r="92" spans="2:13" ht="18" customHeight="1" x14ac:dyDescent="0.25">
      <c r="B92" s="47" t="str">
        <f>IF(C92="","",COUNT($C$7:C92))</f>
        <v/>
      </c>
      <c r="C92" s="48"/>
      <c r="D92" s="50"/>
      <c r="E92" s="49"/>
      <c r="F92" s="63" t="str">
        <f t="shared" si="2"/>
        <v/>
      </c>
      <c r="G92" s="49"/>
      <c r="H92" s="49"/>
      <c r="I92" s="56"/>
      <c r="J92" s="49"/>
      <c r="K92" s="58"/>
      <c r="L92" s="49"/>
      <c r="M92" s="53" t="str">
        <f t="shared" si="3"/>
        <v/>
      </c>
    </row>
    <row r="93" spans="2:13" ht="18" customHeight="1" x14ac:dyDescent="0.25">
      <c r="B93" s="47" t="str">
        <f>IF(C93="","",COUNT($C$7:C93))</f>
        <v/>
      </c>
      <c r="C93" s="48"/>
      <c r="D93" s="50"/>
      <c r="E93" s="49"/>
      <c r="F93" s="63" t="str">
        <f t="shared" si="2"/>
        <v/>
      </c>
      <c r="G93" s="49"/>
      <c r="H93" s="49"/>
      <c r="I93" s="56"/>
      <c r="J93" s="49"/>
      <c r="K93" s="58"/>
      <c r="L93" s="49"/>
      <c r="M93" s="53" t="str">
        <f t="shared" si="3"/>
        <v/>
      </c>
    </row>
    <row r="94" spans="2:13" ht="18" customHeight="1" x14ac:dyDescent="0.25">
      <c r="B94" s="47" t="str">
        <f>IF(C94="","",COUNT($C$7:C94))</f>
        <v/>
      </c>
      <c r="C94" s="48"/>
      <c r="D94" s="50"/>
      <c r="E94" s="49"/>
      <c r="F94" s="63" t="str">
        <f t="shared" si="2"/>
        <v/>
      </c>
      <c r="G94" s="49"/>
      <c r="H94" s="49"/>
      <c r="I94" s="56"/>
      <c r="J94" s="49"/>
      <c r="K94" s="58"/>
      <c r="L94" s="49"/>
      <c r="M94" s="53" t="str">
        <f t="shared" si="3"/>
        <v/>
      </c>
    </row>
    <row r="95" spans="2:13" ht="18" customHeight="1" x14ac:dyDescent="0.25">
      <c r="B95" s="47" t="str">
        <f>IF(C95="","",COUNT($C$7:C95))</f>
        <v/>
      </c>
      <c r="C95" s="48"/>
      <c r="D95" s="50"/>
      <c r="E95" s="49"/>
      <c r="F95" s="63" t="str">
        <f t="shared" si="2"/>
        <v/>
      </c>
      <c r="G95" s="49"/>
      <c r="H95" s="49"/>
      <c r="I95" s="56"/>
      <c r="J95" s="49"/>
      <c r="K95" s="58"/>
      <c r="L95" s="49"/>
      <c r="M95" s="53" t="str">
        <f t="shared" si="3"/>
        <v/>
      </c>
    </row>
    <row r="96" spans="2:13" ht="18" customHeight="1" x14ac:dyDescent="0.25">
      <c r="B96" s="47" t="str">
        <f>IF(C96="","",COUNT($C$7:C96))</f>
        <v/>
      </c>
      <c r="C96" s="48"/>
      <c r="D96" s="50"/>
      <c r="E96" s="49"/>
      <c r="F96" s="63" t="str">
        <f t="shared" si="2"/>
        <v/>
      </c>
      <c r="G96" s="49"/>
      <c r="H96" s="49"/>
      <c r="I96" s="56"/>
      <c r="J96" s="49"/>
      <c r="K96" s="58"/>
      <c r="L96" s="49"/>
      <c r="M96" s="53" t="str">
        <f t="shared" si="3"/>
        <v/>
      </c>
    </row>
    <row r="97" spans="2:13" ht="18" customHeight="1" x14ac:dyDescent="0.25">
      <c r="B97" s="47" t="str">
        <f>IF(C97="","",COUNT($C$7:C97))</f>
        <v/>
      </c>
      <c r="C97" s="48"/>
      <c r="D97" s="50"/>
      <c r="E97" s="49"/>
      <c r="F97" s="63" t="str">
        <f t="shared" si="2"/>
        <v/>
      </c>
      <c r="G97" s="49"/>
      <c r="H97" s="49"/>
      <c r="I97" s="56"/>
      <c r="J97" s="49"/>
      <c r="K97" s="58"/>
      <c r="L97" s="49"/>
      <c r="M97" s="53" t="str">
        <f t="shared" si="3"/>
        <v/>
      </c>
    </row>
    <row r="98" spans="2:13" ht="18" customHeight="1" x14ac:dyDescent="0.25">
      <c r="B98" s="47" t="str">
        <f>IF(C98="","",COUNT($C$7:C98))</f>
        <v/>
      </c>
      <c r="C98" s="48"/>
      <c r="D98" s="50"/>
      <c r="E98" s="49"/>
      <c r="F98" s="63" t="str">
        <f t="shared" si="2"/>
        <v/>
      </c>
      <c r="G98" s="49"/>
      <c r="H98" s="49"/>
      <c r="I98" s="56"/>
      <c r="J98" s="49"/>
      <c r="K98" s="58"/>
      <c r="L98" s="49"/>
      <c r="M98" s="53" t="str">
        <f t="shared" si="3"/>
        <v/>
      </c>
    </row>
    <row r="99" spans="2:13" ht="18" customHeight="1" x14ac:dyDescent="0.25">
      <c r="B99" s="47" t="str">
        <f>IF(C99="","",COUNT($C$7:C99))</f>
        <v/>
      </c>
      <c r="C99" s="48"/>
      <c r="D99" s="50"/>
      <c r="E99" s="49"/>
      <c r="F99" s="63" t="str">
        <f t="shared" si="2"/>
        <v/>
      </c>
      <c r="G99" s="49"/>
      <c r="H99" s="49"/>
      <c r="I99" s="56"/>
      <c r="J99" s="49"/>
      <c r="K99" s="58"/>
      <c r="L99" s="49"/>
      <c r="M99" s="53" t="str">
        <f t="shared" si="3"/>
        <v/>
      </c>
    </row>
    <row r="100" spans="2:13" ht="18" customHeight="1" x14ac:dyDescent="0.25">
      <c r="B100" s="47" t="str">
        <f>IF(C100="","",COUNT($C$7:C100))</f>
        <v/>
      </c>
      <c r="C100" s="48"/>
      <c r="D100" s="50"/>
      <c r="E100" s="49"/>
      <c r="F100" s="63" t="str">
        <f t="shared" si="2"/>
        <v/>
      </c>
      <c r="G100" s="49"/>
      <c r="H100" s="49"/>
      <c r="I100" s="56"/>
      <c r="J100" s="49"/>
      <c r="K100" s="58"/>
      <c r="L100" s="49"/>
      <c r="M100" s="53" t="str">
        <f t="shared" si="3"/>
        <v/>
      </c>
    </row>
    <row r="101" spans="2:13" ht="18" customHeight="1" x14ac:dyDescent="0.25">
      <c r="B101" s="47" t="str">
        <f>IF(C101="","",COUNT($C$7:C101))</f>
        <v/>
      </c>
      <c r="C101" s="48"/>
      <c r="D101" s="50"/>
      <c r="E101" s="49"/>
      <c r="F101" s="63" t="str">
        <f t="shared" si="2"/>
        <v/>
      </c>
      <c r="G101" s="49"/>
      <c r="H101" s="49"/>
      <c r="I101" s="56"/>
      <c r="J101" s="49"/>
      <c r="K101" s="58"/>
      <c r="L101" s="49"/>
      <c r="M101" s="53" t="str">
        <f t="shared" si="3"/>
        <v/>
      </c>
    </row>
    <row r="102" spans="2:13" ht="18" customHeight="1" x14ac:dyDescent="0.25">
      <c r="B102" s="47" t="str">
        <f>IF(C102="","",COUNT($C$7:C102))</f>
        <v/>
      </c>
      <c r="C102" s="48"/>
      <c r="D102" s="50"/>
      <c r="E102" s="49"/>
      <c r="F102" s="63" t="str">
        <f t="shared" si="2"/>
        <v/>
      </c>
      <c r="G102" s="49"/>
      <c r="H102" s="49"/>
      <c r="I102" s="56"/>
      <c r="J102" s="49"/>
      <c r="K102" s="58"/>
      <c r="L102" s="49"/>
      <c r="M102" s="53" t="str">
        <f t="shared" si="3"/>
        <v/>
      </c>
    </row>
    <row r="103" spans="2:13" ht="18" customHeight="1" x14ac:dyDescent="0.25">
      <c r="B103" s="47" t="str">
        <f>IF(C103="","",COUNT($C$7:C103))</f>
        <v/>
      </c>
      <c r="C103" s="48"/>
      <c r="D103" s="50"/>
      <c r="E103" s="49"/>
      <c r="F103" s="63" t="str">
        <f t="shared" si="2"/>
        <v/>
      </c>
      <c r="G103" s="49"/>
      <c r="H103" s="49"/>
      <c r="I103" s="56"/>
      <c r="J103" s="49"/>
      <c r="K103" s="58"/>
      <c r="L103" s="49"/>
      <c r="M103" s="53" t="str">
        <f t="shared" si="3"/>
        <v/>
      </c>
    </row>
    <row r="104" spans="2:13" ht="18" customHeight="1" x14ac:dyDescent="0.25">
      <c r="B104" s="47" t="str">
        <f>IF(C104="","",COUNT($C$7:C104))</f>
        <v/>
      </c>
      <c r="C104" s="48"/>
      <c r="D104" s="50"/>
      <c r="E104" s="49"/>
      <c r="F104" s="63" t="str">
        <f t="shared" si="2"/>
        <v/>
      </c>
      <c r="G104" s="49"/>
      <c r="H104" s="49"/>
      <c r="I104" s="56"/>
      <c r="J104" s="49"/>
      <c r="K104" s="58"/>
      <c r="L104" s="49"/>
      <c r="M104" s="53" t="str">
        <f t="shared" si="3"/>
        <v/>
      </c>
    </row>
    <row r="105" spans="2:13" ht="18" customHeight="1" x14ac:dyDescent="0.25">
      <c r="B105" s="47" t="str">
        <f>IF(C105="","",COUNT($C$7:C105))</f>
        <v/>
      </c>
      <c r="C105" s="48"/>
      <c r="D105" s="50"/>
      <c r="E105" s="49"/>
      <c r="F105" s="63" t="str">
        <f t="shared" si="2"/>
        <v/>
      </c>
      <c r="G105" s="49"/>
      <c r="H105" s="49"/>
      <c r="I105" s="56"/>
      <c r="J105" s="49"/>
      <c r="K105" s="58"/>
      <c r="L105" s="49"/>
      <c r="M105" s="53" t="str">
        <f t="shared" si="3"/>
        <v/>
      </c>
    </row>
    <row r="106" spans="2:13" ht="18" customHeight="1" x14ac:dyDescent="0.25">
      <c r="B106" s="47" t="str">
        <f>IF(C106="","",COUNT($C$7:C106))</f>
        <v/>
      </c>
      <c r="C106" s="48"/>
      <c r="D106" s="50"/>
      <c r="E106" s="49"/>
      <c r="F106" s="63" t="str">
        <f t="shared" si="2"/>
        <v/>
      </c>
      <c r="G106" s="49"/>
      <c r="H106" s="49"/>
      <c r="I106" s="56"/>
      <c r="J106" s="49"/>
      <c r="K106" s="58"/>
      <c r="L106" s="49"/>
      <c r="M106" s="53" t="str">
        <f t="shared" si="3"/>
        <v/>
      </c>
    </row>
    <row r="107" spans="2:13" ht="18" customHeight="1" x14ac:dyDescent="0.25">
      <c r="B107" s="47" t="str">
        <f>IF(C107="","",COUNT($C$7:C107))</f>
        <v/>
      </c>
      <c r="C107" s="48"/>
      <c r="D107" s="50"/>
      <c r="E107" s="49"/>
      <c r="F107" s="63" t="str">
        <f t="shared" si="2"/>
        <v/>
      </c>
      <c r="G107" s="49"/>
      <c r="H107" s="49"/>
      <c r="I107" s="56"/>
      <c r="J107" s="49"/>
      <c r="K107" s="58"/>
      <c r="L107" s="49"/>
      <c r="M107" s="53" t="str">
        <f t="shared" si="3"/>
        <v/>
      </c>
    </row>
    <row r="108" spans="2:13" ht="18" customHeight="1" x14ac:dyDescent="0.25">
      <c r="B108" s="47" t="str">
        <f>IF(C108="","",COUNT($C$7:C108))</f>
        <v/>
      </c>
      <c r="C108" s="48"/>
      <c r="D108" s="50"/>
      <c r="E108" s="49"/>
      <c r="F108" s="63" t="str">
        <f t="shared" si="2"/>
        <v/>
      </c>
      <c r="G108" s="49"/>
      <c r="H108" s="49"/>
      <c r="I108" s="56"/>
      <c r="J108" s="49"/>
      <c r="K108" s="58"/>
      <c r="L108" s="49"/>
      <c r="M108" s="53" t="str">
        <f t="shared" si="3"/>
        <v/>
      </c>
    </row>
    <row r="109" spans="2:13" ht="18" customHeight="1" x14ac:dyDescent="0.25">
      <c r="B109" s="47" t="str">
        <f>IF(C109="","",COUNT($C$7:C109))</f>
        <v/>
      </c>
      <c r="C109" s="48"/>
      <c r="D109" s="50"/>
      <c r="E109" s="49"/>
      <c r="F109" s="63" t="str">
        <f t="shared" si="2"/>
        <v/>
      </c>
      <c r="G109" s="49"/>
      <c r="H109" s="49"/>
      <c r="I109" s="56"/>
      <c r="J109" s="49"/>
      <c r="K109" s="58"/>
      <c r="L109" s="49"/>
      <c r="M109" s="53" t="str">
        <f t="shared" si="3"/>
        <v/>
      </c>
    </row>
    <row r="110" spans="2:13" ht="18" customHeight="1" x14ac:dyDescent="0.25">
      <c r="B110" s="47" t="str">
        <f>IF(C110="","",COUNT($C$7:C110))</f>
        <v/>
      </c>
      <c r="C110" s="48"/>
      <c r="D110" s="50"/>
      <c r="E110" s="49"/>
      <c r="F110" s="63" t="str">
        <f t="shared" si="2"/>
        <v/>
      </c>
      <c r="G110" s="49"/>
      <c r="H110" s="49"/>
      <c r="I110" s="56"/>
      <c r="J110" s="49"/>
      <c r="K110" s="58"/>
      <c r="L110" s="49"/>
      <c r="M110" s="53" t="str">
        <f t="shared" si="3"/>
        <v/>
      </c>
    </row>
    <row r="111" spans="2:13" ht="18" customHeight="1" x14ac:dyDescent="0.25">
      <c r="B111" s="47" t="str">
        <f>IF(C111="","",COUNT($C$7:C111))</f>
        <v/>
      </c>
      <c r="C111" s="48"/>
      <c r="D111" s="50"/>
      <c r="E111" s="49"/>
      <c r="F111" s="63" t="str">
        <f t="shared" si="2"/>
        <v/>
      </c>
      <c r="G111" s="49"/>
      <c r="H111" s="49"/>
      <c r="I111" s="56"/>
      <c r="J111" s="49"/>
      <c r="K111" s="58"/>
      <c r="L111" s="49"/>
      <c r="M111" s="53" t="str">
        <f t="shared" si="3"/>
        <v/>
      </c>
    </row>
    <row r="112" spans="2:13" ht="18" customHeight="1" x14ac:dyDescent="0.25">
      <c r="B112" s="47" t="str">
        <f>IF(C112="","",COUNT($C$7:C112))</f>
        <v/>
      </c>
      <c r="C112" s="48"/>
      <c r="D112" s="50"/>
      <c r="E112" s="49"/>
      <c r="F112" s="63" t="str">
        <f t="shared" si="2"/>
        <v/>
      </c>
      <c r="G112" s="49"/>
      <c r="H112" s="49"/>
      <c r="I112" s="56"/>
      <c r="J112" s="49"/>
      <c r="K112" s="58"/>
      <c r="L112" s="49"/>
      <c r="M112" s="53" t="str">
        <f t="shared" si="3"/>
        <v/>
      </c>
    </row>
    <row r="113" spans="2:13" ht="18" customHeight="1" x14ac:dyDescent="0.25">
      <c r="B113" s="47" t="str">
        <f>IF(C113="","",COUNT($C$7:C113))</f>
        <v/>
      </c>
      <c r="C113" s="48"/>
      <c r="D113" s="50"/>
      <c r="E113" s="49"/>
      <c r="F113" s="63" t="str">
        <f t="shared" si="2"/>
        <v/>
      </c>
      <c r="G113" s="49"/>
      <c r="H113" s="49"/>
      <c r="I113" s="56"/>
      <c r="J113" s="49"/>
      <c r="K113" s="58"/>
      <c r="L113" s="49"/>
      <c r="M113" s="53" t="str">
        <f t="shared" si="3"/>
        <v/>
      </c>
    </row>
    <row r="114" spans="2:13" ht="18" customHeight="1" x14ac:dyDescent="0.25">
      <c r="B114" s="47" t="str">
        <f>IF(C114="","",COUNT($C$7:C114))</f>
        <v/>
      </c>
      <c r="C114" s="48"/>
      <c r="D114" s="50"/>
      <c r="E114" s="49"/>
      <c r="F114" s="63" t="str">
        <f t="shared" si="2"/>
        <v/>
      </c>
      <c r="G114" s="49"/>
      <c r="H114" s="49"/>
      <c r="I114" s="56"/>
      <c r="J114" s="49"/>
      <c r="K114" s="58"/>
      <c r="L114" s="49"/>
      <c r="M114" s="53" t="str">
        <f t="shared" si="3"/>
        <v/>
      </c>
    </row>
    <row r="115" spans="2:13" ht="18" customHeight="1" x14ac:dyDescent="0.25">
      <c r="B115" s="47" t="str">
        <f>IF(C115="","",COUNT($C$7:C115))</f>
        <v/>
      </c>
      <c r="C115" s="48"/>
      <c r="D115" s="50"/>
      <c r="E115" s="49"/>
      <c r="F115" s="63" t="str">
        <f t="shared" si="2"/>
        <v/>
      </c>
      <c r="G115" s="49"/>
      <c r="H115" s="49"/>
      <c r="I115" s="56"/>
      <c r="J115" s="49"/>
      <c r="K115" s="58"/>
      <c r="L115" s="49"/>
      <c r="M115" s="53" t="str">
        <f t="shared" si="3"/>
        <v/>
      </c>
    </row>
    <row r="116" spans="2:13" ht="18" customHeight="1" x14ac:dyDescent="0.25">
      <c r="B116" s="47" t="str">
        <f>IF(C116="","",COUNT($C$7:C116))</f>
        <v/>
      </c>
      <c r="C116" s="48"/>
      <c r="D116" s="50"/>
      <c r="E116" s="49"/>
      <c r="F116" s="63" t="str">
        <f t="shared" si="2"/>
        <v/>
      </c>
      <c r="G116" s="49"/>
      <c r="H116" s="49"/>
      <c r="I116" s="56"/>
      <c r="J116" s="49"/>
      <c r="K116" s="58"/>
      <c r="L116" s="49"/>
      <c r="M116" s="53" t="str">
        <f t="shared" si="3"/>
        <v/>
      </c>
    </row>
    <row r="117" spans="2:13" ht="18" customHeight="1" x14ac:dyDescent="0.25">
      <c r="B117" s="47" t="str">
        <f>IF(C117="","",COUNT($C$7:C117))</f>
        <v/>
      </c>
      <c r="C117" s="48"/>
      <c r="D117" s="50"/>
      <c r="E117" s="49"/>
      <c r="F117" s="63" t="str">
        <f t="shared" si="2"/>
        <v/>
      </c>
      <c r="G117" s="49"/>
      <c r="H117" s="49"/>
      <c r="I117" s="56"/>
      <c r="J117" s="49"/>
      <c r="K117" s="58"/>
      <c r="L117" s="49"/>
      <c r="M117" s="53" t="str">
        <f t="shared" si="3"/>
        <v/>
      </c>
    </row>
    <row r="118" spans="2:13" ht="18" customHeight="1" x14ac:dyDescent="0.25">
      <c r="B118" s="47" t="str">
        <f>IF(C118="","",COUNT($C$7:C118))</f>
        <v/>
      </c>
      <c r="C118" s="48"/>
      <c r="D118" s="50"/>
      <c r="E118" s="49"/>
      <c r="F118" s="63" t="str">
        <f t="shared" si="2"/>
        <v/>
      </c>
      <c r="G118" s="49"/>
      <c r="H118" s="49"/>
      <c r="I118" s="56"/>
      <c r="J118" s="49"/>
      <c r="K118" s="58"/>
      <c r="L118" s="49"/>
      <c r="M118" s="53" t="str">
        <f t="shared" si="3"/>
        <v/>
      </c>
    </row>
    <row r="119" spans="2:13" ht="18" customHeight="1" x14ac:dyDescent="0.25">
      <c r="B119" s="47" t="str">
        <f>IF(C119="","",COUNT($C$7:C119))</f>
        <v/>
      </c>
      <c r="C119" s="48"/>
      <c r="D119" s="50"/>
      <c r="E119" s="49"/>
      <c r="F119" s="63" t="str">
        <f t="shared" si="2"/>
        <v/>
      </c>
      <c r="G119" s="49"/>
      <c r="H119" s="49"/>
      <c r="I119" s="56"/>
      <c r="J119" s="49"/>
      <c r="K119" s="58"/>
      <c r="L119" s="49"/>
      <c r="M119" s="53" t="str">
        <f t="shared" si="3"/>
        <v/>
      </c>
    </row>
    <row r="120" spans="2:13" ht="18" customHeight="1" x14ac:dyDescent="0.25">
      <c r="B120" s="47" t="str">
        <f>IF(C120="","",COUNT($C$7:C120))</f>
        <v/>
      </c>
      <c r="C120" s="48"/>
      <c r="D120" s="50"/>
      <c r="E120" s="49"/>
      <c r="F120" s="63" t="str">
        <f t="shared" si="2"/>
        <v/>
      </c>
      <c r="G120" s="49"/>
      <c r="H120" s="49"/>
      <c r="I120" s="56"/>
      <c r="J120" s="49"/>
      <c r="K120" s="58"/>
      <c r="L120" s="49"/>
      <c r="M120" s="53" t="str">
        <f t="shared" si="3"/>
        <v/>
      </c>
    </row>
    <row r="121" spans="2:13" ht="18" customHeight="1" x14ac:dyDescent="0.25">
      <c r="B121" s="47" t="str">
        <f>IF(C121="","",COUNT($C$7:C121))</f>
        <v/>
      </c>
      <c r="C121" s="48"/>
      <c r="D121" s="50"/>
      <c r="E121" s="49"/>
      <c r="F121" s="63" t="str">
        <f t="shared" si="2"/>
        <v/>
      </c>
      <c r="G121" s="49"/>
      <c r="H121" s="49"/>
      <c r="I121" s="56"/>
      <c r="J121" s="49"/>
      <c r="K121" s="58"/>
      <c r="L121" s="49"/>
      <c r="M121" s="53" t="str">
        <f t="shared" si="3"/>
        <v/>
      </c>
    </row>
    <row r="122" spans="2:13" ht="18" customHeight="1" x14ac:dyDescent="0.25">
      <c r="B122" s="47" t="str">
        <f>IF(C122="","",COUNT($C$7:C122))</f>
        <v/>
      </c>
      <c r="C122" s="48"/>
      <c r="D122" s="50"/>
      <c r="E122" s="49"/>
      <c r="F122" s="63" t="str">
        <f t="shared" si="2"/>
        <v/>
      </c>
      <c r="G122" s="49"/>
      <c r="H122" s="49"/>
      <c r="I122" s="56"/>
      <c r="J122" s="49"/>
      <c r="K122" s="58"/>
      <c r="L122" s="49"/>
      <c r="M122" s="53" t="str">
        <f t="shared" si="3"/>
        <v/>
      </c>
    </row>
    <row r="123" spans="2:13" ht="18" customHeight="1" x14ac:dyDescent="0.25">
      <c r="B123" s="47" t="str">
        <f>IF(C123="","",COUNT($C$7:C123))</f>
        <v/>
      </c>
      <c r="C123" s="48"/>
      <c r="D123" s="50"/>
      <c r="E123" s="49"/>
      <c r="F123" s="63" t="str">
        <f t="shared" si="2"/>
        <v/>
      </c>
      <c r="G123" s="49"/>
      <c r="H123" s="49"/>
      <c r="I123" s="56"/>
      <c r="J123" s="49"/>
      <c r="K123" s="58"/>
      <c r="L123" s="49"/>
      <c r="M123" s="53" t="str">
        <f t="shared" si="3"/>
        <v/>
      </c>
    </row>
    <row r="124" spans="2:13" ht="18" customHeight="1" x14ac:dyDescent="0.25">
      <c r="B124" s="47" t="str">
        <f>IF(C124="","",COUNT($C$7:C124))</f>
        <v/>
      </c>
      <c r="C124" s="48"/>
      <c r="D124" s="50"/>
      <c r="E124" s="49"/>
      <c r="F124" s="63" t="str">
        <f t="shared" si="2"/>
        <v/>
      </c>
      <c r="G124" s="49"/>
      <c r="H124" s="49"/>
      <c r="I124" s="56"/>
      <c r="J124" s="49"/>
      <c r="K124" s="58"/>
      <c r="L124" s="49"/>
      <c r="M124" s="53" t="str">
        <f t="shared" si="3"/>
        <v/>
      </c>
    </row>
    <row r="125" spans="2:13" ht="18" customHeight="1" x14ac:dyDescent="0.25">
      <c r="B125" s="47" t="str">
        <f>IF(C125="","",COUNT($C$7:C125))</f>
        <v/>
      </c>
      <c r="C125" s="48"/>
      <c r="D125" s="50"/>
      <c r="E125" s="49"/>
      <c r="F125" s="63" t="str">
        <f t="shared" si="2"/>
        <v/>
      </c>
      <c r="G125" s="49"/>
      <c r="H125" s="49"/>
      <c r="I125" s="56"/>
      <c r="J125" s="49"/>
      <c r="K125" s="58"/>
      <c r="L125" s="49"/>
      <c r="M125" s="53" t="str">
        <f t="shared" si="3"/>
        <v/>
      </c>
    </row>
    <row r="126" spans="2:13" ht="18" customHeight="1" x14ac:dyDescent="0.25">
      <c r="B126" s="47" t="str">
        <f>IF(C126="","",COUNT($C$7:C126))</f>
        <v/>
      </c>
      <c r="C126" s="48"/>
      <c r="D126" s="50"/>
      <c r="E126" s="49"/>
      <c r="F126" s="63" t="str">
        <f t="shared" si="2"/>
        <v/>
      </c>
      <c r="G126" s="49"/>
      <c r="H126" s="49"/>
      <c r="I126" s="56"/>
      <c r="J126" s="49"/>
      <c r="K126" s="58"/>
      <c r="L126" s="49"/>
      <c r="M126" s="53" t="str">
        <f t="shared" si="3"/>
        <v/>
      </c>
    </row>
    <row r="127" spans="2:13" ht="18" customHeight="1" x14ac:dyDescent="0.25">
      <c r="B127" s="47" t="str">
        <f>IF(C127="","",COUNT($C$7:C127))</f>
        <v/>
      </c>
      <c r="C127" s="48"/>
      <c r="D127" s="50"/>
      <c r="E127" s="49"/>
      <c r="F127" s="63" t="str">
        <f t="shared" si="2"/>
        <v/>
      </c>
      <c r="G127" s="49"/>
      <c r="H127" s="49"/>
      <c r="I127" s="56"/>
      <c r="J127" s="49"/>
      <c r="K127" s="58"/>
      <c r="L127" s="49"/>
      <c r="M127" s="53" t="str">
        <f t="shared" si="3"/>
        <v/>
      </c>
    </row>
    <row r="128" spans="2:13" ht="18" customHeight="1" x14ac:dyDescent="0.25">
      <c r="B128" s="47" t="str">
        <f>IF(C128="","",COUNT($C$7:C128))</f>
        <v/>
      </c>
      <c r="C128" s="48"/>
      <c r="D128" s="50"/>
      <c r="E128" s="49"/>
      <c r="F128" s="63" t="str">
        <f t="shared" si="2"/>
        <v/>
      </c>
      <c r="G128" s="49"/>
      <c r="H128" s="49"/>
      <c r="I128" s="56"/>
      <c r="J128" s="49"/>
      <c r="K128" s="58"/>
      <c r="L128" s="49"/>
      <c r="M128" s="53" t="str">
        <f t="shared" si="3"/>
        <v/>
      </c>
    </row>
    <row r="129" spans="2:13" ht="18" customHeight="1" x14ac:dyDescent="0.25">
      <c r="B129" s="47" t="str">
        <f>IF(C129="","",COUNT($C$7:C129))</f>
        <v/>
      </c>
      <c r="C129" s="48"/>
      <c r="D129" s="50"/>
      <c r="E129" s="49"/>
      <c r="F129" s="63" t="str">
        <f t="shared" si="2"/>
        <v/>
      </c>
      <c r="G129" s="49"/>
      <c r="H129" s="49"/>
      <c r="I129" s="56"/>
      <c r="J129" s="49"/>
      <c r="K129" s="58"/>
      <c r="L129" s="49"/>
      <c r="M129" s="53" t="str">
        <f t="shared" si="3"/>
        <v/>
      </c>
    </row>
    <row r="130" spans="2:13" ht="18" customHeight="1" x14ac:dyDescent="0.25">
      <c r="B130" s="47" t="str">
        <f>IF(C130="","",COUNT($C$7:C130))</f>
        <v/>
      </c>
      <c r="C130" s="48"/>
      <c r="D130" s="50"/>
      <c r="E130" s="49"/>
      <c r="F130" s="63" t="str">
        <f t="shared" si="2"/>
        <v/>
      </c>
      <c r="G130" s="49"/>
      <c r="H130" s="49"/>
      <c r="I130" s="56"/>
      <c r="J130" s="49"/>
      <c r="K130" s="58"/>
      <c r="L130" s="49"/>
      <c r="M130" s="53" t="str">
        <f t="shared" si="3"/>
        <v/>
      </c>
    </row>
    <row r="131" spans="2:13" ht="18" customHeight="1" x14ac:dyDescent="0.25">
      <c r="B131" s="47" t="str">
        <f>IF(C131="","",COUNT($C$7:C131))</f>
        <v/>
      </c>
      <c r="C131" s="48"/>
      <c r="D131" s="50"/>
      <c r="E131" s="49"/>
      <c r="F131" s="63" t="str">
        <f t="shared" si="2"/>
        <v/>
      </c>
      <c r="G131" s="49"/>
      <c r="H131" s="49"/>
      <c r="I131" s="56"/>
      <c r="J131" s="49"/>
      <c r="K131" s="58"/>
      <c r="L131" s="49"/>
      <c r="M131" s="53" t="str">
        <f t="shared" si="3"/>
        <v/>
      </c>
    </row>
    <row r="132" spans="2:13" ht="18" customHeight="1" x14ac:dyDescent="0.25">
      <c r="B132" s="47" t="str">
        <f>IF(C132="","",COUNT($C$7:C132))</f>
        <v/>
      </c>
      <c r="C132" s="48"/>
      <c r="D132" s="50"/>
      <c r="E132" s="49"/>
      <c r="F132" s="63" t="str">
        <f t="shared" si="2"/>
        <v/>
      </c>
      <c r="G132" s="49"/>
      <c r="H132" s="49"/>
      <c r="I132" s="56"/>
      <c r="J132" s="49"/>
      <c r="K132" s="58"/>
      <c r="L132" s="49"/>
      <c r="M132" s="53" t="str">
        <f t="shared" si="3"/>
        <v/>
      </c>
    </row>
    <row r="133" spans="2:13" ht="18" customHeight="1" x14ac:dyDescent="0.25">
      <c r="B133" s="47" t="str">
        <f>IF(C133="","",COUNT($C$7:C133))</f>
        <v/>
      </c>
      <c r="C133" s="48"/>
      <c r="D133" s="50"/>
      <c r="E133" s="49"/>
      <c r="F133" s="63" t="str">
        <f t="shared" si="2"/>
        <v/>
      </c>
      <c r="G133" s="49"/>
      <c r="H133" s="49"/>
      <c r="I133" s="56"/>
      <c r="J133" s="49"/>
      <c r="K133" s="58"/>
      <c r="L133" s="49"/>
      <c r="M133" s="53" t="str">
        <f t="shared" si="3"/>
        <v/>
      </c>
    </row>
    <row r="134" spans="2:13" ht="18" customHeight="1" x14ac:dyDescent="0.25">
      <c r="B134" s="47" t="str">
        <f>IF(C134="","",COUNT($C$7:C134))</f>
        <v/>
      </c>
      <c r="C134" s="48"/>
      <c r="D134" s="50"/>
      <c r="E134" s="49"/>
      <c r="F134" s="63" t="str">
        <f t="shared" si="2"/>
        <v/>
      </c>
      <c r="G134" s="49"/>
      <c r="H134" s="49"/>
      <c r="I134" s="56"/>
      <c r="J134" s="49"/>
      <c r="K134" s="58"/>
      <c r="L134" s="49"/>
      <c r="M134" s="53" t="str">
        <f t="shared" si="3"/>
        <v/>
      </c>
    </row>
    <row r="135" spans="2:13" ht="18" customHeight="1" x14ac:dyDescent="0.25">
      <c r="B135" s="47" t="str">
        <f>IF(C135="","",COUNT($C$7:C135))</f>
        <v/>
      </c>
      <c r="C135" s="48"/>
      <c r="D135" s="50"/>
      <c r="E135" s="49"/>
      <c r="F135" s="63" t="str">
        <f t="shared" ref="F135:F198" si="4">IF(E135="","",IFERROR(INDEX(NaturesPoste,MATCH(E135,NaturesNoms,0))&amp;"","Nature inconnue"))</f>
        <v/>
      </c>
      <c r="G135" s="49"/>
      <c r="H135" s="49"/>
      <c r="I135" s="56"/>
      <c r="J135" s="49"/>
      <c r="K135" s="58"/>
      <c r="L135" s="49"/>
      <c r="M135" s="53" t="str">
        <f t="shared" ref="M135:M198" si="5">IF(C135="","",IF(OR(E135="",I135=""),"Incomplet",IF(F135="Nature inconnue","Nature inconnue",IF(AND(ISNUMBER(D135),D135&lt;N(KmOuverture)),"Km &lt; ouverture",IF(AND(D135="",OR(F135="Entretien",F135="Réparations",F135="Pneumatiques")),"Km manquant","Conforme")))))</f>
        <v/>
      </c>
    </row>
    <row r="136" spans="2:13" ht="18" customHeight="1" x14ac:dyDescent="0.25">
      <c r="B136" s="47" t="str">
        <f>IF(C136="","",COUNT($C$7:C136))</f>
        <v/>
      </c>
      <c r="C136" s="48"/>
      <c r="D136" s="50"/>
      <c r="E136" s="49"/>
      <c r="F136" s="63" t="str">
        <f t="shared" si="4"/>
        <v/>
      </c>
      <c r="G136" s="49"/>
      <c r="H136" s="49"/>
      <c r="I136" s="56"/>
      <c r="J136" s="49"/>
      <c r="K136" s="58"/>
      <c r="L136" s="49"/>
      <c r="M136" s="53" t="str">
        <f t="shared" si="5"/>
        <v/>
      </c>
    </row>
    <row r="137" spans="2:13" ht="18" customHeight="1" x14ac:dyDescent="0.25">
      <c r="B137" s="47" t="str">
        <f>IF(C137="","",COUNT($C$7:C137))</f>
        <v/>
      </c>
      <c r="C137" s="48"/>
      <c r="D137" s="50"/>
      <c r="E137" s="49"/>
      <c r="F137" s="63" t="str">
        <f t="shared" si="4"/>
        <v/>
      </c>
      <c r="G137" s="49"/>
      <c r="H137" s="49"/>
      <c r="I137" s="56"/>
      <c r="J137" s="49"/>
      <c r="K137" s="58"/>
      <c r="L137" s="49"/>
      <c r="M137" s="53" t="str">
        <f t="shared" si="5"/>
        <v/>
      </c>
    </row>
    <row r="138" spans="2:13" ht="18" customHeight="1" x14ac:dyDescent="0.25">
      <c r="B138" s="47" t="str">
        <f>IF(C138="","",COUNT($C$7:C138))</f>
        <v/>
      </c>
      <c r="C138" s="48"/>
      <c r="D138" s="50"/>
      <c r="E138" s="49"/>
      <c r="F138" s="63" t="str">
        <f t="shared" si="4"/>
        <v/>
      </c>
      <c r="G138" s="49"/>
      <c r="H138" s="49"/>
      <c r="I138" s="56"/>
      <c r="J138" s="49"/>
      <c r="K138" s="58"/>
      <c r="L138" s="49"/>
      <c r="M138" s="53" t="str">
        <f t="shared" si="5"/>
        <v/>
      </c>
    </row>
    <row r="139" spans="2:13" ht="18" customHeight="1" x14ac:dyDescent="0.25">
      <c r="B139" s="47" t="str">
        <f>IF(C139="","",COUNT($C$7:C139))</f>
        <v/>
      </c>
      <c r="C139" s="48"/>
      <c r="D139" s="50"/>
      <c r="E139" s="49"/>
      <c r="F139" s="63" t="str">
        <f t="shared" si="4"/>
        <v/>
      </c>
      <c r="G139" s="49"/>
      <c r="H139" s="49"/>
      <c r="I139" s="56"/>
      <c r="J139" s="49"/>
      <c r="K139" s="58"/>
      <c r="L139" s="49"/>
      <c r="M139" s="53" t="str">
        <f t="shared" si="5"/>
        <v/>
      </c>
    </row>
    <row r="140" spans="2:13" ht="18" customHeight="1" x14ac:dyDescent="0.25">
      <c r="B140" s="47" t="str">
        <f>IF(C140="","",COUNT($C$7:C140))</f>
        <v/>
      </c>
      <c r="C140" s="48"/>
      <c r="D140" s="50"/>
      <c r="E140" s="49"/>
      <c r="F140" s="63" t="str">
        <f t="shared" si="4"/>
        <v/>
      </c>
      <c r="G140" s="49"/>
      <c r="H140" s="49"/>
      <c r="I140" s="56"/>
      <c r="J140" s="49"/>
      <c r="K140" s="58"/>
      <c r="L140" s="49"/>
      <c r="M140" s="53" t="str">
        <f t="shared" si="5"/>
        <v/>
      </c>
    </row>
    <row r="141" spans="2:13" ht="18" customHeight="1" x14ac:dyDescent="0.25">
      <c r="B141" s="47" t="str">
        <f>IF(C141="","",COUNT($C$7:C141))</f>
        <v/>
      </c>
      <c r="C141" s="48"/>
      <c r="D141" s="50"/>
      <c r="E141" s="49"/>
      <c r="F141" s="63" t="str">
        <f t="shared" si="4"/>
        <v/>
      </c>
      <c r="G141" s="49"/>
      <c r="H141" s="49"/>
      <c r="I141" s="56"/>
      <c r="J141" s="49"/>
      <c r="K141" s="58"/>
      <c r="L141" s="49"/>
      <c r="M141" s="53" t="str">
        <f t="shared" si="5"/>
        <v/>
      </c>
    </row>
    <row r="142" spans="2:13" ht="18" customHeight="1" x14ac:dyDescent="0.25">
      <c r="B142" s="47" t="str">
        <f>IF(C142="","",COUNT($C$7:C142))</f>
        <v/>
      </c>
      <c r="C142" s="48"/>
      <c r="D142" s="50"/>
      <c r="E142" s="49"/>
      <c r="F142" s="63" t="str">
        <f t="shared" si="4"/>
        <v/>
      </c>
      <c r="G142" s="49"/>
      <c r="H142" s="49"/>
      <c r="I142" s="56"/>
      <c r="J142" s="49"/>
      <c r="K142" s="58"/>
      <c r="L142" s="49"/>
      <c r="M142" s="53" t="str">
        <f t="shared" si="5"/>
        <v/>
      </c>
    </row>
    <row r="143" spans="2:13" ht="18" customHeight="1" x14ac:dyDescent="0.25">
      <c r="B143" s="47" t="str">
        <f>IF(C143="","",COUNT($C$7:C143))</f>
        <v/>
      </c>
      <c r="C143" s="48"/>
      <c r="D143" s="50"/>
      <c r="E143" s="49"/>
      <c r="F143" s="63" t="str">
        <f t="shared" si="4"/>
        <v/>
      </c>
      <c r="G143" s="49"/>
      <c r="H143" s="49"/>
      <c r="I143" s="56"/>
      <c r="J143" s="49"/>
      <c r="K143" s="58"/>
      <c r="L143" s="49"/>
      <c r="M143" s="53" t="str">
        <f t="shared" si="5"/>
        <v/>
      </c>
    </row>
    <row r="144" spans="2:13" ht="18" customHeight="1" x14ac:dyDescent="0.25">
      <c r="B144" s="47" t="str">
        <f>IF(C144="","",COUNT($C$7:C144))</f>
        <v/>
      </c>
      <c r="C144" s="48"/>
      <c r="D144" s="50"/>
      <c r="E144" s="49"/>
      <c r="F144" s="63" t="str">
        <f t="shared" si="4"/>
        <v/>
      </c>
      <c r="G144" s="49"/>
      <c r="H144" s="49"/>
      <c r="I144" s="56"/>
      <c r="J144" s="49"/>
      <c r="K144" s="58"/>
      <c r="L144" s="49"/>
      <c r="M144" s="53" t="str">
        <f t="shared" si="5"/>
        <v/>
      </c>
    </row>
    <row r="145" spans="2:13" ht="18" customHeight="1" x14ac:dyDescent="0.25">
      <c r="B145" s="47" t="str">
        <f>IF(C145="","",COUNT($C$7:C145))</f>
        <v/>
      </c>
      <c r="C145" s="48"/>
      <c r="D145" s="50"/>
      <c r="E145" s="49"/>
      <c r="F145" s="63" t="str">
        <f t="shared" si="4"/>
        <v/>
      </c>
      <c r="G145" s="49"/>
      <c r="H145" s="49"/>
      <c r="I145" s="56"/>
      <c r="J145" s="49"/>
      <c r="K145" s="58"/>
      <c r="L145" s="49"/>
      <c r="M145" s="53" t="str">
        <f t="shared" si="5"/>
        <v/>
      </c>
    </row>
    <row r="146" spans="2:13" ht="18" customHeight="1" x14ac:dyDescent="0.25">
      <c r="B146" s="47" t="str">
        <f>IF(C146="","",COUNT($C$7:C146))</f>
        <v/>
      </c>
      <c r="C146" s="48"/>
      <c r="D146" s="50"/>
      <c r="E146" s="49"/>
      <c r="F146" s="63" t="str">
        <f t="shared" si="4"/>
        <v/>
      </c>
      <c r="G146" s="49"/>
      <c r="H146" s="49"/>
      <c r="I146" s="56"/>
      <c r="J146" s="49"/>
      <c r="K146" s="58"/>
      <c r="L146" s="49"/>
      <c r="M146" s="53" t="str">
        <f t="shared" si="5"/>
        <v/>
      </c>
    </row>
    <row r="147" spans="2:13" ht="18" customHeight="1" x14ac:dyDescent="0.25">
      <c r="B147" s="47" t="str">
        <f>IF(C147="","",COUNT($C$7:C147))</f>
        <v/>
      </c>
      <c r="C147" s="48"/>
      <c r="D147" s="50"/>
      <c r="E147" s="49"/>
      <c r="F147" s="63" t="str">
        <f t="shared" si="4"/>
        <v/>
      </c>
      <c r="G147" s="49"/>
      <c r="H147" s="49"/>
      <c r="I147" s="56"/>
      <c r="J147" s="49"/>
      <c r="K147" s="58"/>
      <c r="L147" s="49"/>
      <c r="M147" s="53" t="str">
        <f t="shared" si="5"/>
        <v/>
      </c>
    </row>
    <row r="148" spans="2:13" ht="18" customHeight="1" x14ac:dyDescent="0.25">
      <c r="B148" s="47" t="str">
        <f>IF(C148="","",COUNT($C$7:C148))</f>
        <v/>
      </c>
      <c r="C148" s="48"/>
      <c r="D148" s="50"/>
      <c r="E148" s="49"/>
      <c r="F148" s="63" t="str">
        <f t="shared" si="4"/>
        <v/>
      </c>
      <c r="G148" s="49"/>
      <c r="H148" s="49"/>
      <c r="I148" s="56"/>
      <c r="J148" s="49"/>
      <c r="K148" s="58"/>
      <c r="L148" s="49"/>
      <c r="M148" s="53" t="str">
        <f t="shared" si="5"/>
        <v/>
      </c>
    </row>
    <row r="149" spans="2:13" ht="18" customHeight="1" x14ac:dyDescent="0.25">
      <c r="B149" s="47" t="str">
        <f>IF(C149="","",COUNT($C$7:C149))</f>
        <v/>
      </c>
      <c r="C149" s="48"/>
      <c r="D149" s="50"/>
      <c r="E149" s="49"/>
      <c r="F149" s="63" t="str">
        <f t="shared" si="4"/>
        <v/>
      </c>
      <c r="G149" s="49"/>
      <c r="H149" s="49"/>
      <c r="I149" s="56"/>
      <c r="J149" s="49"/>
      <c r="K149" s="58"/>
      <c r="L149" s="49"/>
      <c r="M149" s="53" t="str">
        <f t="shared" si="5"/>
        <v/>
      </c>
    </row>
    <row r="150" spans="2:13" ht="18" customHeight="1" x14ac:dyDescent="0.25">
      <c r="B150" s="47" t="str">
        <f>IF(C150="","",COUNT($C$7:C150))</f>
        <v/>
      </c>
      <c r="C150" s="48"/>
      <c r="D150" s="50"/>
      <c r="E150" s="49"/>
      <c r="F150" s="63" t="str">
        <f t="shared" si="4"/>
        <v/>
      </c>
      <c r="G150" s="49"/>
      <c r="H150" s="49"/>
      <c r="I150" s="56"/>
      <c r="J150" s="49"/>
      <c r="K150" s="58"/>
      <c r="L150" s="49"/>
      <c r="M150" s="53" t="str">
        <f t="shared" si="5"/>
        <v/>
      </c>
    </row>
    <row r="151" spans="2:13" ht="18" customHeight="1" x14ac:dyDescent="0.25">
      <c r="B151" s="47" t="str">
        <f>IF(C151="","",COUNT($C$7:C151))</f>
        <v/>
      </c>
      <c r="C151" s="48"/>
      <c r="D151" s="50"/>
      <c r="E151" s="49"/>
      <c r="F151" s="63" t="str">
        <f t="shared" si="4"/>
        <v/>
      </c>
      <c r="G151" s="49"/>
      <c r="H151" s="49"/>
      <c r="I151" s="56"/>
      <c r="J151" s="49"/>
      <c r="K151" s="58"/>
      <c r="L151" s="49"/>
      <c r="M151" s="53" t="str">
        <f t="shared" si="5"/>
        <v/>
      </c>
    </row>
    <row r="152" spans="2:13" ht="18" customHeight="1" x14ac:dyDescent="0.25">
      <c r="B152" s="47" t="str">
        <f>IF(C152="","",COUNT($C$7:C152))</f>
        <v/>
      </c>
      <c r="C152" s="48"/>
      <c r="D152" s="50"/>
      <c r="E152" s="49"/>
      <c r="F152" s="63" t="str">
        <f t="shared" si="4"/>
        <v/>
      </c>
      <c r="G152" s="49"/>
      <c r="H152" s="49"/>
      <c r="I152" s="56"/>
      <c r="J152" s="49"/>
      <c r="K152" s="58"/>
      <c r="L152" s="49"/>
      <c r="M152" s="53" t="str">
        <f t="shared" si="5"/>
        <v/>
      </c>
    </row>
    <row r="153" spans="2:13" ht="18" customHeight="1" x14ac:dyDescent="0.25">
      <c r="B153" s="47" t="str">
        <f>IF(C153="","",COUNT($C$7:C153))</f>
        <v/>
      </c>
      <c r="C153" s="48"/>
      <c r="D153" s="50"/>
      <c r="E153" s="49"/>
      <c r="F153" s="63" t="str">
        <f t="shared" si="4"/>
        <v/>
      </c>
      <c r="G153" s="49"/>
      <c r="H153" s="49"/>
      <c r="I153" s="56"/>
      <c r="J153" s="49"/>
      <c r="K153" s="58"/>
      <c r="L153" s="49"/>
      <c r="M153" s="53" t="str">
        <f t="shared" si="5"/>
        <v/>
      </c>
    </row>
    <row r="154" spans="2:13" ht="18" customHeight="1" x14ac:dyDescent="0.25">
      <c r="B154" s="47" t="str">
        <f>IF(C154="","",COUNT($C$7:C154))</f>
        <v/>
      </c>
      <c r="C154" s="48"/>
      <c r="D154" s="50"/>
      <c r="E154" s="49"/>
      <c r="F154" s="63" t="str">
        <f t="shared" si="4"/>
        <v/>
      </c>
      <c r="G154" s="49"/>
      <c r="H154" s="49"/>
      <c r="I154" s="56"/>
      <c r="J154" s="49"/>
      <c r="K154" s="58"/>
      <c r="L154" s="49"/>
      <c r="M154" s="53" t="str">
        <f t="shared" si="5"/>
        <v/>
      </c>
    </row>
    <row r="155" spans="2:13" ht="18" customHeight="1" x14ac:dyDescent="0.25">
      <c r="B155" s="47" t="str">
        <f>IF(C155="","",COUNT($C$7:C155))</f>
        <v/>
      </c>
      <c r="C155" s="48"/>
      <c r="D155" s="50"/>
      <c r="E155" s="49"/>
      <c r="F155" s="63" t="str">
        <f t="shared" si="4"/>
        <v/>
      </c>
      <c r="G155" s="49"/>
      <c r="H155" s="49"/>
      <c r="I155" s="56"/>
      <c r="J155" s="49"/>
      <c r="K155" s="58"/>
      <c r="L155" s="49"/>
      <c r="M155" s="53" t="str">
        <f t="shared" si="5"/>
        <v/>
      </c>
    </row>
    <row r="156" spans="2:13" ht="18" customHeight="1" x14ac:dyDescent="0.25">
      <c r="B156" s="47" t="str">
        <f>IF(C156="","",COUNT($C$7:C156))</f>
        <v/>
      </c>
      <c r="C156" s="48"/>
      <c r="D156" s="50"/>
      <c r="E156" s="49"/>
      <c r="F156" s="63" t="str">
        <f t="shared" si="4"/>
        <v/>
      </c>
      <c r="G156" s="49"/>
      <c r="H156" s="49"/>
      <c r="I156" s="56"/>
      <c r="J156" s="49"/>
      <c r="K156" s="58"/>
      <c r="L156" s="49"/>
      <c r="M156" s="53" t="str">
        <f t="shared" si="5"/>
        <v/>
      </c>
    </row>
    <row r="157" spans="2:13" ht="18" customHeight="1" x14ac:dyDescent="0.25">
      <c r="B157" s="47" t="str">
        <f>IF(C157="","",COUNT($C$7:C157))</f>
        <v/>
      </c>
      <c r="C157" s="48"/>
      <c r="D157" s="50"/>
      <c r="E157" s="49"/>
      <c r="F157" s="63" t="str">
        <f t="shared" si="4"/>
        <v/>
      </c>
      <c r="G157" s="49"/>
      <c r="H157" s="49"/>
      <c r="I157" s="56"/>
      <c r="J157" s="49"/>
      <c r="K157" s="58"/>
      <c r="L157" s="49"/>
      <c r="M157" s="53" t="str">
        <f t="shared" si="5"/>
        <v/>
      </c>
    </row>
    <row r="158" spans="2:13" ht="18" customHeight="1" x14ac:dyDescent="0.25">
      <c r="B158" s="47" t="str">
        <f>IF(C158="","",COUNT($C$7:C158))</f>
        <v/>
      </c>
      <c r="C158" s="48"/>
      <c r="D158" s="50"/>
      <c r="E158" s="49"/>
      <c r="F158" s="63" t="str">
        <f t="shared" si="4"/>
        <v/>
      </c>
      <c r="G158" s="49"/>
      <c r="H158" s="49"/>
      <c r="I158" s="56"/>
      <c r="J158" s="49"/>
      <c r="K158" s="58"/>
      <c r="L158" s="49"/>
      <c r="M158" s="53" t="str">
        <f t="shared" si="5"/>
        <v/>
      </c>
    </row>
    <row r="159" spans="2:13" ht="18" customHeight="1" x14ac:dyDescent="0.25">
      <c r="B159" s="47" t="str">
        <f>IF(C159="","",COUNT($C$7:C159))</f>
        <v/>
      </c>
      <c r="C159" s="48"/>
      <c r="D159" s="50"/>
      <c r="E159" s="49"/>
      <c r="F159" s="63" t="str">
        <f t="shared" si="4"/>
        <v/>
      </c>
      <c r="G159" s="49"/>
      <c r="H159" s="49"/>
      <c r="I159" s="56"/>
      <c r="J159" s="49"/>
      <c r="K159" s="58"/>
      <c r="L159" s="49"/>
      <c r="M159" s="53" t="str">
        <f t="shared" si="5"/>
        <v/>
      </c>
    </row>
    <row r="160" spans="2:13" ht="18" customHeight="1" x14ac:dyDescent="0.25">
      <c r="B160" s="47" t="str">
        <f>IF(C160="","",COUNT($C$7:C160))</f>
        <v/>
      </c>
      <c r="C160" s="48"/>
      <c r="D160" s="50"/>
      <c r="E160" s="49"/>
      <c r="F160" s="63" t="str">
        <f t="shared" si="4"/>
        <v/>
      </c>
      <c r="G160" s="49"/>
      <c r="H160" s="49"/>
      <c r="I160" s="56"/>
      <c r="J160" s="49"/>
      <c r="K160" s="58"/>
      <c r="L160" s="49"/>
      <c r="M160" s="53" t="str">
        <f t="shared" si="5"/>
        <v/>
      </c>
    </row>
    <row r="161" spans="2:13" ht="18" customHeight="1" x14ac:dyDescent="0.25">
      <c r="B161" s="47" t="str">
        <f>IF(C161="","",COUNT($C$7:C161))</f>
        <v/>
      </c>
      <c r="C161" s="48"/>
      <c r="D161" s="50"/>
      <c r="E161" s="49"/>
      <c r="F161" s="63" t="str">
        <f t="shared" si="4"/>
        <v/>
      </c>
      <c r="G161" s="49"/>
      <c r="H161" s="49"/>
      <c r="I161" s="56"/>
      <c r="J161" s="49"/>
      <c r="K161" s="58"/>
      <c r="L161" s="49"/>
      <c r="M161" s="53" t="str">
        <f t="shared" si="5"/>
        <v/>
      </c>
    </row>
    <row r="162" spans="2:13" ht="18" customHeight="1" x14ac:dyDescent="0.25">
      <c r="B162" s="47" t="str">
        <f>IF(C162="","",COUNT($C$7:C162))</f>
        <v/>
      </c>
      <c r="C162" s="48"/>
      <c r="D162" s="50"/>
      <c r="E162" s="49"/>
      <c r="F162" s="63" t="str">
        <f t="shared" si="4"/>
        <v/>
      </c>
      <c r="G162" s="49"/>
      <c r="H162" s="49"/>
      <c r="I162" s="56"/>
      <c r="J162" s="49"/>
      <c r="K162" s="58"/>
      <c r="L162" s="49"/>
      <c r="M162" s="53" t="str">
        <f t="shared" si="5"/>
        <v/>
      </c>
    </row>
    <row r="163" spans="2:13" ht="18" customHeight="1" x14ac:dyDescent="0.25">
      <c r="B163" s="47" t="str">
        <f>IF(C163="","",COUNT($C$7:C163))</f>
        <v/>
      </c>
      <c r="C163" s="48"/>
      <c r="D163" s="50"/>
      <c r="E163" s="49"/>
      <c r="F163" s="63" t="str">
        <f t="shared" si="4"/>
        <v/>
      </c>
      <c r="G163" s="49"/>
      <c r="H163" s="49"/>
      <c r="I163" s="56"/>
      <c r="J163" s="49"/>
      <c r="K163" s="58"/>
      <c r="L163" s="49"/>
      <c r="M163" s="53" t="str">
        <f t="shared" si="5"/>
        <v/>
      </c>
    </row>
    <row r="164" spans="2:13" ht="18" customHeight="1" x14ac:dyDescent="0.25">
      <c r="B164" s="47" t="str">
        <f>IF(C164="","",COUNT($C$7:C164))</f>
        <v/>
      </c>
      <c r="C164" s="48"/>
      <c r="D164" s="50"/>
      <c r="E164" s="49"/>
      <c r="F164" s="63" t="str">
        <f t="shared" si="4"/>
        <v/>
      </c>
      <c r="G164" s="49"/>
      <c r="H164" s="49"/>
      <c r="I164" s="56"/>
      <c r="J164" s="49"/>
      <c r="K164" s="58"/>
      <c r="L164" s="49"/>
      <c r="M164" s="53" t="str">
        <f t="shared" si="5"/>
        <v/>
      </c>
    </row>
    <row r="165" spans="2:13" ht="18" customHeight="1" x14ac:dyDescent="0.25">
      <c r="B165" s="47" t="str">
        <f>IF(C165="","",COUNT($C$7:C165))</f>
        <v/>
      </c>
      <c r="C165" s="48"/>
      <c r="D165" s="50"/>
      <c r="E165" s="49"/>
      <c r="F165" s="63" t="str">
        <f t="shared" si="4"/>
        <v/>
      </c>
      <c r="G165" s="49"/>
      <c r="H165" s="49"/>
      <c r="I165" s="56"/>
      <c r="J165" s="49"/>
      <c r="K165" s="58"/>
      <c r="L165" s="49"/>
      <c r="M165" s="53" t="str">
        <f t="shared" si="5"/>
        <v/>
      </c>
    </row>
    <row r="166" spans="2:13" ht="18" customHeight="1" x14ac:dyDescent="0.25">
      <c r="B166" s="47" t="str">
        <f>IF(C166="","",COUNT($C$7:C166))</f>
        <v/>
      </c>
      <c r="C166" s="48"/>
      <c r="D166" s="50"/>
      <c r="E166" s="49"/>
      <c r="F166" s="63" t="str">
        <f t="shared" si="4"/>
        <v/>
      </c>
      <c r="G166" s="49"/>
      <c r="H166" s="49"/>
      <c r="I166" s="56"/>
      <c r="J166" s="49"/>
      <c r="K166" s="58"/>
      <c r="L166" s="49"/>
      <c r="M166" s="53" t="str">
        <f t="shared" si="5"/>
        <v/>
      </c>
    </row>
    <row r="167" spans="2:13" ht="18" customHeight="1" x14ac:dyDescent="0.25">
      <c r="B167" s="47" t="str">
        <f>IF(C167="","",COUNT($C$7:C167))</f>
        <v/>
      </c>
      <c r="C167" s="48"/>
      <c r="D167" s="50"/>
      <c r="E167" s="49"/>
      <c r="F167" s="63" t="str">
        <f t="shared" si="4"/>
        <v/>
      </c>
      <c r="G167" s="49"/>
      <c r="H167" s="49"/>
      <c r="I167" s="56"/>
      <c r="J167" s="49"/>
      <c r="K167" s="58"/>
      <c r="L167" s="49"/>
      <c r="M167" s="53" t="str">
        <f t="shared" si="5"/>
        <v/>
      </c>
    </row>
    <row r="168" spans="2:13" ht="18" customHeight="1" x14ac:dyDescent="0.25">
      <c r="B168" s="47" t="str">
        <f>IF(C168="","",COUNT($C$7:C168))</f>
        <v/>
      </c>
      <c r="C168" s="48"/>
      <c r="D168" s="50"/>
      <c r="E168" s="49"/>
      <c r="F168" s="63" t="str">
        <f t="shared" si="4"/>
        <v/>
      </c>
      <c r="G168" s="49"/>
      <c r="H168" s="49"/>
      <c r="I168" s="56"/>
      <c r="J168" s="49"/>
      <c r="K168" s="58"/>
      <c r="L168" s="49"/>
      <c r="M168" s="53" t="str">
        <f t="shared" si="5"/>
        <v/>
      </c>
    </row>
    <row r="169" spans="2:13" ht="18" customHeight="1" x14ac:dyDescent="0.25">
      <c r="B169" s="47" t="str">
        <f>IF(C169="","",COUNT($C$7:C169))</f>
        <v/>
      </c>
      <c r="C169" s="48"/>
      <c r="D169" s="50"/>
      <c r="E169" s="49"/>
      <c r="F169" s="63" t="str">
        <f t="shared" si="4"/>
        <v/>
      </c>
      <c r="G169" s="49"/>
      <c r="H169" s="49"/>
      <c r="I169" s="56"/>
      <c r="J169" s="49"/>
      <c r="K169" s="58"/>
      <c r="L169" s="49"/>
      <c r="M169" s="53" t="str">
        <f t="shared" si="5"/>
        <v/>
      </c>
    </row>
    <row r="170" spans="2:13" ht="18" customHeight="1" x14ac:dyDescent="0.25">
      <c r="B170" s="47" t="str">
        <f>IF(C170="","",COUNT($C$7:C170))</f>
        <v/>
      </c>
      <c r="C170" s="48"/>
      <c r="D170" s="50"/>
      <c r="E170" s="49"/>
      <c r="F170" s="63" t="str">
        <f t="shared" si="4"/>
        <v/>
      </c>
      <c r="G170" s="49"/>
      <c r="H170" s="49"/>
      <c r="I170" s="56"/>
      <c r="J170" s="49"/>
      <c r="K170" s="58"/>
      <c r="L170" s="49"/>
      <c r="M170" s="53" t="str">
        <f t="shared" si="5"/>
        <v/>
      </c>
    </row>
    <row r="171" spans="2:13" ht="18" customHeight="1" x14ac:dyDescent="0.25">
      <c r="B171" s="47" t="str">
        <f>IF(C171="","",COUNT($C$7:C171))</f>
        <v/>
      </c>
      <c r="C171" s="48"/>
      <c r="D171" s="50"/>
      <c r="E171" s="49"/>
      <c r="F171" s="63" t="str">
        <f t="shared" si="4"/>
        <v/>
      </c>
      <c r="G171" s="49"/>
      <c r="H171" s="49"/>
      <c r="I171" s="56"/>
      <c r="J171" s="49"/>
      <c r="K171" s="58"/>
      <c r="L171" s="49"/>
      <c r="M171" s="53" t="str">
        <f t="shared" si="5"/>
        <v/>
      </c>
    </row>
    <row r="172" spans="2:13" ht="18" customHeight="1" x14ac:dyDescent="0.25">
      <c r="B172" s="47" t="str">
        <f>IF(C172="","",COUNT($C$7:C172))</f>
        <v/>
      </c>
      <c r="C172" s="48"/>
      <c r="D172" s="50"/>
      <c r="E172" s="49"/>
      <c r="F172" s="63" t="str">
        <f t="shared" si="4"/>
        <v/>
      </c>
      <c r="G172" s="49"/>
      <c r="H172" s="49"/>
      <c r="I172" s="56"/>
      <c r="J172" s="49"/>
      <c r="K172" s="58"/>
      <c r="L172" s="49"/>
      <c r="M172" s="53" t="str">
        <f t="shared" si="5"/>
        <v/>
      </c>
    </row>
    <row r="173" spans="2:13" ht="18" customHeight="1" x14ac:dyDescent="0.25">
      <c r="B173" s="47" t="str">
        <f>IF(C173="","",COUNT($C$7:C173))</f>
        <v/>
      </c>
      <c r="C173" s="48"/>
      <c r="D173" s="50"/>
      <c r="E173" s="49"/>
      <c r="F173" s="63" t="str">
        <f t="shared" si="4"/>
        <v/>
      </c>
      <c r="G173" s="49"/>
      <c r="H173" s="49"/>
      <c r="I173" s="56"/>
      <c r="J173" s="49"/>
      <c r="K173" s="58"/>
      <c r="L173" s="49"/>
      <c r="M173" s="53" t="str">
        <f t="shared" si="5"/>
        <v/>
      </c>
    </row>
    <row r="174" spans="2:13" ht="18" customHeight="1" x14ac:dyDescent="0.25">
      <c r="B174" s="47" t="str">
        <f>IF(C174="","",COUNT($C$7:C174))</f>
        <v/>
      </c>
      <c r="C174" s="48"/>
      <c r="D174" s="50"/>
      <c r="E174" s="49"/>
      <c r="F174" s="63" t="str">
        <f t="shared" si="4"/>
        <v/>
      </c>
      <c r="G174" s="49"/>
      <c r="H174" s="49"/>
      <c r="I174" s="56"/>
      <c r="J174" s="49"/>
      <c r="K174" s="58"/>
      <c r="L174" s="49"/>
      <c r="M174" s="53" t="str">
        <f t="shared" si="5"/>
        <v/>
      </c>
    </row>
    <row r="175" spans="2:13" ht="18" customHeight="1" x14ac:dyDescent="0.25">
      <c r="B175" s="47" t="str">
        <f>IF(C175="","",COUNT($C$7:C175))</f>
        <v/>
      </c>
      <c r="C175" s="48"/>
      <c r="D175" s="50"/>
      <c r="E175" s="49"/>
      <c r="F175" s="63" t="str">
        <f t="shared" si="4"/>
        <v/>
      </c>
      <c r="G175" s="49"/>
      <c r="H175" s="49"/>
      <c r="I175" s="56"/>
      <c r="J175" s="49"/>
      <c r="K175" s="58"/>
      <c r="L175" s="49"/>
      <c r="M175" s="53" t="str">
        <f t="shared" si="5"/>
        <v/>
      </c>
    </row>
    <row r="176" spans="2:13" ht="18" customHeight="1" x14ac:dyDescent="0.25">
      <c r="B176" s="47" t="str">
        <f>IF(C176="","",COUNT($C$7:C176))</f>
        <v/>
      </c>
      <c r="C176" s="48"/>
      <c r="D176" s="50"/>
      <c r="E176" s="49"/>
      <c r="F176" s="63" t="str">
        <f t="shared" si="4"/>
        <v/>
      </c>
      <c r="G176" s="49"/>
      <c r="H176" s="49"/>
      <c r="I176" s="56"/>
      <c r="J176" s="49"/>
      <c r="K176" s="58"/>
      <c r="L176" s="49"/>
      <c r="M176" s="53" t="str">
        <f t="shared" si="5"/>
        <v/>
      </c>
    </row>
    <row r="177" spans="2:13" ht="18" customHeight="1" x14ac:dyDescent="0.25">
      <c r="B177" s="47" t="str">
        <f>IF(C177="","",COUNT($C$7:C177))</f>
        <v/>
      </c>
      <c r="C177" s="48"/>
      <c r="D177" s="50"/>
      <c r="E177" s="49"/>
      <c r="F177" s="63" t="str">
        <f t="shared" si="4"/>
        <v/>
      </c>
      <c r="G177" s="49"/>
      <c r="H177" s="49"/>
      <c r="I177" s="56"/>
      <c r="J177" s="49"/>
      <c r="K177" s="58"/>
      <c r="L177" s="49"/>
      <c r="M177" s="53" t="str">
        <f t="shared" si="5"/>
        <v/>
      </c>
    </row>
    <row r="178" spans="2:13" ht="18" customHeight="1" x14ac:dyDescent="0.25">
      <c r="B178" s="47" t="str">
        <f>IF(C178="","",COUNT($C$7:C178))</f>
        <v/>
      </c>
      <c r="C178" s="48"/>
      <c r="D178" s="50"/>
      <c r="E178" s="49"/>
      <c r="F178" s="63" t="str">
        <f t="shared" si="4"/>
        <v/>
      </c>
      <c r="G178" s="49"/>
      <c r="H178" s="49"/>
      <c r="I178" s="56"/>
      <c r="J178" s="49"/>
      <c r="K178" s="58"/>
      <c r="L178" s="49"/>
      <c r="M178" s="53" t="str">
        <f t="shared" si="5"/>
        <v/>
      </c>
    </row>
    <row r="179" spans="2:13" ht="18" customHeight="1" x14ac:dyDescent="0.25">
      <c r="B179" s="47" t="str">
        <f>IF(C179="","",COUNT($C$7:C179))</f>
        <v/>
      </c>
      <c r="C179" s="48"/>
      <c r="D179" s="50"/>
      <c r="E179" s="49"/>
      <c r="F179" s="63" t="str">
        <f t="shared" si="4"/>
        <v/>
      </c>
      <c r="G179" s="49"/>
      <c r="H179" s="49"/>
      <c r="I179" s="56"/>
      <c r="J179" s="49"/>
      <c r="K179" s="58"/>
      <c r="L179" s="49"/>
      <c r="M179" s="53" t="str">
        <f t="shared" si="5"/>
        <v/>
      </c>
    </row>
    <row r="180" spans="2:13" ht="18" customHeight="1" x14ac:dyDescent="0.25">
      <c r="B180" s="47" t="str">
        <f>IF(C180="","",COUNT($C$7:C180))</f>
        <v/>
      </c>
      <c r="C180" s="48"/>
      <c r="D180" s="50"/>
      <c r="E180" s="49"/>
      <c r="F180" s="63" t="str">
        <f t="shared" si="4"/>
        <v/>
      </c>
      <c r="G180" s="49"/>
      <c r="H180" s="49"/>
      <c r="I180" s="56"/>
      <c r="J180" s="49"/>
      <c r="K180" s="58"/>
      <c r="L180" s="49"/>
      <c r="M180" s="53" t="str">
        <f t="shared" si="5"/>
        <v/>
      </c>
    </row>
    <row r="181" spans="2:13" ht="18" customHeight="1" x14ac:dyDescent="0.25">
      <c r="B181" s="47" t="str">
        <f>IF(C181="","",COUNT($C$7:C181))</f>
        <v/>
      </c>
      <c r="C181" s="48"/>
      <c r="D181" s="50"/>
      <c r="E181" s="49"/>
      <c r="F181" s="63" t="str">
        <f t="shared" si="4"/>
        <v/>
      </c>
      <c r="G181" s="49"/>
      <c r="H181" s="49"/>
      <c r="I181" s="56"/>
      <c r="J181" s="49"/>
      <c r="K181" s="58"/>
      <c r="L181" s="49"/>
      <c r="M181" s="53" t="str">
        <f t="shared" si="5"/>
        <v/>
      </c>
    </row>
    <row r="182" spans="2:13" ht="18" customHeight="1" x14ac:dyDescent="0.25">
      <c r="B182" s="47" t="str">
        <f>IF(C182="","",COUNT($C$7:C182))</f>
        <v/>
      </c>
      <c r="C182" s="48"/>
      <c r="D182" s="50"/>
      <c r="E182" s="49"/>
      <c r="F182" s="63" t="str">
        <f t="shared" si="4"/>
        <v/>
      </c>
      <c r="G182" s="49"/>
      <c r="H182" s="49"/>
      <c r="I182" s="56"/>
      <c r="J182" s="49"/>
      <c r="K182" s="58"/>
      <c r="L182" s="49"/>
      <c r="M182" s="53" t="str">
        <f t="shared" si="5"/>
        <v/>
      </c>
    </row>
    <row r="183" spans="2:13" ht="18" customHeight="1" x14ac:dyDescent="0.25">
      <c r="B183" s="47" t="str">
        <f>IF(C183="","",COUNT($C$7:C183))</f>
        <v/>
      </c>
      <c r="C183" s="48"/>
      <c r="D183" s="50"/>
      <c r="E183" s="49"/>
      <c r="F183" s="63" t="str">
        <f t="shared" si="4"/>
        <v/>
      </c>
      <c r="G183" s="49"/>
      <c r="H183" s="49"/>
      <c r="I183" s="56"/>
      <c r="J183" s="49"/>
      <c r="K183" s="58"/>
      <c r="L183" s="49"/>
      <c r="M183" s="53" t="str">
        <f t="shared" si="5"/>
        <v/>
      </c>
    </row>
    <row r="184" spans="2:13" ht="18" customHeight="1" x14ac:dyDescent="0.25">
      <c r="B184" s="47" t="str">
        <f>IF(C184="","",COUNT($C$7:C184))</f>
        <v/>
      </c>
      <c r="C184" s="48"/>
      <c r="D184" s="50"/>
      <c r="E184" s="49"/>
      <c r="F184" s="63" t="str">
        <f t="shared" si="4"/>
        <v/>
      </c>
      <c r="G184" s="49"/>
      <c r="H184" s="49"/>
      <c r="I184" s="56"/>
      <c r="J184" s="49"/>
      <c r="K184" s="58"/>
      <c r="L184" s="49"/>
      <c r="M184" s="53" t="str">
        <f t="shared" si="5"/>
        <v/>
      </c>
    </row>
    <row r="185" spans="2:13" ht="18" customHeight="1" x14ac:dyDescent="0.25">
      <c r="B185" s="47" t="str">
        <f>IF(C185="","",COUNT($C$7:C185))</f>
        <v/>
      </c>
      <c r="C185" s="48"/>
      <c r="D185" s="50"/>
      <c r="E185" s="49"/>
      <c r="F185" s="63" t="str">
        <f t="shared" si="4"/>
        <v/>
      </c>
      <c r="G185" s="49"/>
      <c r="H185" s="49"/>
      <c r="I185" s="56"/>
      <c r="J185" s="49"/>
      <c r="K185" s="58"/>
      <c r="L185" s="49"/>
      <c r="M185" s="53" t="str">
        <f t="shared" si="5"/>
        <v/>
      </c>
    </row>
    <row r="186" spans="2:13" ht="18" customHeight="1" x14ac:dyDescent="0.25">
      <c r="B186" s="47" t="str">
        <f>IF(C186="","",COUNT($C$7:C186))</f>
        <v/>
      </c>
      <c r="C186" s="48"/>
      <c r="D186" s="50"/>
      <c r="E186" s="49"/>
      <c r="F186" s="63" t="str">
        <f t="shared" si="4"/>
        <v/>
      </c>
      <c r="G186" s="49"/>
      <c r="H186" s="49"/>
      <c r="I186" s="56"/>
      <c r="J186" s="49"/>
      <c r="K186" s="58"/>
      <c r="L186" s="49"/>
      <c r="M186" s="53" t="str">
        <f t="shared" si="5"/>
        <v/>
      </c>
    </row>
    <row r="187" spans="2:13" ht="18" customHeight="1" x14ac:dyDescent="0.25">
      <c r="B187" s="47" t="str">
        <f>IF(C187="","",COUNT($C$7:C187))</f>
        <v/>
      </c>
      <c r="C187" s="48"/>
      <c r="D187" s="50"/>
      <c r="E187" s="49"/>
      <c r="F187" s="63" t="str">
        <f t="shared" si="4"/>
        <v/>
      </c>
      <c r="G187" s="49"/>
      <c r="H187" s="49"/>
      <c r="I187" s="56"/>
      <c r="J187" s="49"/>
      <c r="K187" s="58"/>
      <c r="L187" s="49"/>
      <c r="M187" s="53" t="str">
        <f t="shared" si="5"/>
        <v/>
      </c>
    </row>
    <row r="188" spans="2:13" ht="18" customHeight="1" x14ac:dyDescent="0.25">
      <c r="B188" s="47" t="str">
        <f>IF(C188="","",COUNT($C$7:C188))</f>
        <v/>
      </c>
      <c r="C188" s="48"/>
      <c r="D188" s="50"/>
      <c r="E188" s="49"/>
      <c r="F188" s="63" t="str">
        <f t="shared" si="4"/>
        <v/>
      </c>
      <c r="G188" s="49"/>
      <c r="H188" s="49"/>
      <c r="I188" s="56"/>
      <c r="J188" s="49"/>
      <c r="K188" s="58"/>
      <c r="L188" s="49"/>
      <c r="M188" s="53" t="str">
        <f t="shared" si="5"/>
        <v/>
      </c>
    </row>
    <row r="189" spans="2:13" ht="18" customHeight="1" x14ac:dyDescent="0.25">
      <c r="B189" s="47" t="str">
        <f>IF(C189="","",COUNT($C$7:C189))</f>
        <v/>
      </c>
      <c r="C189" s="48"/>
      <c r="D189" s="50"/>
      <c r="E189" s="49"/>
      <c r="F189" s="63" t="str">
        <f t="shared" si="4"/>
        <v/>
      </c>
      <c r="G189" s="49"/>
      <c r="H189" s="49"/>
      <c r="I189" s="56"/>
      <c r="J189" s="49"/>
      <c r="K189" s="58"/>
      <c r="L189" s="49"/>
      <c r="M189" s="53" t="str">
        <f t="shared" si="5"/>
        <v/>
      </c>
    </row>
    <row r="190" spans="2:13" ht="18" customHeight="1" x14ac:dyDescent="0.25">
      <c r="B190" s="47" t="str">
        <f>IF(C190="","",COUNT($C$7:C190))</f>
        <v/>
      </c>
      <c r="C190" s="48"/>
      <c r="D190" s="50"/>
      <c r="E190" s="49"/>
      <c r="F190" s="63" t="str">
        <f t="shared" si="4"/>
        <v/>
      </c>
      <c r="G190" s="49"/>
      <c r="H190" s="49"/>
      <c r="I190" s="56"/>
      <c r="J190" s="49"/>
      <c r="K190" s="58"/>
      <c r="L190" s="49"/>
      <c r="M190" s="53" t="str">
        <f t="shared" si="5"/>
        <v/>
      </c>
    </row>
    <row r="191" spans="2:13" ht="18" customHeight="1" x14ac:dyDescent="0.25">
      <c r="B191" s="47" t="str">
        <f>IF(C191="","",COUNT($C$7:C191))</f>
        <v/>
      </c>
      <c r="C191" s="48"/>
      <c r="D191" s="50"/>
      <c r="E191" s="49"/>
      <c r="F191" s="63" t="str">
        <f t="shared" si="4"/>
        <v/>
      </c>
      <c r="G191" s="49"/>
      <c r="H191" s="49"/>
      <c r="I191" s="56"/>
      <c r="J191" s="49"/>
      <c r="K191" s="58"/>
      <c r="L191" s="49"/>
      <c r="M191" s="53" t="str">
        <f t="shared" si="5"/>
        <v/>
      </c>
    </row>
    <row r="192" spans="2:13" ht="18" customHeight="1" x14ac:dyDescent="0.25">
      <c r="B192" s="47" t="str">
        <f>IF(C192="","",COUNT($C$7:C192))</f>
        <v/>
      </c>
      <c r="C192" s="48"/>
      <c r="D192" s="50"/>
      <c r="E192" s="49"/>
      <c r="F192" s="63" t="str">
        <f t="shared" si="4"/>
        <v/>
      </c>
      <c r="G192" s="49"/>
      <c r="H192" s="49"/>
      <c r="I192" s="56"/>
      <c r="J192" s="49"/>
      <c r="K192" s="58"/>
      <c r="L192" s="49"/>
      <c r="M192" s="53" t="str">
        <f t="shared" si="5"/>
        <v/>
      </c>
    </row>
    <row r="193" spans="2:13" ht="18" customHeight="1" x14ac:dyDescent="0.25">
      <c r="B193" s="47" t="str">
        <f>IF(C193="","",COUNT($C$7:C193))</f>
        <v/>
      </c>
      <c r="C193" s="48"/>
      <c r="D193" s="50"/>
      <c r="E193" s="49"/>
      <c r="F193" s="63" t="str">
        <f t="shared" si="4"/>
        <v/>
      </c>
      <c r="G193" s="49"/>
      <c r="H193" s="49"/>
      <c r="I193" s="56"/>
      <c r="J193" s="49"/>
      <c r="K193" s="58"/>
      <c r="L193" s="49"/>
      <c r="M193" s="53" t="str">
        <f t="shared" si="5"/>
        <v/>
      </c>
    </row>
    <row r="194" spans="2:13" ht="18" customHeight="1" x14ac:dyDescent="0.25">
      <c r="B194" s="47" t="str">
        <f>IF(C194="","",COUNT($C$7:C194))</f>
        <v/>
      </c>
      <c r="C194" s="48"/>
      <c r="D194" s="50"/>
      <c r="E194" s="49"/>
      <c r="F194" s="63" t="str">
        <f t="shared" si="4"/>
        <v/>
      </c>
      <c r="G194" s="49"/>
      <c r="H194" s="49"/>
      <c r="I194" s="56"/>
      <c r="J194" s="49"/>
      <c r="K194" s="58"/>
      <c r="L194" s="49"/>
      <c r="M194" s="53" t="str">
        <f t="shared" si="5"/>
        <v/>
      </c>
    </row>
    <row r="195" spans="2:13" ht="18" customHeight="1" x14ac:dyDescent="0.25">
      <c r="B195" s="47" t="str">
        <f>IF(C195="","",COUNT($C$7:C195))</f>
        <v/>
      </c>
      <c r="C195" s="48"/>
      <c r="D195" s="50"/>
      <c r="E195" s="49"/>
      <c r="F195" s="63" t="str">
        <f t="shared" si="4"/>
        <v/>
      </c>
      <c r="G195" s="49"/>
      <c r="H195" s="49"/>
      <c r="I195" s="56"/>
      <c r="J195" s="49"/>
      <c r="K195" s="58"/>
      <c r="L195" s="49"/>
      <c r="M195" s="53" t="str">
        <f t="shared" si="5"/>
        <v/>
      </c>
    </row>
    <row r="196" spans="2:13" ht="18" customHeight="1" x14ac:dyDescent="0.25">
      <c r="B196" s="47" t="str">
        <f>IF(C196="","",COUNT($C$7:C196))</f>
        <v/>
      </c>
      <c r="C196" s="48"/>
      <c r="D196" s="50"/>
      <c r="E196" s="49"/>
      <c r="F196" s="63" t="str">
        <f t="shared" si="4"/>
        <v/>
      </c>
      <c r="G196" s="49"/>
      <c r="H196" s="49"/>
      <c r="I196" s="56"/>
      <c r="J196" s="49"/>
      <c r="K196" s="58"/>
      <c r="L196" s="49"/>
      <c r="M196" s="53" t="str">
        <f t="shared" si="5"/>
        <v/>
      </c>
    </row>
    <row r="197" spans="2:13" ht="18" customHeight="1" x14ac:dyDescent="0.25">
      <c r="B197" s="47" t="str">
        <f>IF(C197="","",COUNT($C$7:C197))</f>
        <v/>
      </c>
      <c r="C197" s="48"/>
      <c r="D197" s="50"/>
      <c r="E197" s="49"/>
      <c r="F197" s="63" t="str">
        <f t="shared" si="4"/>
        <v/>
      </c>
      <c r="G197" s="49"/>
      <c r="H197" s="49"/>
      <c r="I197" s="56"/>
      <c r="J197" s="49"/>
      <c r="K197" s="58"/>
      <c r="L197" s="49"/>
      <c r="M197" s="53" t="str">
        <f t="shared" si="5"/>
        <v/>
      </c>
    </row>
    <row r="198" spans="2:13" ht="18" customHeight="1" x14ac:dyDescent="0.25">
      <c r="B198" s="47" t="str">
        <f>IF(C198="","",COUNT($C$7:C198))</f>
        <v/>
      </c>
      <c r="C198" s="48"/>
      <c r="D198" s="50"/>
      <c r="E198" s="49"/>
      <c r="F198" s="63" t="str">
        <f t="shared" si="4"/>
        <v/>
      </c>
      <c r="G198" s="49"/>
      <c r="H198" s="49"/>
      <c r="I198" s="56"/>
      <c r="J198" s="49"/>
      <c r="K198" s="58"/>
      <c r="L198" s="49"/>
      <c r="M198" s="53" t="str">
        <f t="shared" si="5"/>
        <v/>
      </c>
    </row>
    <row r="199" spans="2:13" ht="18" customHeight="1" x14ac:dyDescent="0.25">
      <c r="B199" s="47" t="str">
        <f>IF(C199="","",COUNT($C$7:C199))</f>
        <v/>
      </c>
      <c r="C199" s="48"/>
      <c r="D199" s="50"/>
      <c r="E199" s="49"/>
      <c r="F199" s="63" t="str">
        <f t="shared" ref="F199:F262" si="6">IF(E199="","",IFERROR(INDEX(NaturesPoste,MATCH(E199,NaturesNoms,0))&amp;"","Nature inconnue"))</f>
        <v/>
      </c>
      <c r="G199" s="49"/>
      <c r="H199" s="49"/>
      <c r="I199" s="56"/>
      <c r="J199" s="49"/>
      <c r="K199" s="58"/>
      <c r="L199" s="49"/>
      <c r="M199" s="53" t="str">
        <f t="shared" ref="M199:M262" si="7">IF(C199="","",IF(OR(E199="",I199=""),"Incomplet",IF(F199="Nature inconnue","Nature inconnue",IF(AND(ISNUMBER(D199),D199&lt;N(KmOuverture)),"Km &lt; ouverture",IF(AND(D199="",OR(F199="Entretien",F199="Réparations",F199="Pneumatiques")),"Km manquant","Conforme")))))</f>
        <v/>
      </c>
    </row>
    <row r="200" spans="2:13" ht="18" customHeight="1" x14ac:dyDescent="0.25">
      <c r="B200" s="47" t="str">
        <f>IF(C200="","",COUNT($C$7:C200))</f>
        <v/>
      </c>
      <c r="C200" s="48"/>
      <c r="D200" s="50"/>
      <c r="E200" s="49"/>
      <c r="F200" s="63" t="str">
        <f t="shared" si="6"/>
        <v/>
      </c>
      <c r="G200" s="49"/>
      <c r="H200" s="49"/>
      <c r="I200" s="56"/>
      <c r="J200" s="49"/>
      <c r="K200" s="58"/>
      <c r="L200" s="49"/>
      <c r="M200" s="53" t="str">
        <f t="shared" si="7"/>
        <v/>
      </c>
    </row>
    <row r="201" spans="2:13" ht="18" customHeight="1" x14ac:dyDescent="0.25">
      <c r="B201" s="47" t="str">
        <f>IF(C201="","",COUNT($C$7:C201))</f>
        <v/>
      </c>
      <c r="C201" s="48"/>
      <c r="D201" s="50"/>
      <c r="E201" s="49"/>
      <c r="F201" s="63" t="str">
        <f t="shared" si="6"/>
        <v/>
      </c>
      <c r="G201" s="49"/>
      <c r="H201" s="49"/>
      <c r="I201" s="56"/>
      <c r="J201" s="49"/>
      <c r="K201" s="58"/>
      <c r="L201" s="49"/>
      <c r="M201" s="53" t="str">
        <f t="shared" si="7"/>
        <v/>
      </c>
    </row>
    <row r="202" spans="2:13" ht="18" customHeight="1" x14ac:dyDescent="0.25">
      <c r="B202" s="47" t="str">
        <f>IF(C202="","",COUNT($C$7:C202))</f>
        <v/>
      </c>
      <c r="C202" s="48"/>
      <c r="D202" s="50"/>
      <c r="E202" s="49"/>
      <c r="F202" s="63" t="str">
        <f t="shared" si="6"/>
        <v/>
      </c>
      <c r="G202" s="49"/>
      <c r="H202" s="49"/>
      <c r="I202" s="56"/>
      <c r="J202" s="49"/>
      <c r="K202" s="58"/>
      <c r="L202" s="49"/>
      <c r="M202" s="53" t="str">
        <f t="shared" si="7"/>
        <v/>
      </c>
    </row>
    <row r="203" spans="2:13" ht="18" customHeight="1" x14ac:dyDescent="0.25">
      <c r="B203" s="47" t="str">
        <f>IF(C203="","",COUNT($C$7:C203))</f>
        <v/>
      </c>
      <c r="C203" s="48"/>
      <c r="D203" s="50"/>
      <c r="E203" s="49"/>
      <c r="F203" s="63" t="str">
        <f t="shared" si="6"/>
        <v/>
      </c>
      <c r="G203" s="49"/>
      <c r="H203" s="49"/>
      <c r="I203" s="56"/>
      <c r="J203" s="49"/>
      <c r="K203" s="58"/>
      <c r="L203" s="49"/>
      <c r="M203" s="53" t="str">
        <f t="shared" si="7"/>
        <v/>
      </c>
    </row>
    <row r="204" spans="2:13" ht="18" customHeight="1" x14ac:dyDescent="0.25">
      <c r="B204" s="47" t="str">
        <f>IF(C204="","",COUNT($C$7:C204))</f>
        <v/>
      </c>
      <c r="C204" s="48"/>
      <c r="D204" s="50"/>
      <c r="E204" s="49"/>
      <c r="F204" s="63" t="str">
        <f t="shared" si="6"/>
        <v/>
      </c>
      <c r="G204" s="49"/>
      <c r="H204" s="49"/>
      <c r="I204" s="56"/>
      <c r="J204" s="49"/>
      <c r="K204" s="58"/>
      <c r="L204" s="49"/>
      <c r="M204" s="53" t="str">
        <f t="shared" si="7"/>
        <v/>
      </c>
    </row>
    <row r="205" spans="2:13" ht="18" customHeight="1" x14ac:dyDescent="0.25">
      <c r="B205" s="47" t="str">
        <f>IF(C205="","",COUNT($C$7:C205))</f>
        <v/>
      </c>
      <c r="C205" s="48"/>
      <c r="D205" s="50"/>
      <c r="E205" s="49"/>
      <c r="F205" s="63" t="str">
        <f t="shared" si="6"/>
        <v/>
      </c>
      <c r="G205" s="49"/>
      <c r="H205" s="49"/>
      <c r="I205" s="56"/>
      <c r="J205" s="49"/>
      <c r="K205" s="58"/>
      <c r="L205" s="49"/>
      <c r="M205" s="53" t="str">
        <f t="shared" si="7"/>
        <v/>
      </c>
    </row>
    <row r="206" spans="2:13" ht="18" customHeight="1" x14ac:dyDescent="0.25">
      <c r="B206" s="47" t="str">
        <f>IF(C206="","",COUNT($C$7:C206))</f>
        <v/>
      </c>
      <c r="C206" s="48"/>
      <c r="D206" s="50"/>
      <c r="E206" s="49"/>
      <c r="F206" s="63" t="str">
        <f t="shared" si="6"/>
        <v/>
      </c>
      <c r="G206" s="49"/>
      <c r="H206" s="49"/>
      <c r="I206" s="56"/>
      <c r="J206" s="49"/>
      <c r="K206" s="58"/>
      <c r="L206" s="49"/>
      <c r="M206" s="53" t="str">
        <f t="shared" si="7"/>
        <v/>
      </c>
    </row>
    <row r="207" spans="2:13" ht="18" customHeight="1" x14ac:dyDescent="0.25">
      <c r="B207" s="47" t="str">
        <f>IF(C207="","",COUNT($C$7:C207))</f>
        <v/>
      </c>
      <c r="C207" s="48"/>
      <c r="D207" s="50"/>
      <c r="E207" s="49"/>
      <c r="F207" s="63" t="str">
        <f t="shared" si="6"/>
        <v/>
      </c>
      <c r="G207" s="49"/>
      <c r="H207" s="49"/>
      <c r="I207" s="56"/>
      <c r="J207" s="49"/>
      <c r="K207" s="58"/>
      <c r="L207" s="49"/>
      <c r="M207" s="53" t="str">
        <f t="shared" si="7"/>
        <v/>
      </c>
    </row>
    <row r="208" spans="2:13" ht="18" customHeight="1" x14ac:dyDescent="0.25">
      <c r="B208" s="47" t="str">
        <f>IF(C208="","",COUNT($C$7:C208))</f>
        <v/>
      </c>
      <c r="C208" s="48"/>
      <c r="D208" s="50"/>
      <c r="E208" s="49"/>
      <c r="F208" s="63" t="str">
        <f t="shared" si="6"/>
        <v/>
      </c>
      <c r="G208" s="49"/>
      <c r="H208" s="49"/>
      <c r="I208" s="56"/>
      <c r="J208" s="49"/>
      <c r="K208" s="58"/>
      <c r="L208" s="49"/>
      <c r="M208" s="53" t="str">
        <f t="shared" si="7"/>
        <v/>
      </c>
    </row>
    <row r="209" spans="2:13" ht="18" customHeight="1" x14ac:dyDescent="0.25">
      <c r="B209" s="47" t="str">
        <f>IF(C209="","",COUNT($C$7:C209))</f>
        <v/>
      </c>
      <c r="C209" s="48"/>
      <c r="D209" s="50"/>
      <c r="E209" s="49"/>
      <c r="F209" s="63" t="str">
        <f t="shared" si="6"/>
        <v/>
      </c>
      <c r="G209" s="49"/>
      <c r="H209" s="49"/>
      <c r="I209" s="56"/>
      <c r="J209" s="49"/>
      <c r="K209" s="58"/>
      <c r="L209" s="49"/>
      <c r="M209" s="53" t="str">
        <f t="shared" si="7"/>
        <v/>
      </c>
    </row>
    <row r="210" spans="2:13" ht="18" customHeight="1" x14ac:dyDescent="0.25">
      <c r="B210" s="47" t="str">
        <f>IF(C210="","",COUNT($C$7:C210))</f>
        <v/>
      </c>
      <c r="C210" s="48"/>
      <c r="D210" s="50"/>
      <c r="E210" s="49"/>
      <c r="F210" s="63" t="str">
        <f t="shared" si="6"/>
        <v/>
      </c>
      <c r="G210" s="49"/>
      <c r="H210" s="49"/>
      <c r="I210" s="56"/>
      <c r="J210" s="49"/>
      <c r="K210" s="58"/>
      <c r="L210" s="49"/>
      <c r="M210" s="53" t="str">
        <f t="shared" si="7"/>
        <v/>
      </c>
    </row>
    <row r="211" spans="2:13" ht="18" customHeight="1" x14ac:dyDescent="0.25">
      <c r="B211" s="47" t="str">
        <f>IF(C211="","",COUNT($C$7:C211))</f>
        <v/>
      </c>
      <c r="C211" s="48"/>
      <c r="D211" s="50"/>
      <c r="E211" s="49"/>
      <c r="F211" s="63" t="str">
        <f t="shared" si="6"/>
        <v/>
      </c>
      <c r="G211" s="49"/>
      <c r="H211" s="49"/>
      <c r="I211" s="56"/>
      <c r="J211" s="49"/>
      <c r="K211" s="58"/>
      <c r="L211" s="49"/>
      <c r="M211" s="53" t="str">
        <f t="shared" si="7"/>
        <v/>
      </c>
    </row>
    <row r="212" spans="2:13" ht="18" customHeight="1" x14ac:dyDescent="0.25">
      <c r="B212" s="47" t="str">
        <f>IF(C212="","",COUNT($C$7:C212))</f>
        <v/>
      </c>
      <c r="C212" s="48"/>
      <c r="D212" s="50"/>
      <c r="E212" s="49"/>
      <c r="F212" s="63" t="str">
        <f t="shared" si="6"/>
        <v/>
      </c>
      <c r="G212" s="49"/>
      <c r="H212" s="49"/>
      <c r="I212" s="56"/>
      <c r="J212" s="49"/>
      <c r="K212" s="58"/>
      <c r="L212" s="49"/>
      <c r="M212" s="53" t="str">
        <f t="shared" si="7"/>
        <v/>
      </c>
    </row>
    <row r="213" spans="2:13" ht="18" customHeight="1" x14ac:dyDescent="0.25">
      <c r="B213" s="47" t="str">
        <f>IF(C213="","",COUNT($C$7:C213))</f>
        <v/>
      </c>
      <c r="C213" s="48"/>
      <c r="D213" s="50"/>
      <c r="E213" s="49"/>
      <c r="F213" s="63" t="str">
        <f t="shared" si="6"/>
        <v/>
      </c>
      <c r="G213" s="49"/>
      <c r="H213" s="49"/>
      <c r="I213" s="56"/>
      <c r="J213" s="49"/>
      <c r="K213" s="58"/>
      <c r="L213" s="49"/>
      <c r="M213" s="53" t="str">
        <f t="shared" si="7"/>
        <v/>
      </c>
    </row>
    <row r="214" spans="2:13" ht="18" customHeight="1" x14ac:dyDescent="0.25">
      <c r="B214" s="47" t="str">
        <f>IF(C214="","",COUNT($C$7:C214))</f>
        <v/>
      </c>
      <c r="C214" s="48"/>
      <c r="D214" s="50"/>
      <c r="E214" s="49"/>
      <c r="F214" s="63" t="str">
        <f t="shared" si="6"/>
        <v/>
      </c>
      <c r="G214" s="49"/>
      <c r="H214" s="49"/>
      <c r="I214" s="56"/>
      <c r="J214" s="49"/>
      <c r="K214" s="58"/>
      <c r="L214" s="49"/>
      <c r="M214" s="53" t="str">
        <f t="shared" si="7"/>
        <v/>
      </c>
    </row>
    <row r="215" spans="2:13" ht="18" customHeight="1" x14ac:dyDescent="0.25">
      <c r="B215" s="47" t="str">
        <f>IF(C215="","",COUNT($C$7:C215))</f>
        <v/>
      </c>
      <c r="C215" s="48"/>
      <c r="D215" s="50"/>
      <c r="E215" s="49"/>
      <c r="F215" s="63" t="str">
        <f t="shared" si="6"/>
        <v/>
      </c>
      <c r="G215" s="49"/>
      <c r="H215" s="49"/>
      <c r="I215" s="56"/>
      <c r="J215" s="49"/>
      <c r="K215" s="58"/>
      <c r="L215" s="49"/>
      <c r="M215" s="53" t="str">
        <f t="shared" si="7"/>
        <v/>
      </c>
    </row>
    <row r="216" spans="2:13" ht="18" customHeight="1" x14ac:dyDescent="0.25">
      <c r="B216" s="47" t="str">
        <f>IF(C216="","",COUNT($C$7:C216))</f>
        <v/>
      </c>
      <c r="C216" s="48"/>
      <c r="D216" s="50"/>
      <c r="E216" s="49"/>
      <c r="F216" s="63" t="str">
        <f t="shared" si="6"/>
        <v/>
      </c>
      <c r="G216" s="49"/>
      <c r="H216" s="49"/>
      <c r="I216" s="56"/>
      <c r="J216" s="49"/>
      <c r="K216" s="58"/>
      <c r="L216" s="49"/>
      <c r="M216" s="53" t="str">
        <f t="shared" si="7"/>
        <v/>
      </c>
    </row>
    <row r="217" spans="2:13" ht="18" customHeight="1" x14ac:dyDescent="0.25">
      <c r="B217" s="47" t="str">
        <f>IF(C217="","",COUNT($C$7:C217))</f>
        <v/>
      </c>
      <c r="C217" s="48"/>
      <c r="D217" s="50"/>
      <c r="E217" s="49"/>
      <c r="F217" s="63" t="str">
        <f t="shared" si="6"/>
        <v/>
      </c>
      <c r="G217" s="49"/>
      <c r="H217" s="49"/>
      <c r="I217" s="56"/>
      <c r="J217" s="49"/>
      <c r="K217" s="58"/>
      <c r="L217" s="49"/>
      <c r="M217" s="53" t="str">
        <f t="shared" si="7"/>
        <v/>
      </c>
    </row>
    <row r="218" spans="2:13" ht="18" customHeight="1" x14ac:dyDescent="0.25">
      <c r="B218" s="47" t="str">
        <f>IF(C218="","",COUNT($C$7:C218))</f>
        <v/>
      </c>
      <c r="C218" s="48"/>
      <c r="D218" s="50"/>
      <c r="E218" s="49"/>
      <c r="F218" s="63" t="str">
        <f t="shared" si="6"/>
        <v/>
      </c>
      <c r="G218" s="49"/>
      <c r="H218" s="49"/>
      <c r="I218" s="56"/>
      <c r="J218" s="49"/>
      <c r="K218" s="58"/>
      <c r="L218" s="49"/>
      <c r="M218" s="53" t="str">
        <f t="shared" si="7"/>
        <v/>
      </c>
    </row>
    <row r="219" spans="2:13" ht="18" customHeight="1" x14ac:dyDescent="0.25">
      <c r="B219" s="47" t="str">
        <f>IF(C219="","",COUNT($C$7:C219))</f>
        <v/>
      </c>
      <c r="C219" s="48"/>
      <c r="D219" s="50"/>
      <c r="E219" s="49"/>
      <c r="F219" s="63" t="str">
        <f t="shared" si="6"/>
        <v/>
      </c>
      <c r="G219" s="49"/>
      <c r="H219" s="49"/>
      <c r="I219" s="56"/>
      <c r="J219" s="49"/>
      <c r="K219" s="58"/>
      <c r="L219" s="49"/>
      <c r="M219" s="53" t="str">
        <f t="shared" si="7"/>
        <v/>
      </c>
    </row>
    <row r="220" spans="2:13" ht="18" customHeight="1" x14ac:dyDescent="0.25">
      <c r="B220" s="47" t="str">
        <f>IF(C220="","",COUNT($C$7:C220))</f>
        <v/>
      </c>
      <c r="C220" s="48"/>
      <c r="D220" s="50"/>
      <c r="E220" s="49"/>
      <c r="F220" s="63" t="str">
        <f t="shared" si="6"/>
        <v/>
      </c>
      <c r="G220" s="49"/>
      <c r="H220" s="49"/>
      <c r="I220" s="56"/>
      <c r="J220" s="49"/>
      <c r="K220" s="58"/>
      <c r="L220" s="49"/>
      <c r="M220" s="53" t="str">
        <f t="shared" si="7"/>
        <v/>
      </c>
    </row>
    <row r="221" spans="2:13" ht="18" customHeight="1" x14ac:dyDescent="0.25">
      <c r="B221" s="47" t="str">
        <f>IF(C221="","",COUNT($C$7:C221))</f>
        <v/>
      </c>
      <c r="C221" s="48"/>
      <c r="D221" s="50"/>
      <c r="E221" s="49"/>
      <c r="F221" s="63" t="str">
        <f t="shared" si="6"/>
        <v/>
      </c>
      <c r="G221" s="49"/>
      <c r="H221" s="49"/>
      <c r="I221" s="56"/>
      <c r="J221" s="49"/>
      <c r="K221" s="58"/>
      <c r="L221" s="49"/>
      <c r="M221" s="53" t="str">
        <f t="shared" si="7"/>
        <v/>
      </c>
    </row>
    <row r="222" spans="2:13" ht="18" customHeight="1" x14ac:dyDescent="0.25">
      <c r="B222" s="47" t="str">
        <f>IF(C222="","",COUNT($C$7:C222))</f>
        <v/>
      </c>
      <c r="C222" s="48"/>
      <c r="D222" s="50"/>
      <c r="E222" s="49"/>
      <c r="F222" s="63" t="str">
        <f t="shared" si="6"/>
        <v/>
      </c>
      <c r="G222" s="49"/>
      <c r="H222" s="49"/>
      <c r="I222" s="56"/>
      <c r="J222" s="49"/>
      <c r="K222" s="58"/>
      <c r="L222" s="49"/>
      <c r="M222" s="53" t="str">
        <f t="shared" si="7"/>
        <v/>
      </c>
    </row>
    <row r="223" spans="2:13" ht="18" customHeight="1" x14ac:dyDescent="0.25">
      <c r="B223" s="47" t="str">
        <f>IF(C223="","",COUNT($C$7:C223))</f>
        <v/>
      </c>
      <c r="C223" s="48"/>
      <c r="D223" s="50"/>
      <c r="E223" s="49"/>
      <c r="F223" s="63" t="str">
        <f t="shared" si="6"/>
        <v/>
      </c>
      <c r="G223" s="49"/>
      <c r="H223" s="49"/>
      <c r="I223" s="56"/>
      <c r="J223" s="49"/>
      <c r="K223" s="58"/>
      <c r="L223" s="49"/>
      <c r="M223" s="53" t="str">
        <f t="shared" si="7"/>
        <v/>
      </c>
    </row>
    <row r="224" spans="2:13" ht="18" customHeight="1" x14ac:dyDescent="0.25">
      <c r="B224" s="47" t="str">
        <f>IF(C224="","",COUNT($C$7:C224))</f>
        <v/>
      </c>
      <c r="C224" s="48"/>
      <c r="D224" s="50"/>
      <c r="E224" s="49"/>
      <c r="F224" s="63" t="str">
        <f t="shared" si="6"/>
        <v/>
      </c>
      <c r="G224" s="49"/>
      <c r="H224" s="49"/>
      <c r="I224" s="56"/>
      <c r="J224" s="49"/>
      <c r="K224" s="58"/>
      <c r="L224" s="49"/>
      <c r="M224" s="53" t="str">
        <f t="shared" si="7"/>
        <v/>
      </c>
    </row>
    <row r="225" spans="2:13" ht="18" customHeight="1" x14ac:dyDescent="0.25">
      <c r="B225" s="47" t="str">
        <f>IF(C225="","",COUNT($C$7:C225))</f>
        <v/>
      </c>
      <c r="C225" s="48"/>
      <c r="D225" s="50"/>
      <c r="E225" s="49"/>
      <c r="F225" s="63" t="str">
        <f t="shared" si="6"/>
        <v/>
      </c>
      <c r="G225" s="49"/>
      <c r="H225" s="49"/>
      <c r="I225" s="56"/>
      <c r="J225" s="49"/>
      <c r="K225" s="58"/>
      <c r="L225" s="49"/>
      <c r="M225" s="53" t="str">
        <f t="shared" si="7"/>
        <v/>
      </c>
    </row>
    <row r="226" spans="2:13" ht="18" customHeight="1" x14ac:dyDescent="0.25">
      <c r="B226" s="47" t="str">
        <f>IF(C226="","",COUNT($C$7:C226))</f>
        <v/>
      </c>
      <c r="C226" s="48"/>
      <c r="D226" s="50"/>
      <c r="E226" s="49"/>
      <c r="F226" s="63" t="str">
        <f t="shared" si="6"/>
        <v/>
      </c>
      <c r="G226" s="49"/>
      <c r="H226" s="49"/>
      <c r="I226" s="56"/>
      <c r="J226" s="49"/>
      <c r="K226" s="58"/>
      <c r="L226" s="49"/>
      <c r="M226" s="53" t="str">
        <f t="shared" si="7"/>
        <v/>
      </c>
    </row>
    <row r="227" spans="2:13" ht="18" customHeight="1" x14ac:dyDescent="0.25">
      <c r="B227" s="47" t="str">
        <f>IF(C227="","",COUNT($C$7:C227))</f>
        <v/>
      </c>
      <c r="C227" s="48"/>
      <c r="D227" s="50"/>
      <c r="E227" s="49"/>
      <c r="F227" s="63" t="str">
        <f t="shared" si="6"/>
        <v/>
      </c>
      <c r="G227" s="49"/>
      <c r="H227" s="49"/>
      <c r="I227" s="56"/>
      <c r="J227" s="49"/>
      <c r="K227" s="58"/>
      <c r="L227" s="49"/>
      <c r="M227" s="53" t="str">
        <f t="shared" si="7"/>
        <v/>
      </c>
    </row>
    <row r="228" spans="2:13" ht="18" customHeight="1" x14ac:dyDescent="0.25">
      <c r="B228" s="47" t="str">
        <f>IF(C228="","",COUNT($C$7:C228))</f>
        <v/>
      </c>
      <c r="C228" s="48"/>
      <c r="D228" s="50"/>
      <c r="E228" s="49"/>
      <c r="F228" s="63" t="str">
        <f t="shared" si="6"/>
        <v/>
      </c>
      <c r="G228" s="49"/>
      <c r="H228" s="49"/>
      <c r="I228" s="56"/>
      <c r="J228" s="49"/>
      <c r="K228" s="58"/>
      <c r="L228" s="49"/>
      <c r="M228" s="53" t="str">
        <f t="shared" si="7"/>
        <v/>
      </c>
    </row>
    <row r="229" spans="2:13" ht="18" customHeight="1" x14ac:dyDescent="0.25">
      <c r="B229" s="47" t="str">
        <f>IF(C229="","",COUNT($C$7:C229))</f>
        <v/>
      </c>
      <c r="C229" s="48"/>
      <c r="D229" s="50"/>
      <c r="E229" s="49"/>
      <c r="F229" s="63" t="str">
        <f t="shared" si="6"/>
        <v/>
      </c>
      <c r="G229" s="49"/>
      <c r="H229" s="49"/>
      <c r="I229" s="56"/>
      <c r="J229" s="49"/>
      <c r="K229" s="58"/>
      <c r="L229" s="49"/>
      <c r="M229" s="53" t="str">
        <f t="shared" si="7"/>
        <v/>
      </c>
    </row>
    <row r="230" spans="2:13" ht="18" customHeight="1" x14ac:dyDescent="0.25">
      <c r="B230" s="47" t="str">
        <f>IF(C230="","",COUNT($C$7:C230))</f>
        <v/>
      </c>
      <c r="C230" s="48"/>
      <c r="D230" s="50"/>
      <c r="E230" s="49"/>
      <c r="F230" s="63" t="str">
        <f t="shared" si="6"/>
        <v/>
      </c>
      <c r="G230" s="49"/>
      <c r="H230" s="49"/>
      <c r="I230" s="56"/>
      <c r="J230" s="49"/>
      <c r="K230" s="58"/>
      <c r="L230" s="49"/>
      <c r="M230" s="53" t="str">
        <f t="shared" si="7"/>
        <v/>
      </c>
    </row>
    <row r="231" spans="2:13" ht="18" customHeight="1" x14ac:dyDescent="0.25">
      <c r="B231" s="47" t="str">
        <f>IF(C231="","",COUNT($C$7:C231))</f>
        <v/>
      </c>
      <c r="C231" s="48"/>
      <c r="D231" s="50"/>
      <c r="E231" s="49"/>
      <c r="F231" s="63" t="str">
        <f t="shared" si="6"/>
        <v/>
      </c>
      <c r="G231" s="49"/>
      <c r="H231" s="49"/>
      <c r="I231" s="56"/>
      <c r="J231" s="49"/>
      <c r="K231" s="58"/>
      <c r="L231" s="49"/>
      <c r="M231" s="53" t="str">
        <f t="shared" si="7"/>
        <v/>
      </c>
    </row>
    <row r="232" spans="2:13" ht="18" customHeight="1" x14ac:dyDescent="0.25">
      <c r="B232" s="47" t="str">
        <f>IF(C232="","",COUNT($C$7:C232))</f>
        <v/>
      </c>
      <c r="C232" s="48"/>
      <c r="D232" s="50"/>
      <c r="E232" s="49"/>
      <c r="F232" s="63" t="str">
        <f t="shared" si="6"/>
        <v/>
      </c>
      <c r="G232" s="49"/>
      <c r="H232" s="49"/>
      <c r="I232" s="56"/>
      <c r="J232" s="49"/>
      <c r="K232" s="58"/>
      <c r="L232" s="49"/>
      <c r="M232" s="53" t="str">
        <f t="shared" si="7"/>
        <v/>
      </c>
    </row>
    <row r="233" spans="2:13" ht="18" customHeight="1" x14ac:dyDescent="0.25">
      <c r="B233" s="47" t="str">
        <f>IF(C233="","",COUNT($C$7:C233))</f>
        <v/>
      </c>
      <c r="C233" s="48"/>
      <c r="D233" s="50"/>
      <c r="E233" s="49"/>
      <c r="F233" s="63" t="str">
        <f t="shared" si="6"/>
        <v/>
      </c>
      <c r="G233" s="49"/>
      <c r="H233" s="49"/>
      <c r="I233" s="56"/>
      <c r="J233" s="49"/>
      <c r="K233" s="58"/>
      <c r="L233" s="49"/>
      <c r="M233" s="53" t="str">
        <f t="shared" si="7"/>
        <v/>
      </c>
    </row>
    <row r="234" spans="2:13" ht="18" customHeight="1" x14ac:dyDescent="0.25">
      <c r="B234" s="47" t="str">
        <f>IF(C234="","",COUNT($C$7:C234))</f>
        <v/>
      </c>
      <c r="C234" s="48"/>
      <c r="D234" s="50"/>
      <c r="E234" s="49"/>
      <c r="F234" s="63" t="str">
        <f t="shared" si="6"/>
        <v/>
      </c>
      <c r="G234" s="49"/>
      <c r="H234" s="49"/>
      <c r="I234" s="56"/>
      <c r="J234" s="49"/>
      <c r="K234" s="58"/>
      <c r="L234" s="49"/>
      <c r="M234" s="53" t="str">
        <f t="shared" si="7"/>
        <v/>
      </c>
    </row>
    <row r="235" spans="2:13" ht="18" customHeight="1" x14ac:dyDescent="0.25">
      <c r="B235" s="47" t="str">
        <f>IF(C235="","",COUNT($C$7:C235))</f>
        <v/>
      </c>
      <c r="C235" s="48"/>
      <c r="D235" s="50"/>
      <c r="E235" s="49"/>
      <c r="F235" s="63" t="str">
        <f t="shared" si="6"/>
        <v/>
      </c>
      <c r="G235" s="49"/>
      <c r="H235" s="49"/>
      <c r="I235" s="56"/>
      <c r="J235" s="49"/>
      <c r="K235" s="58"/>
      <c r="L235" s="49"/>
      <c r="M235" s="53" t="str">
        <f t="shared" si="7"/>
        <v/>
      </c>
    </row>
    <row r="236" spans="2:13" ht="18" customHeight="1" x14ac:dyDescent="0.25">
      <c r="B236" s="47" t="str">
        <f>IF(C236="","",COUNT($C$7:C236))</f>
        <v/>
      </c>
      <c r="C236" s="48"/>
      <c r="D236" s="50"/>
      <c r="E236" s="49"/>
      <c r="F236" s="63" t="str">
        <f t="shared" si="6"/>
        <v/>
      </c>
      <c r="G236" s="49"/>
      <c r="H236" s="49"/>
      <c r="I236" s="56"/>
      <c r="J236" s="49"/>
      <c r="K236" s="58"/>
      <c r="L236" s="49"/>
      <c r="M236" s="53" t="str">
        <f t="shared" si="7"/>
        <v/>
      </c>
    </row>
    <row r="237" spans="2:13" ht="18" customHeight="1" x14ac:dyDescent="0.25">
      <c r="B237" s="47" t="str">
        <f>IF(C237="","",COUNT($C$7:C237))</f>
        <v/>
      </c>
      <c r="C237" s="48"/>
      <c r="D237" s="50"/>
      <c r="E237" s="49"/>
      <c r="F237" s="63" t="str">
        <f t="shared" si="6"/>
        <v/>
      </c>
      <c r="G237" s="49"/>
      <c r="H237" s="49"/>
      <c r="I237" s="56"/>
      <c r="J237" s="49"/>
      <c r="K237" s="58"/>
      <c r="L237" s="49"/>
      <c r="M237" s="53" t="str">
        <f t="shared" si="7"/>
        <v/>
      </c>
    </row>
    <row r="238" spans="2:13" ht="18" customHeight="1" x14ac:dyDescent="0.25">
      <c r="B238" s="47" t="str">
        <f>IF(C238="","",COUNT($C$7:C238))</f>
        <v/>
      </c>
      <c r="C238" s="48"/>
      <c r="D238" s="50"/>
      <c r="E238" s="49"/>
      <c r="F238" s="63" t="str">
        <f t="shared" si="6"/>
        <v/>
      </c>
      <c r="G238" s="49"/>
      <c r="H238" s="49"/>
      <c r="I238" s="56"/>
      <c r="J238" s="49"/>
      <c r="K238" s="58"/>
      <c r="L238" s="49"/>
      <c r="M238" s="53" t="str">
        <f t="shared" si="7"/>
        <v/>
      </c>
    </row>
    <row r="239" spans="2:13" ht="18" customHeight="1" x14ac:dyDescent="0.25">
      <c r="B239" s="47" t="str">
        <f>IF(C239="","",COUNT($C$7:C239))</f>
        <v/>
      </c>
      <c r="C239" s="48"/>
      <c r="D239" s="50"/>
      <c r="E239" s="49"/>
      <c r="F239" s="63" t="str">
        <f t="shared" si="6"/>
        <v/>
      </c>
      <c r="G239" s="49"/>
      <c r="H239" s="49"/>
      <c r="I239" s="56"/>
      <c r="J239" s="49"/>
      <c r="K239" s="58"/>
      <c r="L239" s="49"/>
      <c r="M239" s="53" t="str">
        <f t="shared" si="7"/>
        <v/>
      </c>
    </row>
    <row r="240" spans="2:13" ht="18" customHeight="1" x14ac:dyDescent="0.25">
      <c r="B240" s="47" t="str">
        <f>IF(C240="","",COUNT($C$7:C240))</f>
        <v/>
      </c>
      <c r="C240" s="48"/>
      <c r="D240" s="50"/>
      <c r="E240" s="49"/>
      <c r="F240" s="63" t="str">
        <f t="shared" si="6"/>
        <v/>
      </c>
      <c r="G240" s="49"/>
      <c r="H240" s="49"/>
      <c r="I240" s="56"/>
      <c r="J240" s="49"/>
      <c r="K240" s="58"/>
      <c r="L240" s="49"/>
      <c r="M240" s="53" t="str">
        <f t="shared" si="7"/>
        <v/>
      </c>
    </row>
    <row r="241" spans="2:13" ht="18" customHeight="1" x14ac:dyDescent="0.25">
      <c r="B241" s="47" t="str">
        <f>IF(C241="","",COUNT($C$7:C241))</f>
        <v/>
      </c>
      <c r="C241" s="48"/>
      <c r="D241" s="50"/>
      <c r="E241" s="49"/>
      <c r="F241" s="63" t="str">
        <f t="shared" si="6"/>
        <v/>
      </c>
      <c r="G241" s="49"/>
      <c r="H241" s="49"/>
      <c r="I241" s="56"/>
      <c r="J241" s="49"/>
      <c r="K241" s="58"/>
      <c r="L241" s="49"/>
      <c r="M241" s="53" t="str">
        <f t="shared" si="7"/>
        <v/>
      </c>
    </row>
    <row r="242" spans="2:13" ht="18" customHeight="1" x14ac:dyDescent="0.25">
      <c r="B242" s="47" t="str">
        <f>IF(C242="","",COUNT($C$7:C242))</f>
        <v/>
      </c>
      <c r="C242" s="48"/>
      <c r="D242" s="50"/>
      <c r="E242" s="49"/>
      <c r="F242" s="63" t="str">
        <f t="shared" si="6"/>
        <v/>
      </c>
      <c r="G242" s="49"/>
      <c r="H242" s="49"/>
      <c r="I242" s="56"/>
      <c r="J242" s="49"/>
      <c r="K242" s="58"/>
      <c r="L242" s="49"/>
      <c r="M242" s="53" t="str">
        <f t="shared" si="7"/>
        <v/>
      </c>
    </row>
    <row r="243" spans="2:13" ht="18" customHeight="1" x14ac:dyDescent="0.25">
      <c r="B243" s="47" t="str">
        <f>IF(C243="","",COUNT($C$7:C243))</f>
        <v/>
      </c>
      <c r="C243" s="48"/>
      <c r="D243" s="50"/>
      <c r="E243" s="49"/>
      <c r="F243" s="63" t="str">
        <f t="shared" si="6"/>
        <v/>
      </c>
      <c r="G243" s="49"/>
      <c r="H243" s="49"/>
      <c r="I243" s="56"/>
      <c r="J243" s="49"/>
      <c r="K243" s="58"/>
      <c r="L243" s="49"/>
      <c r="M243" s="53" t="str">
        <f t="shared" si="7"/>
        <v/>
      </c>
    </row>
    <row r="244" spans="2:13" ht="18" customHeight="1" x14ac:dyDescent="0.25">
      <c r="B244" s="47" t="str">
        <f>IF(C244="","",COUNT($C$7:C244))</f>
        <v/>
      </c>
      <c r="C244" s="48"/>
      <c r="D244" s="50"/>
      <c r="E244" s="49"/>
      <c r="F244" s="63" t="str">
        <f t="shared" si="6"/>
        <v/>
      </c>
      <c r="G244" s="49"/>
      <c r="H244" s="49"/>
      <c r="I244" s="56"/>
      <c r="J244" s="49"/>
      <c r="K244" s="58"/>
      <c r="L244" s="49"/>
      <c r="M244" s="53" t="str">
        <f t="shared" si="7"/>
        <v/>
      </c>
    </row>
    <row r="245" spans="2:13" ht="18" customHeight="1" x14ac:dyDescent="0.25">
      <c r="B245" s="47" t="str">
        <f>IF(C245="","",COUNT($C$7:C245))</f>
        <v/>
      </c>
      <c r="C245" s="48"/>
      <c r="D245" s="50"/>
      <c r="E245" s="49"/>
      <c r="F245" s="63" t="str">
        <f t="shared" si="6"/>
        <v/>
      </c>
      <c r="G245" s="49"/>
      <c r="H245" s="49"/>
      <c r="I245" s="56"/>
      <c r="J245" s="49"/>
      <c r="K245" s="58"/>
      <c r="L245" s="49"/>
      <c r="M245" s="53" t="str">
        <f t="shared" si="7"/>
        <v/>
      </c>
    </row>
    <row r="246" spans="2:13" ht="18" customHeight="1" x14ac:dyDescent="0.25">
      <c r="B246" s="47" t="str">
        <f>IF(C246="","",COUNT($C$7:C246))</f>
        <v/>
      </c>
      <c r="C246" s="48"/>
      <c r="D246" s="50"/>
      <c r="E246" s="49"/>
      <c r="F246" s="63" t="str">
        <f t="shared" si="6"/>
        <v/>
      </c>
      <c r="G246" s="49"/>
      <c r="H246" s="49"/>
      <c r="I246" s="56"/>
      <c r="J246" s="49"/>
      <c r="K246" s="58"/>
      <c r="L246" s="49"/>
      <c r="M246" s="53" t="str">
        <f t="shared" si="7"/>
        <v/>
      </c>
    </row>
    <row r="247" spans="2:13" ht="18" customHeight="1" x14ac:dyDescent="0.25">
      <c r="B247" s="47" t="str">
        <f>IF(C247="","",COUNT($C$7:C247))</f>
        <v/>
      </c>
      <c r="C247" s="48"/>
      <c r="D247" s="50"/>
      <c r="E247" s="49"/>
      <c r="F247" s="63" t="str">
        <f t="shared" si="6"/>
        <v/>
      </c>
      <c r="G247" s="49"/>
      <c r="H247" s="49"/>
      <c r="I247" s="56"/>
      <c r="J247" s="49"/>
      <c r="K247" s="58"/>
      <c r="L247" s="49"/>
      <c r="M247" s="53" t="str">
        <f t="shared" si="7"/>
        <v/>
      </c>
    </row>
    <row r="248" spans="2:13" ht="18" customHeight="1" x14ac:dyDescent="0.25">
      <c r="B248" s="47" t="str">
        <f>IF(C248="","",COUNT($C$7:C248))</f>
        <v/>
      </c>
      <c r="C248" s="48"/>
      <c r="D248" s="50"/>
      <c r="E248" s="49"/>
      <c r="F248" s="63" t="str">
        <f t="shared" si="6"/>
        <v/>
      </c>
      <c r="G248" s="49"/>
      <c r="H248" s="49"/>
      <c r="I248" s="56"/>
      <c r="J248" s="49"/>
      <c r="K248" s="58"/>
      <c r="L248" s="49"/>
      <c r="M248" s="53" t="str">
        <f t="shared" si="7"/>
        <v/>
      </c>
    </row>
    <row r="249" spans="2:13" ht="18" customHeight="1" x14ac:dyDescent="0.25">
      <c r="B249" s="47" t="str">
        <f>IF(C249="","",COUNT($C$7:C249))</f>
        <v/>
      </c>
      <c r="C249" s="48"/>
      <c r="D249" s="50"/>
      <c r="E249" s="49"/>
      <c r="F249" s="63" t="str">
        <f t="shared" si="6"/>
        <v/>
      </c>
      <c r="G249" s="49"/>
      <c r="H249" s="49"/>
      <c r="I249" s="56"/>
      <c r="J249" s="49"/>
      <c r="K249" s="58"/>
      <c r="L249" s="49"/>
      <c r="M249" s="53" t="str">
        <f t="shared" si="7"/>
        <v/>
      </c>
    </row>
    <row r="250" spans="2:13" ht="18" customHeight="1" x14ac:dyDescent="0.25">
      <c r="B250" s="47" t="str">
        <f>IF(C250="","",COUNT($C$7:C250))</f>
        <v/>
      </c>
      <c r="C250" s="48"/>
      <c r="D250" s="50"/>
      <c r="E250" s="49"/>
      <c r="F250" s="63" t="str">
        <f t="shared" si="6"/>
        <v/>
      </c>
      <c r="G250" s="49"/>
      <c r="H250" s="49"/>
      <c r="I250" s="56"/>
      <c r="J250" s="49"/>
      <c r="K250" s="58"/>
      <c r="L250" s="49"/>
      <c r="M250" s="53" t="str">
        <f t="shared" si="7"/>
        <v/>
      </c>
    </row>
    <row r="251" spans="2:13" ht="18" customHeight="1" x14ac:dyDescent="0.25">
      <c r="B251" s="47" t="str">
        <f>IF(C251="","",COUNT($C$7:C251))</f>
        <v/>
      </c>
      <c r="C251" s="48"/>
      <c r="D251" s="50"/>
      <c r="E251" s="49"/>
      <c r="F251" s="63" t="str">
        <f t="shared" si="6"/>
        <v/>
      </c>
      <c r="G251" s="49"/>
      <c r="H251" s="49"/>
      <c r="I251" s="56"/>
      <c r="J251" s="49"/>
      <c r="K251" s="58"/>
      <c r="L251" s="49"/>
      <c r="M251" s="53" t="str">
        <f t="shared" si="7"/>
        <v/>
      </c>
    </row>
    <row r="252" spans="2:13" ht="18" customHeight="1" x14ac:dyDescent="0.25">
      <c r="B252" s="47" t="str">
        <f>IF(C252="","",COUNT($C$7:C252))</f>
        <v/>
      </c>
      <c r="C252" s="48"/>
      <c r="D252" s="50"/>
      <c r="E252" s="49"/>
      <c r="F252" s="63" t="str">
        <f t="shared" si="6"/>
        <v/>
      </c>
      <c r="G252" s="49"/>
      <c r="H252" s="49"/>
      <c r="I252" s="56"/>
      <c r="J252" s="49"/>
      <c r="K252" s="58"/>
      <c r="L252" s="49"/>
      <c r="M252" s="53" t="str">
        <f t="shared" si="7"/>
        <v/>
      </c>
    </row>
    <row r="253" spans="2:13" ht="18" customHeight="1" x14ac:dyDescent="0.25">
      <c r="B253" s="47" t="str">
        <f>IF(C253="","",COUNT($C$7:C253))</f>
        <v/>
      </c>
      <c r="C253" s="48"/>
      <c r="D253" s="50"/>
      <c r="E253" s="49"/>
      <c r="F253" s="63" t="str">
        <f t="shared" si="6"/>
        <v/>
      </c>
      <c r="G253" s="49"/>
      <c r="H253" s="49"/>
      <c r="I253" s="56"/>
      <c r="J253" s="49"/>
      <c r="K253" s="58"/>
      <c r="L253" s="49"/>
      <c r="M253" s="53" t="str">
        <f t="shared" si="7"/>
        <v/>
      </c>
    </row>
    <row r="254" spans="2:13" ht="18" customHeight="1" x14ac:dyDescent="0.25">
      <c r="B254" s="47" t="str">
        <f>IF(C254="","",COUNT($C$7:C254))</f>
        <v/>
      </c>
      <c r="C254" s="48"/>
      <c r="D254" s="50"/>
      <c r="E254" s="49"/>
      <c r="F254" s="63" t="str">
        <f t="shared" si="6"/>
        <v/>
      </c>
      <c r="G254" s="49"/>
      <c r="H254" s="49"/>
      <c r="I254" s="56"/>
      <c r="J254" s="49"/>
      <c r="K254" s="58"/>
      <c r="L254" s="49"/>
      <c r="M254" s="53" t="str">
        <f t="shared" si="7"/>
        <v/>
      </c>
    </row>
    <row r="255" spans="2:13" ht="18" customHeight="1" x14ac:dyDescent="0.25">
      <c r="B255" s="47" t="str">
        <f>IF(C255="","",COUNT($C$7:C255))</f>
        <v/>
      </c>
      <c r="C255" s="48"/>
      <c r="D255" s="50"/>
      <c r="E255" s="49"/>
      <c r="F255" s="63" t="str">
        <f t="shared" si="6"/>
        <v/>
      </c>
      <c r="G255" s="49"/>
      <c r="H255" s="49"/>
      <c r="I255" s="56"/>
      <c r="J255" s="49"/>
      <c r="K255" s="58"/>
      <c r="L255" s="49"/>
      <c r="M255" s="53" t="str">
        <f t="shared" si="7"/>
        <v/>
      </c>
    </row>
    <row r="256" spans="2:13" ht="18" customHeight="1" x14ac:dyDescent="0.25">
      <c r="B256" s="47" t="str">
        <f>IF(C256="","",COUNT($C$7:C256))</f>
        <v/>
      </c>
      <c r="C256" s="48"/>
      <c r="D256" s="50"/>
      <c r="E256" s="49"/>
      <c r="F256" s="63" t="str">
        <f t="shared" si="6"/>
        <v/>
      </c>
      <c r="G256" s="49"/>
      <c r="H256" s="49"/>
      <c r="I256" s="56"/>
      <c r="J256" s="49"/>
      <c r="K256" s="58"/>
      <c r="L256" s="49"/>
      <c r="M256" s="53" t="str">
        <f t="shared" si="7"/>
        <v/>
      </c>
    </row>
    <row r="257" spans="2:13" ht="18" customHeight="1" x14ac:dyDescent="0.25">
      <c r="B257" s="47" t="str">
        <f>IF(C257="","",COUNT($C$7:C257))</f>
        <v/>
      </c>
      <c r="C257" s="48"/>
      <c r="D257" s="50"/>
      <c r="E257" s="49"/>
      <c r="F257" s="63" t="str">
        <f t="shared" si="6"/>
        <v/>
      </c>
      <c r="G257" s="49"/>
      <c r="H257" s="49"/>
      <c r="I257" s="56"/>
      <c r="J257" s="49"/>
      <c r="K257" s="58"/>
      <c r="L257" s="49"/>
      <c r="M257" s="53" t="str">
        <f t="shared" si="7"/>
        <v/>
      </c>
    </row>
    <row r="258" spans="2:13" ht="18" customHeight="1" x14ac:dyDescent="0.25">
      <c r="B258" s="47" t="str">
        <f>IF(C258="","",COUNT($C$7:C258))</f>
        <v/>
      </c>
      <c r="C258" s="48"/>
      <c r="D258" s="50"/>
      <c r="E258" s="49"/>
      <c r="F258" s="63" t="str">
        <f t="shared" si="6"/>
        <v/>
      </c>
      <c r="G258" s="49"/>
      <c r="H258" s="49"/>
      <c r="I258" s="56"/>
      <c r="J258" s="49"/>
      <c r="K258" s="58"/>
      <c r="L258" s="49"/>
      <c r="M258" s="53" t="str">
        <f t="shared" si="7"/>
        <v/>
      </c>
    </row>
    <row r="259" spans="2:13" ht="18" customHeight="1" x14ac:dyDescent="0.25">
      <c r="B259" s="47" t="str">
        <f>IF(C259="","",COUNT($C$7:C259))</f>
        <v/>
      </c>
      <c r="C259" s="48"/>
      <c r="D259" s="50"/>
      <c r="E259" s="49"/>
      <c r="F259" s="63" t="str">
        <f t="shared" si="6"/>
        <v/>
      </c>
      <c r="G259" s="49"/>
      <c r="H259" s="49"/>
      <c r="I259" s="56"/>
      <c r="J259" s="49"/>
      <c r="K259" s="58"/>
      <c r="L259" s="49"/>
      <c r="M259" s="53" t="str">
        <f t="shared" si="7"/>
        <v/>
      </c>
    </row>
    <row r="260" spans="2:13" ht="18" customHeight="1" x14ac:dyDescent="0.25">
      <c r="B260" s="47" t="str">
        <f>IF(C260="","",COUNT($C$7:C260))</f>
        <v/>
      </c>
      <c r="C260" s="48"/>
      <c r="D260" s="50"/>
      <c r="E260" s="49"/>
      <c r="F260" s="63" t="str">
        <f t="shared" si="6"/>
        <v/>
      </c>
      <c r="G260" s="49"/>
      <c r="H260" s="49"/>
      <c r="I260" s="56"/>
      <c r="J260" s="49"/>
      <c r="K260" s="58"/>
      <c r="L260" s="49"/>
      <c r="M260" s="53" t="str">
        <f t="shared" si="7"/>
        <v/>
      </c>
    </row>
    <row r="261" spans="2:13" ht="18" customHeight="1" x14ac:dyDescent="0.25">
      <c r="B261" s="47" t="str">
        <f>IF(C261="","",COUNT($C$7:C261))</f>
        <v/>
      </c>
      <c r="C261" s="48"/>
      <c r="D261" s="50"/>
      <c r="E261" s="49"/>
      <c r="F261" s="63" t="str">
        <f t="shared" si="6"/>
        <v/>
      </c>
      <c r="G261" s="49"/>
      <c r="H261" s="49"/>
      <c r="I261" s="56"/>
      <c r="J261" s="49"/>
      <c r="K261" s="58"/>
      <c r="L261" s="49"/>
      <c r="M261" s="53" t="str">
        <f t="shared" si="7"/>
        <v/>
      </c>
    </row>
    <row r="262" spans="2:13" ht="18" customHeight="1" x14ac:dyDescent="0.25">
      <c r="B262" s="47" t="str">
        <f>IF(C262="","",COUNT($C$7:C262))</f>
        <v/>
      </c>
      <c r="C262" s="48"/>
      <c r="D262" s="50"/>
      <c r="E262" s="49"/>
      <c r="F262" s="63" t="str">
        <f t="shared" si="6"/>
        <v/>
      </c>
      <c r="G262" s="49"/>
      <c r="H262" s="49"/>
      <c r="I262" s="56"/>
      <c r="J262" s="49"/>
      <c r="K262" s="58"/>
      <c r="L262" s="49"/>
      <c r="M262" s="53" t="str">
        <f t="shared" si="7"/>
        <v/>
      </c>
    </row>
    <row r="263" spans="2:13" ht="18" customHeight="1" x14ac:dyDescent="0.25">
      <c r="B263" s="47" t="str">
        <f>IF(C263="","",COUNT($C$7:C263))</f>
        <v/>
      </c>
      <c r="C263" s="48"/>
      <c r="D263" s="50"/>
      <c r="E263" s="49"/>
      <c r="F263" s="63" t="str">
        <f t="shared" ref="F263:F326" si="8">IF(E263="","",IFERROR(INDEX(NaturesPoste,MATCH(E263,NaturesNoms,0))&amp;"","Nature inconnue"))</f>
        <v/>
      </c>
      <c r="G263" s="49"/>
      <c r="H263" s="49"/>
      <c r="I263" s="56"/>
      <c r="J263" s="49"/>
      <c r="K263" s="58"/>
      <c r="L263" s="49"/>
      <c r="M263" s="53" t="str">
        <f t="shared" ref="M263:M306" si="9">IF(C263="","",IF(OR(E263="",I263=""),"Incomplet",IF(F263="Nature inconnue","Nature inconnue",IF(AND(ISNUMBER(D263),D263&lt;N(KmOuverture)),"Km &lt; ouverture",IF(AND(D263="",OR(F263="Entretien",F263="Réparations",F263="Pneumatiques")),"Km manquant","Conforme")))))</f>
        <v/>
      </c>
    </row>
    <row r="264" spans="2:13" ht="18" customHeight="1" x14ac:dyDescent="0.25">
      <c r="B264" s="47" t="str">
        <f>IF(C264="","",COUNT($C$7:C264))</f>
        <v/>
      </c>
      <c r="C264" s="48"/>
      <c r="D264" s="50"/>
      <c r="E264" s="49"/>
      <c r="F264" s="63" t="str">
        <f t="shared" si="8"/>
        <v/>
      </c>
      <c r="G264" s="49"/>
      <c r="H264" s="49"/>
      <c r="I264" s="56"/>
      <c r="J264" s="49"/>
      <c r="K264" s="58"/>
      <c r="L264" s="49"/>
      <c r="M264" s="53" t="str">
        <f t="shared" si="9"/>
        <v/>
      </c>
    </row>
    <row r="265" spans="2:13" ht="18" customHeight="1" x14ac:dyDescent="0.25">
      <c r="B265" s="47" t="str">
        <f>IF(C265="","",COUNT($C$7:C265))</f>
        <v/>
      </c>
      <c r="C265" s="48"/>
      <c r="D265" s="50"/>
      <c r="E265" s="49"/>
      <c r="F265" s="63" t="str">
        <f t="shared" si="8"/>
        <v/>
      </c>
      <c r="G265" s="49"/>
      <c r="H265" s="49"/>
      <c r="I265" s="56"/>
      <c r="J265" s="49"/>
      <c r="K265" s="58"/>
      <c r="L265" s="49"/>
      <c r="M265" s="53" t="str">
        <f t="shared" si="9"/>
        <v/>
      </c>
    </row>
    <row r="266" spans="2:13" ht="18" customHeight="1" x14ac:dyDescent="0.25">
      <c r="B266" s="47" t="str">
        <f>IF(C266="","",COUNT($C$7:C266))</f>
        <v/>
      </c>
      <c r="C266" s="48"/>
      <c r="D266" s="50"/>
      <c r="E266" s="49"/>
      <c r="F266" s="63" t="str">
        <f t="shared" si="8"/>
        <v/>
      </c>
      <c r="G266" s="49"/>
      <c r="H266" s="49"/>
      <c r="I266" s="56"/>
      <c r="J266" s="49"/>
      <c r="K266" s="58"/>
      <c r="L266" s="49"/>
      <c r="M266" s="53" t="str">
        <f t="shared" si="9"/>
        <v/>
      </c>
    </row>
    <row r="267" spans="2:13" ht="18" customHeight="1" x14ac:dyDescent="0.25">
      <c r="B267" s="47" t="str">
        <f>IF(C267="","",COUNT($C$7:C267))</f>
        <v/>
      </c>
      <c r="C267" s="48"/>
      <c r="D267" s="50"/>
      <c r="E267" s="49"/>
      <c r="F267" s="63" t="str">
        <f t="shared" si="8"/>
        <v/>
      </c>
      <c r="G267" s="49"/>
      <c r="H267" s="49"/>
      <c r="I267" s="56"/>
      <c r="J267" s="49"/>
      <c r="K267" s="58"/>
      <c r="L267" s="49"/>
      <c r="M267" s="53" t="str">
        <f t="shared" si="9"/>
        <v/>
      </c>
    </row>
    <row r="268" spans="2:13" ht="18" customHeight="1" x14ac:dyDescent="0.25">
      <c r="B268" s="47" t="str">
        <f>IF(C268="","",COUNT($C$7:C268))</f>
        <v/>
      </c>
      <c r="C268" s="48"/>
      <c r="D268" s="50"/>
      <c r="E268" s="49"/>
      <c r="F268" s="63" t="str">
        <f t="shared" si="8"/>
        <v/>
      </c>
      <c r="G268" s="49"/>
      <c r="H268" s="49"/>
      <c r="I268" s="56"/>
      <c r="J268" s="49"/>
      <c r="K268" s="58"/>
      <c r="L268" s="49"/>
      <c r="M268" s="53" t="str">
        <f t="shared" si="9"/>
        <v/>
      </c>
    </row>
    <row r="269" spans="2:13" ht="18" customHeight="1" x14ac:dyDescent="0.25">
      <c r="B269" s="47" t="str">
        <f>IF(C269="","",COUNT($C$7:C269))</f>
        <v/>
      </c>
      <c r="C269" s="48"/>
      <c r="D269" s="50"/>
      <c r="E269" s="49"/>
      <c r="F269" s="63" t="str">
        <f t="shared" si="8"/>
        <v/>
      </c>
      <c r="G269" s="49"/>
      <c r="H269" s="49"/>
      <c r="I269" s="56"/>
      <c r="J269" s="49"/>
      <c r="K269" s="58"/>
      <c r="L269" s="49"/>
      <c r="M269" s="53" t="str">
        <f t="shared" si="9"/>
        <v/>
      </c>
    </row>
    <row r="270" spans="2:13" ht="18" customHeight="1" x14ac:dyDescent="0.25">
      <c r="B270" s="47" t="str">
        <f>IF(C270="","",COUNT($C$7:C270))</f>
        <v/>
      </c>
      <c r="C270" s="48"/>
      <c r="D270" s="50"/>
      <c r="E270" s="49"/>
      <c r="F270" s="63" t="str">
        <f t="shared" si="8"/>
        <v/>
      </c>
      <c r="G270" s="49"/>
      <c r="H270" s="49"/>
      <c r="I270" s="56"/>
      <c r="J270" s="49"/>
      <c r="K270" s="58"/>
      <c r="L270" s="49"/>
      <c r="M270" s="53" t="str">
        <f t="shared" si="9"/>
        <v/>
      </c>
    </row>
    <row r="271" spans="2:13" ht="18" customHeight="1" x14ac:dyDescent="0.25">
      <c r="B271" s="47" t="str">
        <f>IF(C271="","",COUNT($C$7:C271))</f>
        <v/>
      </c>
      <c r="C271" s="48"/>
      <c r="D271" s="50"/>
      <c r="E271" s="49"/>
      <c r="F271" s="63" t="str">
        <f t="shared" si="8"/>
        <v/>
      </c>
      <c r="G271" s="49"/>
      <c r="H271" s="49"/>
      <c r="I271" s="56"/>
      <c r="J271" s="49"/>
      <c r="K271" s="58"/>
      <c r="L271" s="49"/>
      <c r="M271" s="53" t="str">
        <f t="shared" si="9"/>
        <v/>
      </c>
    </row>
    <row r="272" spans="2:13" ht="18" customHeight="1" x14ac:dyDescent="0.25">
      <c r="B272" s="47" t="str">
        <f>IF(C272="","",COUNT($C$7:C272))</f>
        <v/>
      </c>
      <c r="C272" s="48"/>
      <c r="D272" s="50"/>
      <c r="E272" s="49"/>
      <c r="F272" s="63" t="str">
        <f t="shared" si="8"/>
        <v/>
      </c>
      <c r="G272" s="49"/>
      <c r="H272" s="49"/>
      <c r="I272" s="56"/>
      <c r="J272" s="49"/>
      <c r="K272" s="58"/>
      <c r="L272" s="49"/>
      <c r="M272" s="53" t="str">
        <f t="shared" si="9"/>
        <v/>
      </c>
    </row>
    <row r="273" spans="2:13" ht="18" customHeight="1" x14ac:dyDescent="0.25">
      <c r="B273" s="47" t="str">
        <f>IF(C273="","",COUNT($C$7:C273))</f>
        <v/>
      </c>
      <c r="C273" s="48"/>
      <c r="D273" s="50"/>
      <c r="E273" s="49"/>
      <c r="F273" s="63" t="str">
        <f t="shared" si="8"/>
        <v/>
      </c>
      <c r="G273" s="49"/>
      <c r="H273" s="49"/>
      <c r="I273" s="56"/>
      <c r="J273" s="49"/>
      <c r="K273" s="58"/>
      <c r="L273" s="49"/>
      <c r="M273" s="53" t="str">
        <f t="shared" si="9"/>
        <v/>
      </c>
    </row>
    <row r="274" spans="2:13" ht="18" customHeight="1" x14ac:dyDescent="0.25">
      <c r="B274" s="47" t="str">
        <f>IF(C274="","",COUNT($C$7:C274))</f>
        <v/>
      </c>
      <c r="C274" s="48"/>
      <c r="D274" s="50"/>
      <c r="E274" s="49"/>
      <c r="F274" s="63" t="str">
        <f t="shared" si="8"/>
        <v/>
      </c>
      <c r="G274" s="49"/>
      <c r="H274" s="49"/>
      <c r="I274" s="56"/>
      <c r="J274" s="49"/>
      <c r="K274" s="58"/>
      <c r="L274" s="49"/>
      <c r="M274" s="53" t="str">
        <f t="shared" si="9"/>
        <v/>
      </c>
    </row>
    <row r="275" spans="2:13" ht="18" customHeight="1" x14ac:dyDescent="0.25">
      <c r="B275" s="47" t="str">
        <f>IF(C275="","",COUNT($C$7:C275))</f>
        <v/>
      </c>
      <c r="C275" s="48"/>
      <c r="D275" s="50"/>
      <c r="E275" s="49"/>
      <c r="F275" s="63" t="str">
        <f t="shared" si="8"/>
        <v/>
      </c>
      <c r="G275" s="49"/>
      <c r="H275" s="49"/>
      <c r="I275" s="56"/>
      <c r="J275" s="49"/>
      <c r="K275" s="58"/>
      <c r="L275" s="49"/>
      <c r="M275" s="53" t="str">
        <f t="shared" si="9"/>
        <v/>
      </c>
    </row>
    <row r="276" spans="2:13" ht="18" customHeight="1" x14ac:dyDescent="0.25">
      <c r="B276" s="47" t="str">
        <f>IF(C276="","",COUNT($C$7:C276))</f>
        <v/>
      </c>
      <c r="C276" s="48"/>
      <c r="D276" s="50"/>
      <c r="E276" s="49"/>
      <c r="F276" s="63" t="str">
        <f t="shared" si="8"/>
        <v/>
      </c>
      <c r="G276" s="49"/>
      <c r="H276" s="49"/>
      <c r="I276" s="56"/>
      <c r="J276" s="49"/>
      <c r="K276" s="58"/>
      <c r="L276" s="49"/>
      <c r="M276" s="53" t="str">
        <f t="shared" si="9"/>
        <v/>
      </c>
    </row>
    <row r="277" spans="2:13" ht="18" customHeight="1" x14ac:dyDescent="0.25">
      <c r="B277" s="47" t="str">
        <f>IF(C277="","",COUNT($C$7:C277))</f>
        <v/>
      </c>
      <c r="C277" s="48"/>
      <c r="D277" s="50"/>
      <c r="E277" s="49"/>
      <c r="F277" s="63" t="str">
        <f t="shared" si="8"/>
        <v/>
      </c>
      <c r="G277" s="49"/>
      <c r="H277" s="49"/>
      <c r="I277" s="56"/>
      <c r="J277" s="49"/>
      <c r="K277" s="58"/>
      <c r="L277" s="49"/>
      <c r="M277" s="53" t="str">
        <f t="shared" si="9"/>
        <v/>
      </c>
    </row>
    <row r="278" spans="2:13" ht="18" customHeight="1" x14ac:dyDescent="0.25">
      <c r="B278" s="47" t="str">
        <f>IF(C278="","",COUNT($C$7:C278))</f>
        <v/>
      </c>
      <c r="C278" s="48"/>
      <c r="D278" s="50"/>
      <c r="E278" s="49"/>
      <c r="F278" s="63" t="str">
        <f t="shared" si="8"/>
        <v/>
      </c>
      <c r="G278" s="49"/>
      <c r="H278" s="49"/>
      <c r="I278" s="56"/>
      <c r="J278" s="49"/>
      <c r="K278" s="58"/>
      <c r="L278" s="49"/>
      <c r="M278" s="53" t="str">
        <f t="shared" si="9"/>
        <v/>
      </c>
    </row>
    <row r="279" spans="2:13" ht="18" customHeight="1" x14ac:dyDescent="0.25">
      <c r="B279" s="47" t="str">
        <f>IF(C279="","",COUNT($C$7:C279))</f>
        <v/>
      </c>
      <c r="C279" s="48"/>
      <c r="D279" s="50"/>
      <c r="E279" s="49"/>
      <c r="F279" s="63" t="str">
        <f t="shared" si="8"/>
        <v/>
      </c>
      <c r="G279" s="49"/>
      <c r="H279" s="49"/>
      <c r="I279" s="56"/>
      <c r="J279" s="49"/>
      <c r="K279" s="58"/>
      <c r="L279" s="49"/>
      <c r="M279" s="53" t="str">
        <f t="shared" si="9"/>
        <v/>
      </c>
    </row>
    <row r="280" spans="2:13" ht="18" customHeight="1" x14ac:dyDescent="0.25">
      <c r="B280" s="47" t="str">
        <f>IF(C280="","",COUNT($C$7:C280))</f>
        <v/>
      </c>
      <c r="C280" s="48"/>
      <c r="D280" s="50"/>
      <c r="E280" s="49"/>
      <c r="F280" s="63" t="str">
        <f t="shared" si="8"/>
        <v/>
      </c>
      <c r="G280" s="49"/>
      <c r="H280" s="49"/>
      <c r="I280" s="56"/>
      <c r="J280" s="49"/>
      <c r="K280" s="58"/>
      <c r="L280" s="49"/>
      <c r="M280" s="53" t="str">
        <f t="shared" si="9"/>
        <v/>
      </c>
    </row>
    <row r="281" spans="2:13" ht="18" customHeight="1" x14ac:dyDescent="0.25">
      <c r="B281" s="47" t="str">
        <f>IF(C281="","",COUNT($C$7:C281))</f>
        <v/>
      </c>
      <c r="C281" s="48"/>
      <c r="D281" s="50"/>
      <c r="E281" s="49"/>
      <c r="F281" s="63" t="str">
        <f t="shared" si="8"/>
        <v/>
      </c>
      <c r="G281" s="49"/>
      <c r="H281" s="49"/>
      <c r="I281" s="56"/>
      <c r="J281" s="49"/>
      <c r="K281" s="58"/>
      <c r="L281" s="49"/>
      <c r="M281" s="53" t="str">
        <f t="shared" si="9"/>
        <v/>
      </c>
    </row>
    <row r="282" spans="2:13" ht="18" customHeight="1" x14ac:dyDescent="0.25">
      <c r="B282" s="47" t="str">
        <f>IF(C282="","",COUNT($C$7:C282))</f>
        <v/>
      </c>
      <c r="C282" s="48"/>
      <c r="D282" s="50"/>
      <c r="E282" s="49"/>
      <c r="F282" s="63" t="str">
        <f t="shared" si="8"/>
        <v/>
      </c>
      <c r="G282" s="49"/>
      <c r="H282" s="49"/>
      <c r="I282" s="56"/>
      <c r="J282" s="49"/>
      <c r="K282" s="58"/>
      <c r="L282" s="49"/>
      <c r="M282" s="53" t="str">
        <f t="shared" si="9"/>
        <v/>
      </c>
    </row>
    <row r="283" spans="2:13" ht="18" customHeight="1" x14ac:dyDescent="0.25">
      <c r="B283" s="47" t="str">
        <f>IF(C283="","",COUNT($C$7:C283))</f>
        <v/>
      </c>
      <c r="C283" s="48"/>
      <c r="D283" s="50"/>
      <c r="E283" s="49"/>
      <c r="F283" s="63" t="str">
        <f t="shared" si="8"/>
        <v/>
      </c>
      <c r="G283" s="49"/>
      <c r="H283" s="49"/>
      <c r="I283" s="56"/>
      <c r="J283" s="49"/>
      <c r="K283" s="58"/>
      <c r="L283" s="49"/>
      <c r="M283" s="53" t="str">
        <f t="shared" si="9"/>
        <v/>
      </c>
    </row>
    <row r="284" spans="2:13" ht="18" customHeight="1" x14ac:dyDescent="0.25">
      <c r="B284" s="47" t="str">
        <f>IF(C284="","",COUNT($C$7:C284))</f>
        <v/>
      </c>
      <c r="C284" s="48"/>
      <c r="D284" s="50"/>
      <c r="E284" s="49"/>
      <c r="F284" s="63" t="str">
        <f t="shared" si="8"/>
        <v/>
      </c>
      <c r="G284" s="49"/>
      <c r="H284" s="49"/>
      <c r="I284" s="56"/>
      <c r="J284" s="49"/>
      <c r="K284" s="58"/>
      <c r="L284" s="49"/>
      <c r="M284" s="53" t="str">
        <f t="shared" si="9"/>
        <v/>
      </c>
    </row>
    <row r="285" spans="2:13" ht="18" customHeight="1" x14ac:dyDescent="0.25">
      <c r="B285" s="47" t="str">
        <f>IF(C285="","",COUNT($C$7:C285))</f>
        <v/>
      </c>
      <c r="C285" s="48"/>
      <c r="D285" s="50"/>
      <c r="E285" s="49"/>
      <c r="F285" s="63" t="str">
        <f t="shared" si="8"/>
        <v/>
      </c>
      <c r="G285" s="49"/>
      <c r="H285" s="49"/>
      <c r="I285" s="56"/>
      <c r="J285" s="49"/>
      <c r="K285" s="58"/>
      <c r="L285" s="49"/>
      <c r="M285" s="53" t="str">
        <f t="shared" si="9"/>
        <v/>
      </c>
    </row>
    <row r="286" spans="2:13" ht="18" customHeight="1" x14ac:dyDescent="0.25">
      <c r="B286" s="47" t="str">
        <f>IF(C286="","",COUNT($C$7:C286))</f>
        <v/>
      </c>
      <c r="C286" s="48"/>
      <c r="D286" s="50"/>
      <c r="E286" s="49"/>
      <c r="F286" s="63" t="str">
        <f t="shared" si="8"/>
        <v/>
      </c>
      <c r="G286" s="49"/>
      <c r="H286" s="49"/>
      <c r="I286" s="56"/>
      <c r="J286" s="49"/>
      <c r="K286" s="58"/>
      <c r="L286" s="49"/>
      <c r="M286" s="53" t="str">
        <f t="shared" si="9"/>
        <v/>
      </c>
    </row>
    <row r="287" spans="2:13" ht="18" customHeight="1" x14ac:dyDescent="0.25">
      <c r="B287" s="47" t="str">
        <f>IF(C287="","",COUNT($C$7:C287))</f>
        <v/>
      </c>
      <c r="C287" s="48"/>
      <c r="D287" s="50"/>
      <c r="E287" s="49"/>
      <c r="F287" s="63" t="str">
        <f t="shared" si="8"/>
        <v/>
      </c>
      <c r="G287" s="49"/>
      <c r="H287" s="49"/>
      <c r="I287" s="56"/>
      <c r="J287" s="49"/>
      <c r="K287" s="58"/>
      <c r="L287" s="49"/>
      <c r="M287" s="53" t="str">
        <f t="shared" si="9"/>
        <v/>
      </c>
    </row>
    <row r="288" spans="2:13" ht="18" customHeight="1" x14ac:dyDescent="0.25">
      <c r="B288" s="47" t="str">
        <f>IF(C288="","",COUNT($C$7:C288))</f>
        <v/>
      </c>
      <c r="C288" s="48"/>
      <c r="D288" s="50"/>
      <c r="E288" s="49"/>
      <c r="F288" s="63" t="str">
        <f t="shared" si="8"/>
        <v/>
      </c>
      <c r="G288" s="49"/>
      <c r="H288" s="49"/>
      <c r="I288" s="56"/>
      <c r="J288" s="49"/>
      <c r="K288" s="58"/>
      <c r="L288" s="49"/>
      <c r="M288" s="53" t="str">
        <f t="shared" si="9"/>
        <v/>
      </c>
    </row>
    <row r="289" spans="2:13" ht="18" customHeight="1" x14ac:dyDescent="0.25">
      <c r="B289" s="47" t="str">
        <f>IF(C289="","",COUNT($C$7:C289))</f>
        <v/>
      </c>
      <c r="C289" s="48"/>
      <c r="D289" s="50"/>
      <c r="E289" s="49"/>
      <c r="F289" s="63" t="str">
        <f t="shared" si="8"/>
        <v/>
      </c>
      <c r="G289" s="49"/>
      <c r="H289" s="49"/>
      <c r="I289" s="56"/>
      <c r="J289" s="49"/>
      <c r="K289" s="58"/>
      <c r="L289" s="49"/>
      <c r="M289" s="53" t="str">
        <f t="shared" si="9"/>
        <v/>
      </c>
    </row>
    <row r="290" spans="2:13" ht="18" customHeight="1" x14ac:dyDescent="0.25">
      <c r="B290" s="47" t="str">
        <f>IF(C290="","",COUNT($C$7:C290))</f>
        <v/>
      </c>
      <c r="C290" s="48"/>
      <c r="D290" s="50"/>
      <c r="E290" s="49"/>
      <c r="F290" s="63" t="str">
        <f t="shared" si="8"/>
        <v/>
      </c>
      <c r="G290" s="49"/>
      <c r="H290" s="49"/>
      <c r="I290" s="56"/>
      <c r="J290" s="49"/>
      <c r="K290" s="58"/>
      <c r="L290" s="49"/>
      <c r="M290" s="53" t="str">
        <f t="shared" si="9"/>
        <v/>
      </c>
    </row>
    <row r="291" spans="2:13" ht="18" customHeight="1" x14ac:dyDescent="0.25">
      <c r="B291" s="47" t="str">
        <f>IF(C291="","",COUNT($C$7:C291))</f>
        <v/>
      </c>
      <c r="C291" s="48"/>
      <c r="D291" s="50"/>
      <c r="E291" s="49"/>
      <c r="F291" s="63" t="str">
        <f t="shared" si="8"/>
        <v/>
      </c>
      <c r="G291" s="49"/>
      <c r="H291" s="49"/>
      <c r="I291" s="56"/>
      <c r="J291" s="49"/>
      <c r="K291" s="58"/>
      <c r="L291" s="49"/>
      <c r="M291" s="53" t="str">
        <f t="shared" si="9"/>
        <v/>
      </c>
    </row>
    <row r="292" spans="2:13" ht="18" customHeight="1" x14ac:dyDescent="0.25">
      <c r="B292" s="47" t="str">
        <f>IF(C292="","",COUNT($C$7:C292))</f>
        <v/>
      </c>
      <c r="C292" s="48"/>
      <c r="D292" s="50"/>
      <c r="E292" s="49"/>
      <c r="F292" s="63" t="str">
        <f t="shared" si="8"/>
        <v/>
      </c>
      <c r="G292" s="49"/>
      <c r="H292" s="49"/>
      <c r="I292" s="56"/>
      <c r="J292" s="49"/>
      <c r="K292" s="58"/>
      <c r="L292" s="49"/>
      <c r="M292" s="53" t="str">
        <f t="shared" si="9"/>
        <v/>
      </c>
    </row>
    <row r="293" spans="2:13" ht="18" customHeight="1" x14ac:dyDescent="0.25">
      <c r="B293" s="47" t="str">
        <f>IF(C293="","",COUNT($C$7:C293))</f>
        <v/>
      </c>
      <c r="C293" s="48"/>
      <c r="D293" s="50"/>
      <c r="E293" s="49"/>
      <c r="F293" s="63" t="str">
        <f t="shared" si="8"/>
        <v/>
      </c>
      <c r="G293" s="49"/>
      <c r="H293" s="49"/>
      <c r="I293" s="56"/>
      <c r="J293" s="49"/>
      <c r="K293" s="58"/>
      <c r="L293" s="49"/>
      <c r="M293" s="53" t="str">
        <f t="shared" si="9"/>
        <v/>
      </c>
    </row>
    <row r="294" spans="2:13" ht="18" customHeight="1" x14ac:dyDescent="0.25">
      <c r="B294" s="47" t="str">
        <f>IF(C294="","",COUNT($C$7:C294))</f>
        <v/>
      </c>
      <c r="C294" s="48"/>
      <c r="D294" s="50"/>
      <c r="E294" s="49"/>
      <c r="F294" s="63" t="str">
        <f t="shared" si="8"/>
        <v/>
      </c>
      <c r="G294" s="49"/>
      <c r="H294" s="49"/>
      <c r="I294" s="56"/>
      <c r="J294" s="49"/>
      <c r="K294" s="58"/>
      <c r="L294" s="49"/>
      <c r="M294" s="53" t="str">
        <f t="shared" si="9"/>
        <v/>
      </c>
    </row>
    <row r="295" spans="2:13" ht="18" customHeight="1" x14ac:dyDescent="0.25">
      <c r="B295" s="47" t="str">
        <f>IF(C295="","",COUNT($C$7:C295))</f>
        <v/>
      </c>
      <c r="C295" s="48"/>
      <c r="D295" s="50"/>
      <c r="E295" s="49"/>
      <c r="F295" s="63" t="str">
        <f t="shared" si="8"/>
        <v/>
      </c>
      <c r="G295" s="49"/>
      <c r="H295" s="49"/>
      <c r="I295" s="56"/>
      <c r="J295" s="49"/>
      <c r="K295" s="58"/>
      <c r="L295" s="49"/>
      <c r="M295" s="53" t="str">
        <f t="shared" si="9"/>
        <v/>
      </c>
    </row>
    <row r="296" spans="2:13" ht="18" customHeight="1" x14ac:dyDescent="0.25">
      <c r="B296" s="47" t="str">
        <f>IF(C296="","",COUNT($C$7:C296))</f>
        <v/>
      </c>
      <c r="C296" s="48"/>
      <c r="D296" s="50"/>
      <c r="E296" s="49"/>
      <c r="F296" s="63" t="str">
        <f t="shared" si="8"/>
        <v/>
      </c>
      <c r="G296" s="49"/>
      <c r="H296" s="49"/>
      <c r="I296" s="56"/>
      <c r="J296" s="49"/>
      <c r="K296" s="58"/>
      <c r="L296" s="49"/>
      <c r="M296" s="53" t="str">
        <f t="shared" si="9"/>
        <v/>
      </c>
    </row>
    <row r="297" spans="2:13" ht="18" customHeight="1" x14ac:dyDescent="0.25">
      <c r="B297" s="47" t="str">
        <f>IF(C297="","",COUNT($C$7:C297))</f>
        <v/>
      </c>
      <c r="C297" s="48"/>
      <c r="D297" s="50"/>
      <c r="E297" s="49"/>
      <c r="F297" s="63" t="str">
        <f t="shared" si="8"/>
        <v/>
      </c>
      <c r="G297" s="49"/>
      <c r="H297" s="49"/>
      <c r="I297" s="56"/>
      <c r="J297" s="49"/>
      <c r="K297" s="58"/>
      <c r="L297" s="49"/>
      <c r="M297" s="53" t="str">
        <f t="shared" si="9"/>
        <v/>
      </c>
    </row>
    <row r="298" spans="2:13" ht="18" customHeight="1" x14ac:dyDescent="0.25">
      <c r="B298" s="47" t="str">
        <f>IF(C298="","",COUNT($C$7:C298))</f>
        <v/>
      </c>
      <c r="C298" s="48"/>
      <c r="D298" s="50"/>
      <c r="E298" s="49"/>
      <c r="F298" s="63" t="str">
        <f t="shared" si="8"/>
        <v/>
      </c>
      <c r="G298" s="49"/>
      <c r="H298" s="49"/>
      <c r="I298" s="56"/>
      <c r="J298" s="49"/>
      <c r="K298" s="58"/>
      <c r="L298" s="49"/>
      <c r="M298" s="53" t="str">
        <f t="shared" si="9"/>
        <v/>
      </c>
    </row>
    <row r="299" spans="2:13" ht="18" customHeight="1" x14ac:dyDescent="0.25">
      <c r="B299" s="47" t="str">
        <f>IF(C299="","",COUNT($C$7:C299))</f>
        <v/>
      </c>
      <c r="C299" s="48"/>
      <c r="D299" s="50"/>
      <c r="E299" s="49"/>
      <c r="F299" s="63" t="str">
        <f t="shared" si="8"/>
        <v/>
      </c>
      <c r="G299" s="49"/>
      <c r="H299" s="49"/>
      <c r="I299" s="56"/>
      <c r="J299" s="49"/>
      <c r="K299" s="58"/>
      <c r="L299" s="49"/>
      <c r="M299" s="53" t="str">
        <f t="shared" si="9"/>
        <v/>
      </c>
    </row>
    <row r="300" spans="2:13" ht="18" customHeight="1" x14ac:dyDescent="0.25">
      <c r="B300" s="47" t="str">
        <f>IF(C300="","",COUNT($C$7:C300))</f>
        <v/>
      </c>
      <c r="C300" s="48"/>
      <c r="D300" s="50"/>
      <c r="E300" s="49"/>
      <c r="F300" s="63" t="str">
        <f t="shared" si="8"/>
        <v/>
      </c>
      <c r="G300" s="49"/>
      <c r="H300" s="49"/>
      <c r="I300" s="56"/>
      <c r="J300" s="49"/>
      <c r="K300" s="58"/>
      <c r="L300" s="49"/>
      <c r="M300" s="53" t="str">
        <f t="shared" si="9"/>
        <v/>
      </c>
    </row>
    <row r="301" spans="2:13" ht="18" customHeight="1" x14ac:dyDescent="0.25">
      <c r="B301" s="47" t="str">
        <f>IF(C301="","",COUNT($C$7:C301))</f>
        <v/>
      </c>
      <c r="C301" s="48"/>
      <c r="D301" s="50"/>
      <c r="E301" s="49"/>
      <c r="F301" s="63" t="str">
        <f t="shared" si="8"/>
        <v/>
      </c>
      <c r="G301" s="49"/>
      <c r="H301" s="49"/>
      <c r="I301" s="56"/>
      <c r="J301" s="49"/>
      <c r="K301" s="58"/>
      <c r="L301" s="49"/>
      <c r="M301" s="53" t="str">
        <f t="shared" si="9"/>
        <v/>
      </c>
    </row>
    <row r="302" spans="2:13" ht="18" customHeight="1" x14ac:dyDescent="0.25">
      <c r="B302" s="47" t="str">
        <f>IF(C302="","",COUNT($C$7:C302))</f>
        <v/>
      </c>
      <c r="C302" s="48"/>
      <c r="D302" s="50"/>
      <c r="E302" s="49"/>
      <c r="F302" s="63" t="str">
        <f t="shared" si="8"/>
        <v/>
      </c>
      <c r="G302" s="49"/>
      <c r="H302" s="49"/>
      <c r="I302" s="56"/>
      <c r="J302" s="49"/>
      <c r="K302" s="58"/>
      <c r="L302" s="49"/>
      <c r="M302" s="53" t="str">
        <f t="shared" si="9"/>
        <v/>
      </c>
    </row>
    <row r="303" spans="2:13" ht="18" customHeight="1" x14ac:dyDescent="0.25">
      <c r="B303" s="47" t="str">
        <f>IF(C303="","",COUNT($C$7:C303))</f>
        <v/>
      </c>
      <c r="C303" s="48"/>
      <c r="D303" s="50"/>
      <c r="E303" s="49"/>
      <c r="F303" s="63" t="str">
        <f t="shared" si="8"/>
        <v/>
      </c>
      <c r="G303" s="49"/>
      <c r="H303" s="49"/>
      <c r="I303" s="56"/>
      <c r="J303" s="49"/>
      <c r="K303" s="58"/>
      <c r="L303" s="49"/>
      <c r="M303" s="53" t="str">
        <f t="shared" si="9"/>
        <v/>
      </c>
    </row>
    <row r="304" spans="2:13" ht="18" customHeight="1" x14ac:dyDescent="0.25">
      <c r="B304" s="47" t="str">
        <f>IF(C304="","",COUNT($C$7:C304))</f>
        <v/>
      </c>
      <c r="C304" s="48"/>
      <c r="D304" s="50"/>
      <c r="E304" s="49"/>
      <c r="F304" s="63" t="str">
        <f t="shared" si="8"/>
        <v/>
      </c>
      <c r="G304" s="49"/>
      <c r="H304" s="49"/>
      <c r="I304" s="56"/>
      <c r="J304" s="49"/>
      <c r="K304" s="58"/>
      <c r="L304" s="49"/>
      <c r="M304" s="53" t="str">
        <f t="shared" si="9"/>
        <v/>
      </c>
    </row>
    <row r="305" spans="2:13" ht="18" customHeight="1" x14ac:dyDescent="0.25">
      <c r="B305" s="47" t="str">
        <f>IF(C305="","",COUNT($C$7:C305))</f>
        <v/>
      </c>
      <c r="C305" s="48"/>
      <c r="D305" s="50"/>
      <c r="E305" s="49"/>
      <c r="F305" s="63" t="str">
        <f t="shared" si="8"/>
        <v/>
      </c>
      <c r="G305" s="49"/>
      <c r="H305" s="49"/>
      <c r="I305" s="56"/>
      <c r="J305" s="49"/>
      <c r="K305" s="58"/>
      <c r="L305" s="49"/>
      <c r="M305" s="53" t="str">
        <f t="shared" si="9"/>
        <v/>
      </c>
    </row>
    <row r="306" spans="2:13" ht="18" customHeight="1" x14ac:dyDescent="0.25">
      <c r="B306" s="47" t="str">
        <f>IF(C306="","",COUNT($C$7:C306))</f>
        <v/>
      </c>
      <c r="C306" s="48"/>
      <c r="D306" s="50"/>
      <c r="E306" s="49"/>
      <c r="F306" s="63" t="str">
        <f t="shared" si="8"/>
        <v/>
      </c>
      <c r="G306" s="49"/>
      <c r="H306" s="49"/>
      <c r="I306" s="56"/>
      <c r="J306" s="49"/>
      <c r="K306" s="58"/>
      <c r="L306" s="49"/>
      <c r="M306" s="53" t="str">
        <f t="shared" si="9"/>
        <v/>
      </c>
    </row>
  </sheetData>
  <autoFilter ref="B6:M306" xr:uid="{00000000-0009-0000-0000-000003000000}"/>
  <mergeCells count="1">
    <mergeCell ref="J4:K4"/>
  </mergeCells>
  <conditionalFormatting sqref="K7:K306">
    <cfRule type="expression" dxfId="8" priority="4">
      <formula>$K7="Oui"</formula>
    </cfRule>
  </conditionalFormatting>
  <conditionalFormatting sqref="M7:M306">
    <cfRule type="expression" dxfId="7" priority="1" stopIfTrue="1">
      <formula>$M7="Nature inconnue"</formula>
    </cfRule>
    <cfRule type="expression" dxfId="6" priority="2" stopIfTrue="1">
      <formula>OR($M7="Incomplet",$M7="Km manquant",$M7="Km &lt; ouverture")</formula>
    </cfRule>
    <cfRule type="expression" dxfId="5" priority="3" stopIfTrue="1">
      <formula>$M7="Conforme"</formula>
    </cfRule>
  </conditionalFormatting>
  <dataValidations count="6">
    <dataValidation type="date" allowBlank="1" showErrorMessage="1" errorTitle="Date non valide" error="Saisissez une date au format jj/mm/aaaa." sqref="C7:C306" xr:uid="{00000000-0002-0000-0300-000000000000}">
      <formula1>36526</formula1>
      <formula2>73051</formula2>
    </dataValidation>
    <dataValidation type="whole" allowBlank="1" showErrorMessage="1" errorTitle="Valeur non valide" error="Relevé du compteur (indispensable pour l'entretien)." sqref="D7:D306" xr:uid="{00000000-0002-0000-0300-000001000000}">
      <formula1>0</formula1>
      <formula2>2000000</formula2>
    </dataValidation>
    <dataValidation type="list" allowBlank="1" showInputMessage="1" showErrorMessage="1" errorTitle="Valeur non prévue" error="Choisissez une valeur dans la liste déroulante." promptTitle="Nature de la dépense" prompt="Liste modifiable dans l'onglet Véhicule (natures de dépense)." sqref="E7:E306" xr:uid="{00000000-0002-0000-0300-000002000000}">
      <formula1>ListeNaturesDepense</formula1>
    </dataValidation>
    <dataValidation type="decimal" allowBlank="1" showErrorMessage="1" errorTitle="Valeur non valide" error="Saisissez un nombre positif." sqref="I7:I306" xr:uid="{00000000-0002-0000-0300-000003000000}">
      <formula1>0</formula1>
      <formula2>1000000</formula2>
    </dataValidation>
    <dataValidation type="list" allowBlank="1" showErrorMessage="1" errorTitle="Valeur non prévue" error="Choisissez une valeur dans la liste déroulante." sqref="J7:J306" xr:uid="{00000000-0002-0000-0300-000004000000}">
      <formula1>ListeReglements</formula1>
    </dataValidation>
    <dataValidation type="list" allowBlank="1" showInputMessage="1" showErrorMessage="1" errorTitle="Valeur non prévue" error="Choisissez une valeur dans la liste déroulante." promptTitle="Frais professionnels" prompt="Oui pour une dépense professionnelle avancée à se faire rembourser (péage, stationnement…)." sqref="K7:K306" xr:uid="{00000000-0002-0000-0300-000005000000}">
      <formula1>"Oui,Non"</formula1>
    </dataValidation>
  </dataValidations>
  <printOptions horizontalCentered="1"/>
  <pageMargins left="0.35" right="0.35" top="0.45" bottom="0.55000000000000004" header="0.5" footer="0.5"/>
  <pageSetup paperSize="9" fitToHeight="0" orientation="landscape"/>
  <headerFooter>
    <oddFooter>&amp;L&amp;8 &amp;K7A828CCarnet de bord du véhicule – &amp;A&amp;R&amp;8 &amp;K7A828CPage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D232B"/>
    <pageSetUpPr fitToPage="1"/>
  </sheetPr>
  <dimension ref="A1:Q20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9.140625" defaultRowHeight="15" outlineLevelCol="1" x14ac:dyDescent="0.25"/>
  <cols>
    <col min="1" max="1" width="3" customWidth="1"/>
    <col min="2" max="2" width="32" customWidth="1"/>
    <col min="3" max="4" width="12" customWidth="1"/>
    <col min="5" max="10" width="13" customWidth="1"/>
    <col min="11" max="11" width="11" customWidth="1"/>
    <col min="12" max="12" width="12" customWidth="1"/>
    <col min="13" max="13" width="14" customWidth="1"/>
    <col min="14" max="14" width="36" customWidth="1"/>
    <col min="15" max="15" width="3" customWidth="1"/>
    <col min="16" max="17" width="11" hidden="1" customWidth="1" outlineLevel="1"/>
  </cols>
  <sheetData>
    <row r="1" spans="1:17" ht="30" customHeight="1" x14ac:dyDescent="0.35">
      <c r="A1" s="1"/>
      <c r="B1" s="39" t="s">
        <v>299</v>
      </c>
      <c r="N1" s="40" t="str">
        <f>IF(Immatriculation="","",Immatriculation&amp;"   ·   "&amp;TRIM(Marque&amp;" "&amp;Modele))</f>
        <v>GH-482-TK   ·   Voltéra Compacte 1.6 hybride</v>
      </c>
    </row>
    <row r="2" spans="1:17" ht="18" customHeight="1" x14ac:dyDescent="0.25">
      <c r="A2" s="1"/>
      <c r="B2" s="41" t="s">
        <v>300</v>
      </c>
      <c r="N2" s="42" t="str">
        <f>"Kilométrage au compteur : "&amp;FIXED(KmActuel,0)&amp;" km"</f>
        <v>Kilométrage au compteur : 68.387 km</v>
      </c>
    </row>
    <row r="3" spans="1:17" ht="3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7" ht="21.95" customHeight="1" x14ac:dyDescent="0.25">
      <c r="B4" s="43" t="s">
        <v>301</v>
      </c>
      <c r="K4" s="44" t="s">
        <v>90</v>
      </c>
      <c r="L4" s="153" t="s">
        <v>91</v>
      </c>
      <c r="M4" s="154"/>
    </row>
    <row r="5" spans="1:17" ht="15.95" customHeight="1" x14ac:dyDescent="0.25">
      <c r="E5" s="155" t="s">
        <v>302</v>
      </c>
      <c r="F5" s="156"/>
      <c r="G5" s="155" t="s">
        <v>303</v>
      </c>
      <c r="H5" s="156"/>
      <c r="I5" s="155" t="s">
        <v>304</v>
      </c>
      <c r="J5" s="156"/>
      <c r="K5" s="155" t="s">
        <v>305</v>
      </c>
      <c r="L5" s="156"/>
    </row>
    <row r="6" spans="1:17" ht="39.950000000000003" customHeight="1" x14ac:dyDescent="0.25">
      <c r="B6" s="46" t="s">
        <v>306</v>
      </c>
      <c r="C6" s="46" t="s">
        <v>307</v>
      </c>
      <c r="D6" s="46" t="s">
        <v>308</v>
      </c>
      <c r="E6" s="46" t="s">
        <v>309</v>
      </c>
      <c r="F6" s="46" t="s">
        <v>310</v>
      </c>
      <c r="G6" s="45" t="s">
        <v>93</v>
      </c>
      <c r="H6" s="45" t="s">
        <v>311</v>
      </c>
      <c r="I6" s="45" t="s">
        <v>93</v>
      </c>
      <c r="J6" s="45" t="s">
        <v>311</v>
      </c>
      <c r="K6" s="45" t="s">
        <v>312</v>
      </c>
      <c r="L6" s="45" t="s">
        <v>313</v>
      </c>
      <c r="M6" s="45" t="s">
        <v>314</v>
      </c>
      <c r="N6" s="46" t="s">
        <v>104</v>
      </c>
      <c r="P6" s="54" t="s">
        <v>315</v>
      </c>
      <c r="Q6" s="54" t="s">
        <v>316</v>
      </c>
    </row>
    <row r="7" spans="1:17" ht="21.95" customHeight="1" x14ac:dyDescent="0.25">
      <c r="B7" s="64" t="s">
        <v>256</v>
      </c>
      <c r="C7" s="50">
        <v>15000</v>
      </c>
      <c r="D7" s="65">
        <v>12</v>
      </c>
      <c r="E7" s="48">
        <v>46191</v>
      </c>
      <c r="F7" s="50">
        <v>44900</v>
      </c>
      <c r="G7" s="66">
        <f t="shared" ref="G7:G18" si="0">IF(B7="","",IF(MAX(N(P7),N(E7))=0,"",MAX(N(P7),N(E7))))</f>
        <v>46547</v>
      </c>
      <c r="H7" s="67">
        <f t="shared" ref="H7:H18" si="1">IF(G7="","",IF(AND(N(P7)&gt;0,N(P7)&gt;=N(E7),N(Q7)&gt;0),Q7,IF(F7="","",F7)))</f>
        <v>57496</v>
      </c>
      <c r="I7" s="68">
        <f t="shared" ref="I7:I18" si="2">IF(OR(G7="",N(D7)=0),"",EDATE(G7,D7))</f>
        <v>46913</v>
      </c>
      <c r="J7" s="69">
        <f t="shared" ref="J7:J18" si="3">IF(OR(H7="",N(C7)=0),"",H7+C7)</f>
        <v>72496</v>
      </c>
      <c r="K7" s="70">
        <f t="shared" ref="K7:K18" ca="1" si="4">IF(I7="","",I7-DateSituation)</f>
        <v>176</v>
      </c>
      <c r="L7" s="70">
        <f t="shared" ref="L7:L18" si="5">IF(J7="","",J7-KmActuel)</f>
        <v>4109</v>
      </c>
      <c r="M7" s="71" t="str">
        <f t="shared" ref="M7:M18" ca="1" si="6">IF(B7="","",IF(G7="","À compléter",IF(OR(AND(ISNUMBER(K7),K7&lt;0),AND(ISNUMBER(L7),L7&lt;0)),"En retard",IF(OR(AND(ISNUMBER(K7),K7&lt;=AlerteJours),AND(ISNUMBER(L7),L7&lt;=AlerteKm)),"À prévoir","À jour"))))</f>
        <v>À jour</v>
      </c>
      <c r="N7" s="49" t="s">
        <v>317</v>
      </c>
      <c r="P7" s="72">
        <f>IF(B7="","",SUMPRODUCT(MAX(('Frais &amp; entretien'!$E$7:$E$306=B7)*'Frais &amp; entretien'!$C$7:$C$306)))</f>
        <v>46547</v>
      </c>
      <c r="Q7" s="62">
        <f>IF(B7="","",SUMPRODUCT(MAX(('Frais &amp; entretien'!$E$7:$E$306=B7)*'Frais &amp; entretien'!$D$7:$D$306)))</f>
        <v>57496</v>
      </c>
    </row>
    <row r="8" spans="1:17" ht="21.95" customHeight="1" x14ac:dyDescent="0.25">
      <c r="B8" s="64" t="s">
        <v>318</v>
      </c>
      <c r="C8" s="50">
        <v>30000</v>
      </c>
      <c r="D8" s="65">
        <v>24</v>
      </c>
      <c r="E8" s="48">
        <v>46027</v>
      </c>
      <c r="F8" s="50">
        <v>40500</v>
      </c>
      <c r="G8" s="66">
        <f t="shared" si="0"/>
        <v>46027</v>
      </c>
      <c r="H8" s="67">
        <f t="shared" si="1"/>
        <v>40500</v>
      </c>
      <c r="I8" s="68">
        <f t="shared" si="2"/>
        <v>46757</v>
      </c>
      <c r="J8" s="69">
        <f t="shared" si="3"/>
        <v>70500</v>
      </c>
      <c r="K8" s="70">
        <f t="shared" ca="1" si="4"/>
        <v>20</v>
      </c>
      <c r="L8" s="70">
        <f t="shared" si="5"/>
        <v>2113</v>
      </c>
      <c r="M8" s="71" t="str">
        <f t="shared" ca="1" si="6"/>
        <v>À prévoir</v>
      </c>
      <c r="N8" s="49"/>
      <c r="P8" s="72">
        <f>IF(B8="","",SUMPRODUCT(MAX(('Frais &amp; entretien'!$E$7:$E$306=B8)*'Frais &amp; entretien'!$C$7:$C$306)))</f>
        <v>0</v>
      </c>
      <c r="Q8" s="62">
        <f>IF(B8="","",SUMPRODUCT(MAX(('Frais &amp; entretien'!$E$7:$E$306=B8)*'Frais &amp; entretien'!$D$7:$D$306)))</f>
        <v>0</v>
      </c>
    </row>
    <row r="9" spans="1:17" ht="21.95" customHeight="1" x14ac:dyDescent="0.25">
      <c r="B9" s="64" t="s">
        <v>319</v>
      </c>
      <c r="C9" s="50">
        <v>150000</v>
      </c>
      <c r="D9" s="65">
        <v>120</v>
      </c>
      <c r="E9" s="48">
        <v>43875</v>
      </c>
      <c r="F9" s="50">
        <v>0</v>
      </c>
      <c r="G9" s="66">
        <f t="shared" si="0"/>
        <v>43875</v>
      </c>
      <c r="H9" s="67">
        <f t="shared" si="1"/>
        <v>0</v>
      </c>
      <c r="I9" s="68">
        <f t="shared" si="2"/>
        <v>47528</v>
      </c>
      <c r="J9" s="69">
        <f t="shared" si="3"/>
        <v>150000</v>
      </c>
      <c r="K9" s="70">
        <f t="shared" ca="1" si="4"/>
        <v>791</v>
      </c>
      <c r="L9" s="70">
        <f t="shared" si="5"/>
        <v>81613</v>
      </c>
      <c r="M9" s="71" t="str">
        <f t="shared" ca="1" si="6"/>
        <v>À jour</v>
      </c>
      <c r="N9" s="49" t="s">
        <v>320</v>
      </c>
      <c r="P9" s="72">
        <f>IF(B9="","",SUMPRODUCT(MAX(('Frais &amp; entretien'!$E$7:$E$306=B9)*'Frais &amp; entretien'!$C$7:$C$306)))</f>
        <v>0</v>
      </c>
      <c r="Q9" s="62">
        <f>IF(B9="","",SUMPRODUCT(MAX(('Frais &amp; entretien'!$E$7:$E$306=B9)*'Frais &amp; entretien'!$D$7:$D$306)))</f>
        <v>0</v>
      </c>
    </row>
    <row r="10" spans="1:17" ht="21.95" customHeight="1" x14ac:dyDescent="0.25">
      <c r="B10" s="64" t="s">
        <v>321</v>
      </c>
      <c r="C10" s="50">
        <v>40000</v>
      </c>
      <c r="D10" s="65"/>
      <c r="E10" s="48">
        <v>45563</v>
      </c>
      <c r="F10" s="50">
        <v>38900</v>
      </c>
      <c r="G10" s="66">
        <f t="shared" si="0"/>
        <v>45563</v>
      </c>
      <c r="H10" s="67">
        <f t="shared" si="1"/>
        <v>38900</v>
      </c>
      <c r="I10" s="68" t="str">
        <f t="shared" si="2"/>
        <v/>
      </c>
      <c r="J10" s="69">
        <f t="shared" si="3"/>
        <v>78900</v>
      </c>
      <c r="K10" s="70" t="str">
        <f t="shared" si="4"/>
        <v/>
      </c>
      <c r="L10" s="70">
        <f t="shared" si="5"/>
        <v>10513</v>
      </c>
      <c r="M10" s="71" t="str">
        <f t="shared" si="6"/>
        <v>À jour</v>
      </c>
      <c r="N10" s="49" t="s">
        <v>322</v>
      </c>
      <c r="P10" s="72">
        <f>IF(B10="","",SUMPRODUCT(MAX(('Frais &amp; entretien'!$E$7:$E$306=B10)*'Frais &amp; entretien'!$C$7:$C$306)))</f>
        <v>0</v>
      </c>
      <c r="Q10" s="62">
        <f>IF(B10="","",SUMPRODUCT(MAX(('Frais &amp; entretien'!$E$7:$E$306=B10)*'Frais &amp; entretien'!$D$7:$D$306)))</f>
        <v>0</v>
      </c>
    </row>
    <row r="11" spans="1:17" ht="21.95" customHeight="1" x14ac:dyDescent="0.25">
      <c r="B11" s="64" t="s">
        <v>284</v>
      </c>
      <c r="C11" s="50">
        <v>45000</v>
      </c>
      <c r="D11" s="65">
        <v>60</v>
      </c>
      <c r="E11" s="48">
        <v>45232</v>
      </c>
      <c r="F11" s="50">
        <v>30200</v>
      </c>
      <c r="G11" s="66">
        <f t="shared" si="0"/>
        <v>46686</v>
      </c>
      <c r="H11" s="67">
        <f t="shared" si="1"/>
        <v>65272</v>
      </c>
      <c r="I11" s="68">
        <f t="shared" si="2"/>
        <v>48513</v>
      </c>
      <c r="J11" s="69">
        <f t="shared" si="3"/>
        <v>110272</v>
      </c>
      <c r="K11" s="70">
        <f t="shared" ca="1" si="4"/>
        <v>1776</v>
      </c>
      <c r="L11" s="70">
        <f t="shared" si="5"/>
        <v>41885</v>
      </c>
      <c r="M11" s="71" t="str">
        <f t="shared" ca="1" si="6"/>
        <v>À jour</v>
      </c>
      <c r="N11" s="49"/>
      <c r="P11" s="72">
        <f>IF(B11="","",SUMPRODUCT(MAX(('Frais &amp; entretien'!$E$7:$E$306=B11)*'Frais &amp; entretien'!$C$7:$C$306)))</f>
        <v>46686</v>
      </c>
      <c r="Q11" s="62">
        <f>IF(B11="","",SUMPRODUCT(MAX(('Frais &amp; entretien'!$E$7:$E$306=B11)*'Frais &amp; entretien'!$D$7:$D$306)))</f>
        <v>65272</v>
      </c>
    </row>
    <row r="12" spans="1:17" ht="21.95" customHeight="1" x14ac:dyDescent="0.25">
      <c r="B12" s="64" t="s">
        <v>323</v>
      </c>
      <c r="C12" s="50"/>
      <c r="D12" s="65">
        <v>24</v>
      </c>
      <c r="E12" s="48">
        <v>45813</v>
      </c>
      <c r="F12" s="50"/>
      <c r="G12" s="66">
        <f t="shared" si="0"/>
        <v>45813</v>
      </c>
      <c r="H12" s="67" t="str">
        <f t="shared" si="1"/>
        <v/>
      </c>
      <c r="I12" s="68">
        <f t="shared" si="2"/>
        <v>46543</v>
      </c>
      <c r="J12" s="69" t="str">
        <f t="shared" si="3"/>
        <v/>
      </c>
      <c r="K12" s="70">
        <f t="shared" ca="1" si="4"/>
        <v>-194</v>
      </c>
      <c r="L12" s="70" t="str">
        <f t="shared" si="5"/>
        <v/>
      </c>
      <c r="M12" s="71" t="str">
        <f t="shared" ca="1" si="6"/>
        <v>En retard</v>
      </c>
      <c r="N12" s="49"/>
      <c r="P12" s="72">
        <f>IF(B12="","",SUMPRODUCT(MAX(('Frais &amp; entretien'!$E$7:$E$306=B12)*'Frais &amp; entretien'!$C$7:$C$306)))</f>
        <v>0</v>
      </c>
      <c r="Q12" s="62">
        <f>IF(B12="","",SUMPRODUCT(MAX(('Frais &amp; entretien'!$E$7:$E$306=B12)*'Frais &amp; entretien'!$D$7:$D$306)))</f>
        <v>0</v>
      </c>
    </row>
    <row r="13" spans="1:17" ht="21.95" customHeight="1" x14ac:dyDescent="0.25">
      <c r="B13" s="64" t="s">
        <v>225</v>
      </c>
      <c r="C13" s="50"/>
      <c r="D13" s="65">
        <v>24</v>
      </c>
      <c r="E13" s="48">
        <v>45686</v>
      </c>
      <c r="F13" s="50"/>
      <c r="G13" s="66">
        <f t="shared" si="0"/>
        <v>46412</v>
      </c>
      <c r="H13" s="67">
        <f t="shared" si="1"/>
        <v>49525</v>
      </c>
      <c r="I13" s="68">
        <f t="shared" si="2"/>
        <v>47143</v>
      </c>
      <c r="J13" s="69" t="str">
        <f t="shared" si="3"/>
        <v/>
      </c>
      <c r="K13" s="70">
        <f t="shared" ca="1" si="4"/>
        <v>406</v>
      </c>
      <c r="L13" s="70" t="str">
        <f t="shared" si="5"/>
        <v/>
      </c>
      <c r="M13" s="71" t="str">
        <f t="shared" ca="1" si="6"/>
        <v>À jour</v>
      </c>
      <c r="N13" s="49" t="s">
        <v>324</v>
      </c>
      <c r="P13" s="72">
        <f>IF(B13="","",SUMPRODUCT(MAX(('Frais &amp; entretien'!$E$7:$E$306=B13)*'Frais &amp; entretien'!$C$7:$C$306)))</f>
        <v>46412</v>
      </c>
      <c r="Q13" s="62">
        <f>IF(B13="","",SUMPRODUCT(MAX(('Frais &amp; entretien'!$E$7:$E$306=B13)*'Frais &amp; entretien'!$D$7:$D$306)))</f>
        <v>49525</v>
      </c>
    </row>
    <row r="14" spans="1:17" ht="21.95" customHeight="1" x14ac:dyDescent="0.25">
      <c r="B14" s="64" t="s">
        <v>239</v>
      </c>
      <c r="C14" s="50"/>
      <c r="D14" s="65">
        <v>12</v>
      </c>
      <c r="E14" s="48">
        <v>46113</v>
      </c>
      <c r="F14" s="50"/>
      <c r="G14" s="66">
        <f t="shared" si="0"/>
        <v>46478</v>
      </c>
      <c r="H14" s="67">
        <f t="shared" si="1"/>
        <v>53489</v>
      </c>
      <c r="I14" s="68">
        <f t="shared" si="2"/>
        <v>46844</v>
      </c>
      <c r="J14" s="69" t="str">
        <f t="shared" si="3"/>
        <v/>
      </c>
      <c r="K14" s="70">
        <f t="shared" ca="1" si="4"/>
        <v>107</v>
      </c>
      <c r="L14" s="70" t="str">
        <f t="shared" si="5"/>
        <v/>
      </c>
      <c r="M14" s="71" t="str">
        <f t="shared" ca="1" si="6"/>
        <v>À jour</v>
      </c>
      <c r="N14" s="49" t="s">
        <v>325</v>
      </c>
      <c r="P14" s="72">
        <f>IF(B14="","",SUMPRODUCT(MAX(('Frais &amp; entretien'!$E$7:$E$306=B14)*'Frais &amp; entretien'!$C$7:$C$306)))</f>
        <v>46478</v>
      </c>
      <c r="Q14" s="62">
        <f>IF(B14="","",SUMPRODUCT(MAX(('Frais &amp; entretien'!$E$7:$E$306=B14)*'Frais &amp; entretien'!$D$7:$D$306)))</f>
        <v>53489</v>
      </c>
    </row>
    <row r="15" spans="1:17" ht="21.95" customHeight="1" x14ac:dyDescent="0.25">
      <c r="B15" s="64"/>
      <c r="C15" s="50"/>
      <c r="D15" s="65"/>
      <c r="E15" s="48"/>
      <c r="F15" s="50"/>
      <c r="G15" s="66" t="str">
        <f t="shared" si="0"/>
        <v/>
      </c>
      <c r="H15" s="67" t="str">
        <f t="shared" si="1"/>
        <v/>
      </c>
      <c r="I15" s="68" t="str">
        <f t="shared" si="2"/>
        <v/>
      </c>
      <c r="J15" s="69" t="str">
        <f t="shared" si="3"/>
        <v/>
      </c>
      <c r="K15" s="70" t="str">
        <f t="shared" si="4"/>
        <v/>
      </c>
      <c r="L15" s="70" t="str">
        <f t="shared" si="5"/>
        <v/>
      </c>
      <c r="M15" s="71" t="str">
        <f t="shared" si="6"/>
        <v/>
      </c>
      <c r="N15" s="49"/>
      <c r="P15" s="72" t="str">
        <f>IF(B15="","",SUMPRODUCT(MAX(('Frais &amp; entretien'!$E$7:$E$306=B15)*'Frais &amp; entretien'!$C$7:$C$306)))</f>
        <v/>
      </c>
      <c r="Q15" s="62" t="str">
        <f>IF(B15="","",SUMPRODUCT(MAX(('Frais &amp; entretien'!$E$7:$E$306=B15)*'Frais &amp; entretien'!$D$7:$D$306)))</f>
        <v/>
      </c>
    </row>
    <row r="16" spans="1:17" ht="21.95" customHeight="1" x14ac:dyDescent="0.25">
      <c r="B16" s="64"/>
      <c r="C16" s="50"/>
      <c r="D16" s="65"/>
      <c r="E16" s="48"/>
      <c r="F16" s="50"/>
      <c r="G16" s="66" t="str">
        <f t="shared" si="0"/>
        <v/>
      </c>
      <c r="H16" s="67" t="str">
        <f t="shared" si="1"/>
        <v/>
      </c>
      <c r="I16" s="68" t="str">
        <f t="shared" si="2"/>
        <v/>
      </c>
      <c r="J16" s="69" t="str">
        <f t="shared" si="3"/>
        <v/>
      </c>
      <c r="K16" s="70" t="str">
        <f t="shared" si="4"/>
        <v/>
      </c>
      <c r="L16" s="70" t="str">
        <f t="shared" si="5"/>
        <v/>
      </c>
      <c r="M16" s="71" t="str">
        <f t="shared" si="6"/>
        <v/>
      </c>
      <c r="N16" s="49"/>
      <c r="P16" s="72" t="str">
        <f>IF(B16="","",SUMPRODUCT(MAX(('Frais &amp; entretien'!$E$7:$E$306=B16)*'Frais &amp; entretien'!$C$7:$C$306)))</f>
        <v/>
      </c>
      <c r="Q16" s="62" t="str">
        <f>IF(B16="","",SUMPRODUCT(MAX(('Frais &amp; entretien'!$E$7:$E$306=B16)*'Frais &amp; entretien'!$D$7:$D$306)))</f>
        <v/>
      </c>
    </row>
    <row r="17" spans="2:17" ht="21.95" customHeight="1" x14ac:dyDescent="0.25">
      <c r="B17" s="64"/>
      <c r="C17" s="50"/>
      <c r="D17" s="65"/>
      <c r="E17" s="48"/>
      <c r="F17" s="50"/>
      <c r="G17" s="66" t="str">
        <f t="shared" si="0"/>
        <v/>
      </c>
      <c r="H17" s="67" t="str">
        <f t="shared" si="1"/>
        <v/>
      </c>
      <c r="I17" s="68" t="str">
        <f t="shared" si="2"/>
        <v/>
      </c>
      <c r="J17" s="69" t="str">
        <f t="shared" si="3"/>
        <v/>
      </c>
      <c r="K17" s="70" t="str">
        <f t="shared" si="4"/>
        <v/>
      </c>
      <c r="L17" s="70" t="str">
        <f t="shared" si="5"/>
        <v/>
      </c>
      <c r="M17" s="71" t="str">
        <f t="shared" si="6"/>
        <v/>
      </c>
      <c r="N17" s="49"/>
      <c r="P17" s="72" t="str">
        <f>IF(B17="","",SUMPRODUCT(MAX(('Frais &amp; entretien'!$E$7:$E$306=B17)*'Frais &amp; entretien'!$C$7:$C$306)))</f>
        <v/>
      </c>
      <c r="Q17" s="62" t="str">
        <f>IF(B17="","",SUMPRODUCT(MAX(('Frais &amp; entretien'!$E$7:$E$306=B17)*'Frais &amp; entretien'!$D$7:$D$306)))</f>
        <v/>
      </c>
    </row>
    <row r="18" spans="2:17" ht="21.95" customHeight="1" x14ac:dyDescent="0.25">
      <c r="B18" s="64"/>
      <c r="C18" s="50"/>
      <c r="D18" s="65"/>
      <c r="E18" s="48"/>
      <c r="F18" s="50"/>
      <c r="G18" s="66" t="str">
        <f t="shared" si="0"/>
        <v/>
      </c>
      <c r="H18" s="67" t="str">
        <f t="shared" si="1"/>
        <v/>
      </c>
      <c r="I18" s="68" t="str">
        <f t="shared" si="2"/>
        <v/>
      </c>
      <c r="J18" s="69" t="str">
        <f t="shared" si="3"/>
        <v/>
      </c>
      <c r="K18" s="70" t="str">
        <f t="shared" si="4"/>
        <v/>
      </c>
      <c r="L18" s="70" t="str">
        <f t="shared" si="5"/>
        <v/>
      </c>
      <c r="M18" s="71" t="str">
        <f t="shared" si="6"/>
        <v/>
      </c>
      <c r="N18" s="49"/>
      <c r="P18" s="72" t="str">
        <f>IF(B18="","",SUMPRODUCT(MAX(('Frais &amp; entretien'!$E$7:$E$306=B18)*'Frais &amp; entretien'!$C$7:$C$306)))</f>
        <v/>
      </c>
      <c r="Q18" s="62" t="str">
        <f>IF(B18="","",SUMPRODUCT(MAX(('Frais &amp; entretien'!$E$7:$E$306=B18)*'Frais &amp; entretien'!$D$7:$D$306)))</f>
        <v/>
      </c>
    </row>
    <row r="20" spans="2:17" x14ac:dyDescent="0.25">
      <c r="B20" s="73" t="str">
        <f>"Alerte « À prévoir » : "&amp;AlerteJours&amp;" jours ou "&amp;FIXED(AlerteKm,0)&amp;" km avant l'échéance  ·  compteur actuel : "&amp;FIXED(KmActuel,0)&amp;" km"</f>
        <v>Alerte « À prévoir » : 30 jours ou 1.000 km avant l'échéance  ·  compteur actuel : 68.387 km</v>
      </c>
    </row>
  </sheetData>
  <mergeCells count="5">
    <mergeCell ref="L4:M4"/>
    <mergeCell ref="G5:H5"/>
    <mergeCell ref="E5:F5"/>
    <mergeCell ref="K5:L5"/>
    <mergeCell ref="I5:J5"/>
  </mergeCells>
  <conditionalFormatting sqref="K7:L18">
    <cfRule type="expression" dxfId="4" priority="5">
      <formula>AND(ISNUMBER(K7),K7&lt;0)</formula>
    </cfRule>
  </conditionalFormatting>
  <conditionalFormatting sqref="M7:M18">
    <cfRule type="expression" dxfId="3" priority="1" stopIfTrue="1">
      <formula>$M7="En retard"</formula>
    </cfRule>
    <cfRule type="expression" dxfId="2" priority="2" stopIfTrue="1">
      <formula>$M7="À prévoir"</formula>
    </cfRule>
    <cfRule type="expression" dxfId="1" priority="3" stopIfTrue="1">
      <formula>$M7="À jour"</formula>
    </cfRule>
    <cfRule type="expression" dxfId="0" priority="4" stopIfTrue="1">
      <formula>$M7="À compléter"</formula>
    </cfRule>
  </conditionalFormatting>
  <dataValidations count="5">
    <dataValidation type="list" allowBlank="1" showInputMessage="1" showErrorMessage="1" errorTitle="Valeur non prévue" error="Choisissez une valeur dans la liste déroulante." promptTitle="Opération suivie" prompt="Choisissez la nature de dépense correspondante : chaque nouvelle dépense de cette nature met l'échéance à jour." sqref="B7:B18" xr:uid="{00000000-0002-0000-0400-000000000000}">
      <formula1>ListeNaturesDepense</formula1>
    </dataValidation>
    <dataValidation type="whole" allowBlank="1" showErrorMessage="1" errorTitle="Valeur non valide" error="Saisissez un nombre positif." sqref="C7:C18" xr:uid="{00000000-0002-0000-0400-000001000000}">
      <formula1>0</formula1>
      <formula2>1000000</formula2>
    </dataValidation>
    <dataValidation type="whole" allowBlank="1" showErrorMessage="1" errorTitle="Valeur non valide" error="Périodicité en mois (0 à 240)." sqref="D7:D18" xr:uid="{00000000-0002-0000-0400-000002000000}">
      <formula1>0</formula1>
      <formula2>240</formula2>
    </dataValidation>
    <dataValidation type="date" allowBlank="1" showErrorMessage="1" errorTitle="Date non valide" error="Saisissez une date au format jj/mm/aaaa." sqref="E7:E18" xr:uid="{00000000-0002-0000-0400-000003000000}">
      <formula1>36526</formula1>
      <formula2>73051</formula2>
    </dataValidation>
    <dataValidation type="whole" allowBlank="1" showErrorMessage="1" errorTitle="Valeur non valide" error="Saisissez un nombre positif." sqref="F7:F18" xr:uid="{00000000-0002-0000-0400-000004000000}">
      <formula1>0</formula1>
      <formula2>2000000</formula2>
    </dataValidation>
  </dataValidations>
  <printOptions horizontalCentered="1"/>
  <pageMargins left="0.35" right="0.35" top="0.45" bottom="0.55000000000000004" header="0.5" footer="0.5"/>
  <pageSetup paperSize="9" orientation="landscape"/>
  <headerFooter>
    <oddFooter>&amp;L&amp;8 &amp;K7A828CCarnet de bord du véhicule – &amp;A&amp;R&amp;8 &amp;K7A828CPage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6B7683"/>
    <pageSetUpPr fitToPage="1"/>
  </sheetPr>
  <dimension ref="A1:R51"/>
  <sheetViews>
    <sheetView showGridLines="0" workbookViewId="0"/>
  </sheetViews>
  <sheetFormatPr baseColWidth="10" defaultColWidth="9.140625" defaultRowHeight="15" x14ac:dyDescent="0.25"/>
  <cols>
    <col min="1" max="1" width="3" customWidth="1"/>
    <col min="2" max="2" width="30" customWidth="1"/>
    <col min="3" max="6" width="13" customWidth="1"/>
    <col min="7" max="7" width="3" customWidth="1"/>
    <col min="8" max="8" width="34" customWidth="1"/>
    <col min="9" max="11" width="13" customWidth="1"/>
    <col min="12" max="12" width="3" customWidth="1"/>
    <col min="13" max="13" width="20" customWidth="1"/>
    <col min="14" max="14" width="22" customWidth="1"/>
    <col min="15" max="15" width="24" customWidth="1"/>
    <col min="16" max="16" width="22" customWidth="1"/>
    <col min="17" max="17" width="24" customWidth="1"/>
    <col min="18" max="18" width="26" customWidth="1"/>
    <col min="19" max="19" width="3" customWidth="1"/>
  </cols>
  <sheetData>
    <row r="1" spans="1:18" ht="30" customHeight="1" x14ac:dyDescent="0.35">
      <c r="A1" s="1"/>
      <c r="B1" s="39" t="s">
        <v>326</v>
      </c>
    </row>
    <row r="2" spans="1:18" ht="18" customHeight="1" x14ac:dyDescent="0.25">
      <c r="A2" s="1"/>
      <c r="B2" s="41" t="s">
        <v>327</v>
      </c>
    </row>
    <row r="3" spans="1:18" ht="3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8" ht="21.95" customHeight="1" x14ac:dyDescent="0.25">
      <c r="B4" s="43" t="s">
        <v>328</v>
      </c>
      <c r="I4" s="44" t="s">
        <v>90</v>
      </c>
      <c r="J4" s="153" t="s">
        <v>91</v>
      </c>
      <c r="K4" s="154"/>
    </row>
    <row r="5" spans="1:18" ht="8.1" customHeight="1" x14ac:dyDescent="0.25"/>
    <row r="6" spans="1:18" ht="26.1" customHeight="1" x14ac:dyDescent="0.25">
      <c r="B6" s="74" t="s">
        <v>329</v>
      </c>
      <c r="C6" s="75"/>
      <c r="D6" s="75"/>
      <c r="E6" s="75"/>
      <c r="F6" s="75"/>
      <c r="H6" s="74" t="s">
        <v>330</v>
      </c>
      <c r="I6" s="75"/>
      <c r="J6" s="75"/>
      <c r="K6" s="75"/>
      <c r="M6" s="74" t="s">
        <v>331</v>
      </c>
      <c r="N6" s="75"/>
      <c r="O6" s="75"/>
      <c r="P6" s="75"/>
      <c r="Q6" s="75"/>
      <c r="R6" s="75"/>
    </row>
    <row r="7" spans="1:18" ht="21" customHeight="1" x14ac:dyDescent="0.25">
      <c r="B7" s="76" t="s">
        <v>332</v>
      </c>
      <c r="C7" s="161" t="s">
        <v>333</v>
      </c>
      <c r="D7" s="157"/>
      <c r="E7" s="157"/>
      <c r="F7" s="157"/>
      <c r="H7" s="76" t="s">
        <v>334</v>
      </c>
      <c r="I7" s="157" t="s">
        <v>335</v>
      </c>
      <c r="J7" s="157"/>
      <c r="K7" s="157"/>
      <c r="M7" s="46" t="s">
        <v>336</v>
      </c>
      <c r="N7" s="46" t="s">
        <v>337</v>
      </c>
      <c r="O7" s="46" t="s">
        <v>338</v>
      </c>
      <c r="P7" s="46" t="s">
        <v>159</v>
      </c>
      <c r="Q7" s="46" t="s">
        <v>339</v>
      </c>
      <c r="R7" s="46" t="s">
        <v>340</v>
      </c>
    </row>
    <row r="8" spans="1:18" ht="21" customHeight="1" x14ac:dyDescent="0.25">
      <c r="B8" s="76" t="s">
        <v>341</v>
      </c>
      <c r="C8" s="157" t="s">
        <v>342</v>
      </c>
      <c r="D8" s="157"/>
      <c r="E8" s="157"/>
      <c r="F8" s="157"/>
      <c r="H8" s="76" t="s">
        <v>343</v>
      </c>
      <c r="I8" s="157" t="s">
        <v>105</v>
      </c>
      <c r="J8" s="157"/>
      <c r="K8" s="157"/>
      <c r="M8" s="49" t="s">
        <v>112</v>
      </c>
      <c r="N8" s="49" t="s">
        <v>344</v>
      </c>
      <c r="O8" s="49" t="s">
        <v>335</v>
      </c>
      <c r="P8" s="49" t="s">
        <v>168</v>
      </c>
      <c r="Q8" s="49" t="s">
        <v>345</v>
      </c>
      <c r="R8" s="49" t="s">
        <v>346</v>
      </c>
    </row>
    <row r="9" spans="1:18" ht="21" customHeight="1" x14ac:dyDescent="0.25">
      <c r="B9" s="76" t="s">
        <v>347</v>
      </c>
      <c r="C9" s="157" t="s">
        <v>348</v>
      </c>
      <c r="D9" s="157"/>
      <c r="E9" s="157"/>
      <c r="F9" s="157"/>
      <c r="H9" s="76" t="s">
        <v>349</v>
      </c>
      <c r="I9" s="174">
        <v>46388</v>
      </c>
      <c r="J9" s="174"/>
      <c r="K9" s="174"/>
      <c r="M9" s="49" t="s">
        <v>109</v>
      </c>
      <c r="N9" s="49" t="s">
        <v>350</v>
      </c>
      <c r="O9" s="49" t="s">
        <v>351</v>
      </c>
      <c r="P9" s="49" t="s">
        <v>175</v>
      </c>
      <c r="Q9" s="49" t="s">
        <v>352</v>
      </c>
      <c r="R9" s="49" t="s">
        <v>353</v>
      </c>
    </row>
    <row r="10" spans="1:18" ht="21" customHeight="1" x14ac:dyDescent="0.25">
      <c r="B10" s="76" t="s">
        <v>354</v>
      </c>
      <c r="C10" s="157" t="s">
        <v>355</v>
      </c>
      <c r="D10" s="157"/>
      <c r="E10" s="157"/>
      <c r="F10" s="157"/>
      <c r="H10" s="76" t="s">
        <v>356</v>
      </c>
      <c r="I10" s="171">
        <v>48350</v>
      </c>
      <c r="J10" s="171"/>
      <c r="K10" s="171"/>
      <c r="M10" s="49" t="s">
        <v>117</v>
      </c>
      <c r="N10" s="49" t="s">
        <v>355</v>
      </c>
      <c r="O10" s="49" t="s">
        <v>357</v>
      </c>
      <c r="P10" s="49" t="s">
        <v>224</v>
      </c>
      <c r="Q10" s="49" t="s">
        <v>358</v>
      </c>
      <c r="R10" s="49" t="s">
        <v>359</v>
      </c>
    </row>
    <row r="11" spans="1:18" ht="21" customHeight="1" x14ac:dyDescent="0.25">
      <c r="B11" s="76" t="s">
        <v>360</v>
      </c>
      <c r="C11" s="170">
        <v>5</v>
      </c>
      <c r="D11" s="170"/>
      <c r="E11" s="170"/>
      <c r="F11" s="170"/>
      <c r="H11" s="76" t="s">
        <v>361</v>
      </c>
      <c r="I11" s="157" t="s">
        <v>240</v>
      </c>
      <c r="J11" s="157"/>
      <c r="K11" s="157"/>
      <c r="M11" s="49"/>
      <c r="N11" s="49" t="s">
        <v>362</v>
      </c>
      <c r="O11" s="49" t="s">
        <v>363</v>
      </c>
      <c r="P11" s="49" t="s">
        <v>364</v>
      </c>
      <c r="Q11" s="49"/>
      <c r="R11" s="49" t="s">
        <v>225</v>
      </c>
    </row>
    <row r="12" spans="1:18" ht="21" customHeight="1" x14ac:dyDescent="0.25">
      <c r="B12" s="76" t="s">
        <v>365</v>
      </c>
      <c r="C12" s="174">
        <v>43875</v>
      </c>
      <c r="D12" s="174"/>
      <c r="E12" s="174"/>
      <c r="F12" s="174"/>
      <c r="H12" s="76" t="s">
        <v>366</v>
      </c>
      <c r="I12" s="157" t="s">
        <v>367</v>
      </c>
      <c r="J12" s="157"/>
      <c r="K12" s="157"/>
      <c r="M12" s="49"/>
      <c r="N12" s="49" t="s">
        <v>368</v>
      </c>
      <c r="O12" s="49"/>
      <c r="P12" s="49" t="s">
        <v>242</v>
      </c>
      <c r="Q12" s="49"/>
      <c r="R12" s="49" t="s">
        <v>239</v>
      </c>
    </row>
    <row r="13" spans="1:18" ht="21" customHeight="1" x14ac:dyDescent="0.25">
      <c r="B13" s="76" t="s">
        <v>369</v>
      </c>
      <c r="C13" s="157" t="s">
        <v>370</v>
      </c>
      <c r="D13" s="157"/>
      <c r="E13" s="157"/>
      <c r="F13" s="157"/>
      <c r="H13" s="76" t="s">
        <v>371</v>
      </c>
      <c r="I13" s="172">
        <f>MAX(N(I10),MAX(Trajets!$J$7:$J$606),MAX(Carburant!$E$7:$E$206),MAX('Frais &amp; entretien'!$D$7:$D$306))</f>
        <v>68387</v>
      </c>
      <c r="J13" s="173"/>
      <c r="K13" s="173"/>
      <c r="M13" s="49"/>
      <c r="N13" s="49" t="s">
        <v>372</v>
      </c>
      <c r="O13" s="49"/>
      <c r="P13" s="49" t="s">
        <v>373</v>
      </c>
      <c r="Q13" s="49"/>
      <c r="R13" s="49" t="s">
        <v>374</v>
      </c>
    </row>
    <row r="14" spans="1:18" ht="21" customHeight="1" x14ac:dyDescent="0.25">
      <c r="B14" s="76" t="s">
        <v>375</v>
      </c>
      <c r="C14" s="170">
        <v>50</v>
      </c>
      <c r="D14" s="170"/>
      <c r="E14" s="170"/>
      <c r="F14" s="170"/>
      <c r="H14" s="76" t="s">
        <v>376</v>
      </c>
      <c r="I14" s="164">
        <f ca="1">MAX(TODAY(),MAX(Trajets!$C$7:$C$606),MAX(Carburant!$C$7:$C$206),MAX('Frais &amp; entretien'!$C$7:$C$306))</f>
        <v>46737</v>
      </c>
      <c r="J14" s="165"/>
      <c r="K14" s="165"/>
      <c r="M14" s="49"/>
      <c r="N14" s="49" t="s">
        <v>377</v>
      </c>
      <c r="O14" s="49"/>
      <c r="P14" s="49"/>
      <c r="Q14" s="49"/>
      <c r="R14" s="49" t="s">
        <v>378</v>
      </c>
    </row>
    <row r="15" spans="1:18" ht="21" customHeight="1" x14ac:dyDescent="0.25">
      <c r="H15" s="76" t="s">
        <v>379</v>
      </c>
      <c r="I15" s="175" t="str">
        <f>IF(C10="Électrique","kWh","L")</f>
        <v>L</v>
      </c>
      <c r="J15" s="176"/>
      <c r="K15" s="176"/>
      <c r="M15" s="49"/>
      <c r="N15" s="49"/>
      <c r="O15" s="49"/>
      <c r="P15" s="49"/>
      <c r="Q15" s="49"/>
      <c r="R15" s="49"/>
    </row>
    <row r="16" spans="1:18" ht="21" customHeight="1" x14ac:dyDescent="0.25">
      <c r="H16" s="76" t="str">
        <f>"Consommation moyenne constatée ("&amp;UniteQte&amp;"/100 km)"</f>
        <v>Consommation moyenne constatée (L/100 km)</v>
      </c>
      <c r="I16" s="158">
        <f>IFERROR(SUMIFS(Carburant!$S$7:$S$206,Carburant!$M$7:$M$206,"&gt;0")/SUM(Carburant!$T$7:$T$206)*100,0)</f>
        <v>5.7271782075275528</v>
      </c>
      <c r="J16" s="159"/>
      <c r="K16" s="159"/>
      <c r="M16" s="49"/>
      <c r="N16" s="49"/>
      <c r="O16" s="49"/>
      <c r="P16" s="49"/>
      <c r="Q16" s="49"/>
      <c r="R16" s="49"/>
    </row>
    <row r="17" spans="2:18" x14ac:dyDescent="0.25">
      <c r="H17" s="77" t="s">
        <v>380</v>
      </c>
      <c r="M17" s="49"/>
      <c r="N17" s="49"/>
      <c r="O17" s="49"/>
      <c r="P17" s="49"/>
      <c r="Q17" s="49"/>
      <c r="R17" s="49"/>
    </row>
    <row r="18" spans="2:18" ht="26.1" customHeight="1" x14ac:dyDescent="0.25">
      <c r="B18" s="74" t="s">
        <v>381</v>
      </c>
      <c r="C18" s="75"/>
      <c r="D18" s="75"/>
      <c r="E18" s="75"/>
      <c r="F18" s="75"/>
      <c r="H18" s="74" t="s">
        <v>382</v>
      </c>
      <c r="I18" s="75"/>
      <c r="J18" s="75"/>
      <c r="K18" s="75"/>
      <c r="M18" s="49"/>
      <c r="N18" s="49"/>
      <c r="O18" s="49"/>
      <c r="P18" s="49"/>
      <c r="Q18" s="49"/>
      <c r="R18" s="49"/>
    </row>
    <row r="19" spans="2:18" ht="21.95" customHeight="1" x14ac:dyDescent="0.25">
      <c r="B19" s="78" t="s">
        <v>383</v>
      </c>
      <c r="C19" s="166" t="s">
        <v>384</v>
      </c>
      <c r="D19" s="167"/>
      <c r="E19" s="166" t="s">
        <v>104</v>
      </c>
      <c r="F19" s="167"/>
      <c r="H19" s="79"/>
      <c r="M19" s="49"/>
      <c r="N19" s="49"/>
      <c r="O19" s="49"/>
      <c r="P19" s="49"/>
      <c r="Q19" s="49"/>
      <c r="R19" s="49"/>
    </row>
    <row r="20" spans="2:18" ht="21" customHeight="1" x14ac:dyDescent="0.25">
      <c r="B20" s="49" t="s">
        <v>105</v>
      </c>
      <c r="C20" s="157" t="s">
        <v>345</v>
      </c>
      <c r="D20" s="157"/>
      <c r="E20" s="157" t="s">
        <v>385</v>
      </c>
      <c r="F20" s="157"/>
      <c r="H20" s="76" t="s">
        <v>386</v>
      </c>
      <c r="I20" s="169">
        <v>30</v>
      </c>
      <c r="J20" s="169"/>
      <c r="K20" s="169"/>
    </row>
    <row r="21" spans="2:18" ht="21" customHeight="1" x14ac:dyDescent="0.25">
      <c r="B21" s="49" t="s">
        <v>133</v>
      </c>
      <c r="C21" s="157" t="s">
        <v>352</v>
      </c>
      <c r="D21" s="157"/>
      <c r="E21" s="157" t="s">
        <v>387</v>
      </c>
      <c r="F21" s="157"/>
      <c r="H21" s="76" t="s">
        <v>388</v>
      </c>
      <c r="I21" s="160">
        <v>1000</v>
      </c>
      <c r="J21" s="160"/>
      <c r="K21" s="160"/>
      <c r="M21" s="73" t="s">
        <v>389</v>
      </c>
    </row>
    <row r="22" spans="2:18" ht="21" customHeight="1" x14ac:dyDescent="0.25">
      <c r="B22" s="49"/>
      <c r="C22" s="157"/>
      <c r="D22" s="157"/>
      <c r="E22" s="157"/>
      <c r="F22" s="157"/>
      <c r="H22" s="76" t="s">
        <v>390</v>
      </c>
      <c r="I22" s="160">
        <v>0</v>
      </c>
      <c r="J22" s="160"/>
      <c r="K22" s="160"/>
    </row>
    <row r="23" spans="2:18" ht="21" customHeight="1" x14ac:dyDescent="0.25">
      <c r="B23" s="49"/>
      <c r="C23" s="157"/>
      <c r="D23" s="157"/>
      <c r="E23" s="157"/>
      <c r="F23" s="157"/>
      <c r="H23" s="76" t="s">
        <v>391</v>
      </c>
      <c r="I23" s="168" t="s">
        <v>167</v>
      </c>
      <c r="J23" s="168"/>
      <c r="K23" s="168"/>
    </row>
    <row r="24" spans="2:18" ht="21" customHeight="1" x14ac:dyDescent="0.25">
      <c r="B24" s="49"/>
      <c r="C24" s="157"/>
      <c r="D24" s="157"/>
      <c r="E24" s="157"/>
      <c r="F24" s="157"/>
      <c r="H24" s="76" t="s">
        <v>392</v>
      </c>
      <c r="I24" s="162">
        <v>0.2</v>
      </c>
      <c r="J24" s="162"/>
      <c r="K24" s="162"/>
    </row>
    <row r="25" spans="2:18" ht="21" customHeight="1" x14ac:dyDescent="0.25">
      <c r="B25" s="49"/>
      <c r="C25" s="157"/>
      <c r="D25" s="157"/>
      <c r="E25" s="157"/>
      <c r="F25" s="157"/>
      <c r="H25" s="76" t="s">
        <v>393</v>
      </c>
      <c r="I25" s="162">
        <v>0.3</v>
      </c>
      <c r="J25" s="162"/>
      <c r="K25" s="162"/>
    </row>
    <row r="26" spans="2:18" ht="20.100000000000001" customHeight="1" x14ac:dyDescent="0.25">
      <c r="B26" s="49"/>
      <c r="C26" s="157"/>
      <c r="D26" s="157"/>
      <c r="E26" s="157"/>
      <c r="F26" s="157"/>
    </row>
    <row r="27" spans="2:18" ht="20.100000000000001" customHeight="1" x14ac:dyDescent="0.25">
      <c r="B27" s="49"/>
      <c r="C27" s="157"/>
      <c r="D27" s="157"/>
      <c r="E27" s="157"/>
      <c r="F27" s="157"/>
    </row>
    <row r="29" spans="2:18" ht="26.1" customHeight="1" x14ac:dyDescent="0.25">
      <c r="B29" s="74" t="s">
        <v>394</v>
      </c>
      <c r="C29" s="75"/>
      <c r="D29" s="75"/>
      <c r="E29" s="75"/>
      <c r="F29" s="75"/>
      <c r="H29" s="74" t="s">
        <v>395</v>
      </c>
      <c r="I29" s="75"/>
      <c r="J29" s="75"/>
      <c r="K29" s="75"/>
    </row>
    <row r="30" spans="2:18" ht="27.95" customHeight="1" x14ac:dyDescent="0.25">
      <c r="B30" s="177" t="s">
        <v>396</v>
      </c>
      <c r="C30" s="178"/>
      <c r="D30" s="178"/>
      <c r="E30" s="178"/>
      <c r="F30" s="178"/>
      <c r="H30" s="163" t="s">
        <v>397</v>
      </c>
      <c r="I30" s="119"/>
      <c r="J30" s="119"/>
      <c r="K30" s="119"/>
    </row>
    <row r="31" spans="2:18" ht="32.1" customHeight="1" x14ac:dyDescent="0.25">
      <c r="B31" s="46" t="s">
        <v>398</v>
      </c>
      <c r="C31" s="46" t="s">
        <v>399</v>
      </c>
      <c r="D31" s="46" t="s">
        <v>400</v>
      </c>
      <c r="E31" s="46" t="s">
        <v>401</v>
      </c>
      <c r="F31" s="46" t="s">
        <v>402</v>
      </c>
      <c r="H31" s="78" t="s">
        <v>403</v>
      </c>
      <c r="I31" s="166" t="s">
        <v>404</v>
      </c>
      <c r="J31" s="167"/>
      <c r="K31" s="167"/>
    </row>
    <row r="32" spans="2:18" ht="20.100000000000001" customHeight="1" x14ac:dyDescent="0.25">
      <c r="B32" s="80">
        <v>3</v>
      </c>
      <c r="C32" s="81">
        <v>0.52900000000000003</v>
      </c>
      <c r="D32" s="81">
        <v>0.316</v>
      </c>
      <c r="E32" s="82">
        <v>1065</v>
      </c>
      <c r="F32" s="81">
        <v>0.37</v>
      </c>
      <c r="H32" s="49" t="s">
        <v>256</v>
      </c>
      <c r="I32" s="157" t="s">
        <v>346</v>
      </c>
      <c r="J32" s="157"/>
      <c r="K32" s="157"/>
    </row>
    <row r="33" spans="2:11" ht="20.100000000000001" customHeight="1" x14ac:dyDescent="0.25">
      <c r="B33" s="83">
        <v>4</v>
      </c>
      <c r="C33" s="81">
        <v>0.60599999999999998</v>
      </c>
      <c r="D33" s="81">
        <v>0.34</v>
      </c>
      <c r="E33" s="82">
        <v>1330</v>
      </c>
      <c r="F33" s="81">
        <v>0.40699999999999997</v>
      </c>
      <c r="H33" s="49" t="s">
        <v>318</v>
      </c>
      <c r="I33" s="157" t="s">
        <v>346</v>
      </c>
      <c r="J33" s="157"/>
      <c r="K33" s="157"/>
    </row>
    <row r="34" spans="2:11" ht="20.100000000000001" customHeight="1" x14ac:dyDescent="0.25">
      <c r="B34" s="83">
        <v>5</v>
      </c>
      <c r="C34" s="81">
        <v>0.63600000000000001</v>
      </c>
      <c r="D34" s="81">
        <v>0.35699999999999998</v>
      </c>
      <c r="E34" s="82">
        <v>1395</v>
      </c>
      <c r="F34" s="81">
        <v>0.42699999999999999</v>
      </c>
      <c r="H34" s="49" t="s">
        <v>319</v>
      </c>
      <c r="I34" s="157" t="s">
        <v>346</v>
      </c>
      <c r="J34" s="157"/>
      <c r="K34" s="157"/>
    </row>
    <row r="35" spans="2:11" ht="20.100000000000001" customHeight="1" x14ac:dyDescent="0.25">
      <c r="B35" s="83">
        <v>6</v>
      </c>
      <c r="C35" s="81">
        <v>0.66500000000000004</v>
      </c>
      <c r="D35" s="81">
        <v>0.374</v>
      </c>
      <c r="E35" s="82">
        <v>1457</v>
      </c>
      <c r="F35" s="81">
        <v>0.44700000000000001</v>
      </c>
      <c r="H35" s="49" t="s">
        <v>323</v>
      </c>
      <c r="I35" s="157" t="s">
        <v>346</v>
      </c>
      <c r="J35" s="157"/>
      <c r="K35" s="157"/>
    </row>
    <row r="36" spans="2:11" ht="20.100000000000001" customHeight="1" x14ac:dyDescent="0.25">
      <c r="B36" s="84">
        <v>7</v>
      </c>
      <c r="C36" s="81">
        <v>0.69699999999999995</v>
      </c>
      <c r="D36" s="81">
        <v>0.39400000000000002</v>
      </c>
      <c r="E36" s="82">
        <v>1515</v>
      </c>
      <c r="F36" s="81">
        <v>0.47</v>
      </c>
      <c r="H36" s="49" t="s">
        <v>321</v>
      </c>
      <c r="I36" s="157" t="s">
        <v>353</v>
      </c>
      <c r="J36" s="157"/>
      <c r="K36" s="157"/>
    </row>
    <row r="37" spans="2:11" ht="18.95" customHeight="1" x14ac:dyDescent="0.25">
      <c r="H37" s="49" t="s">
        <v>405</v>
      </c>
      <c r="I37" s="157" t="s">
        <v>353</v>
      </c>
      <c r="J37" s="157"/>
      <c r="K37" s="157"/>
    </row>
    <row r="38" spans="2:11" ht="18.95" customHeight="1" x14ac:dyDescent="0.25">
      <c r="H38" s="49" t="s">
        <v>260</v>
      </c>
      <c r="I38" s="157" t="s">
        <v>353</v>
      </c>
      <c r="J38" s="157"/>
      <c r="K38" s="157"/>
    </row>
    <row r="39" spans="2:11" ht="18.95" customHeight="1" x14ac:dyDescent="0.25">
      <c r="H39" s="49" t="s">
        <v>284</v>
      </c>
      <c r="I39" s="157" t="s">
        <v>359</v>
      </c>
      <c r="J39" s="157"/>
      <c r="K39" s="157"/>
    </row>
    <row r="40" spans="2:11" ht="18.95" customHeight="1" x14ac:dyDescent="0.25">
      <c r="H40" s="49" t="s">
        <v>406</v>
      </c>
      <c r="I40" s="157" t="s">
        <v>359</v>
      </c>
      <c r="J40" s="157"/>
      <c r="K40" s="157"/>
    </row>
    <row r="41" spans="2:11" ht="18.95" customHeight="1" x14ac:dyDescent="0.25">
      <c r="H41" s="49" t="s">
        <v>225</v>
      </c>
      <c r="I41" s="157" t="s">
        <v>225</v>
      </c>
      <c r="J41" s="157"/>
      <c r="K41" s="157"/>
    </row>
    <row r="42" spans="2:11" ht="18.95" customHeight="1" x14ac:dyDescent="0.25">
      <c r="H42" s="49" t="s">
        <v>239</v>
      </c>
      <c r="I42" s="157" t="s">
        <v>239</v>
      </c>
      <c r="J42" s="157"/>
      <c r="K42" s="157"/>
    </row>
    <row r="43" spans="2:11" ht="18.95" customHeight="1" x14ac:dyDescent="0.25">
      <c r="H43" s="49" t="s">
        <v>213</v>
      </c>
      <c r="I43" s="157" t="s">
        <v>374</v>
      </c>
      <c r="J43" s="157"/>
      <c r="K43" s="157"/>
    </row>
    <row r="44" spans="2:11" ht="18.95" customHeight="1" x14ac:dyDescent="0.25">
      <c r="H44" s="49" t="s">
        <v>217</v>
      </c>
      <c r="I44" s="157" t="s">
        <v>374</v>
      </c>
      <c r="J44" s="157"/>
      <c r="K44" s="157"/>
    </row>
    <row r="45" spans="2:11" ht="18.95" customHeight="1" x14ac:dyDescent="0.25">
      <c r="H45" s="49" t="s">
        <v>221</v>
      </c>
      <c r="I45" s="157" t="s">
        <v>378</v>
      </c>
      <c r="J45" s="157"/>
      <c r="K45" s="157"/>
    </row>
    <row r="46" spans="2:11" ht="18.95" customHeight="1" x14ac:dyDescent="0.25">
      <c r="H46" s="49" t="s">
        <v>292</v>
      </c>
      <c r="I46" s="157" t="s">
        <v>378</v>
      </c>
      <c r="J46" s="157"/>
      <c r="K46" s="157"/>
    </row>
    <row r="47" spans="2:11" ht="18.95" customHeight="1" x14ac:dyDescent="0.25">
      <c r="H47" s="49" t="s">
        <v>407</v>
      </c>
      <c r="I47" s="157" t="s">
        <v>378</v>
      </c>
      <c r="J47" s="157"/>
      <c r="K47" s="157"/>
    </row>
    <row r="48" spans="2:11" ht="18.95" customHeight="1" x14ac:dyDescent="0.25">
      <c r="H48" s="49"/>
      <c r="I48" s="157"/>
      <c r="J48" s="157"/>
      <c r="K48" s="157"/>
    </row>
    <row r="49" spans="8:11" ht="18.95" customHeight="1" x14ac:dyDescent="0.25">
      <c r="H49" s="49"/>
      <c r="I49" s="157"/>
      <c r="J49" s="157"/>
      <c r="K49" s="157"/>
    </row>
    <row r="50" spans="8:11" ht="18.95" customHeight="1" x14ac:dyDescent="0.25">
      <c r="H50" s="49"/>
      <c r="I50" s="157"/>
      <c r="J50" s="157"/>
      <c r="K50" s="157"/>
    </row>
    <row r="51" spans="8:11" ht="18.95" customHeight="1" x14ac:dyDescent="0.25">
      <c r="H51" s="49"/>
      <c r="I51" s="157"/>
      <c r="J51" s="157"/>
      <c r="K51" s="157"/>
    </row>
  </sheetData>
  <mergeCells count="66">
    <mergeCell ref="I7:K7"/>
    <mergeCell ref="E21:F21"/>
    <mergeCell ref="I49:K49"/>
    <mergeCell ref="I36:K36"/>
    <mergeCell ref="E25:F25"/>
    <mergeCell ref="I45:K45"/>
    <mergeCell ref="C12:F12"/>
    <mergeCell ref="C19:D19"/>
    <mergeCell ref="E22:F22"/>
    <mergeCell ref="I51:K51"/>
    <mergeCell ref="I38:K38"/>
    <mergeCell ref="J4:K4"/>
    <mergeCell ref="I10:K10"/>
    <mergeCell ref="C21:D21"/>
    <mergeCell ref="I13:K13"/>
    <mergeCell ref="I50:K50"/>
    <mergeCell ref="C27:D27"/>
    <mergeCell ref="I9:K9"/>
    <mergeCell ref="E27:F27"/>
    <mergeCell ref="I31:K31"/>
    <mergeCell ref="I34:K34"/>
    <mergeCell ref="I40:K40"/>
    <mergeCell ref="C10:F10"/>
    <mergeCell ref="E26:F26"/>
    <mergeCell ref="C23:D23"/>
    <mergeCell ref="I8:K8"/>
    <mergeCell ref="I39:K39"/>
    <mergeCell ref="I48:K48"/>
    <mergeCell ref="C22:D22"/>
    <mergeCell ref="I35:K35"/>
    <mergeCell ref="I20:K20"/>
    <mergeCell ref="I44:K44"/>
    <mergeCell ref="C14:F14"/>
    <mergeCell ref="I15:K15"/>
    <mergeCell ref="B30:F30"/>
    <mergeCell ref="C9:F9"/>
    <mergeCell ref="I11:K11"/>
    <mergeCell ref="I46:K46"/>
    <mergeCell ref="C11:F11"/>
    <mergeCell ref="C8:F8"/>
    <mergeCell ref="E24:F24"/>
    <mergeCell ref="I22:K22"/>
    <mergeCell ref="I37:K37"/>
    <mergeCell ref="C7:F7"/>
    <mergeCell ref="E23:F23"/>
    <mergeCell ref="I12:K12"/>
    <mergeCell ref="I21:K21"/>
    <mergeCell ref="C26:D26"/>
    <mergeCell ref="C13:F13"/>
    <mergeCell ref="C20:D20"/>
    <mergeCell ref="I33:K33"/>
    <mergeCell ref="E20:F20"/>
    <mergeCell ref="I24:K24"/>
    <mergeCell ref="H30:K30"/>
    <mergeCell ref="I14:K14"/>
    <mergeCell ref="I41:K41"/>
    <mergeCell ref="I16:K16"/>
    <mergeCell ref="I47:K47"/>
    <mergeCell ref="I32:K32"/>
    <mergeCell ref="C24:D24"/>
    <mergeCell ref="I43:K43"/>
    <mergeCell ref="I42:K42"/>
    <mergeCell ref="C25:D25"/>
    <mergeCell ref="E19:F19"/>
    <mergeCell ref="I23:K23"/>
    <mergeCell ref="I25:K25"/>
  </mergeCells>
  <dataValidations count="12">
    <dataValidation type="whole" allowBlank="1" showErrorMessage="1" errorTitle="Valeur non valide" error="Saisissez un nombre positif." sqref="I20:I22" xr:uid="{00000000-0002-0000-0500-000000000000}">
      <formula1>0</formula1>
      <formula2>100000</formula2>
    </dataValidation>
    <dataValidation type="list" allowBlank="1" showInputMessage="1" showErrorMessage="1" errorTitle="Valeur non prévue" error="Choisissez une valeur dans la liste déroulante." promptTitle="Indemnités kilométriques" prompt="Indiquez si les trajets domicile – travail entrent dans la base des indemnités kilométriques." sqref="I23" xr:uid="{00000000-0002-0000-0500-000001000000}">
      <formula1>"Oui,Non"</formula1>
    </dataValidation>
    <dataValidation type="decimal" allowBlank="1" showErrorMessage="1" errorTitle="Valeur non valide" error="Saisissez un pourcentage entre 0 % et 100 %." sqref="I24:I25" xr:uid="{00000000-0002-0000-0500-000002000000}">
      <formula1>0</formula1>
      <formula2>1</formula2>
    </dataValidation>
    <dataValidation type="decimal" allowBlank="1" showErrorMessage="1" errorTitle="Valeur non valide" error="Saisissez un nombre positif." sqref="C32:F36" xr:uid="{00000000-0002-0000-0500-000003000000}">
      <formula1>0</formula1>
      <formula2>100000</formula2>
    </dataValidation>
    <dataValidation type="list" allowBlank="1" showErrorMessage="1" errorTitle="Valeur non prévue" error="Choisissez une valeur dans la liste déroulante." sqref="I32:I51" xr:uid="{00000000-0002-0000-0500-000004000000}">
      <formula1>ListePostes</formula1>
    </dataValidation>
    <dataValidation type="list" allowBlank="1" showInputMessage="1" showErrorMessage="1" errorTitle="Valeur non prévue" error="Choisissez une valeur dans la liste déroulante." promptTitle="Énergie" prompt="L'énergie « Électrique » affiche les quantités en kWh et applique la majoration des IK." sqref="C10" xr:uid="{00000000-0002-0000-0500-000005000000}">
      <formula1>ListeEnergies</formula1>
    </dataValidation>
    <dataValidation type="list" allowBlank="1" showInputMessage="1" showErrorMessage="1" errorTitle="Valeur non prévue" error="Choisissez une valeur dans la liste déroulante." promptTitle="Statut du véhicule" prompt="« Véhicule personnel » : calcul des indemnités kilométriques. Autres statuts : suivi des kilomètres privés." sqref="I7" xr:uid="{00000000-0002-0000-0500-000006000000}">
      <formula1>ListeStatuts</formula1>
    </dataValidation>
    <dataValidation type="whole" allowBlank="1" showErrorMessage="1" errorTitle="Valeur non valide" error="Puissance fiscale en CV (case P.6 du certificat d'immatriculation)." sqref="C11" xr:uid="{00000000-0002-0000-0500-000007000000}">
      <formula1>1</formula1>
      <formula2>100</formula2>
    </dataValidation>
    <dataValidation type="date" allowBlank="1" showErrorMessage="1" errorTitle="Date non valide" error="Saisissez une date au format jj/mm/aaaa." sqref="C12 I9" xr:uid="{00000000-0002-0000-0500-000008000000}">
      <formula1>36526</formula1>
      <formula2>73051</formula2>
    </dataValidation>
    <dataValidation type="decimal" allowBlank="1" showErrorMessage="1" errorTitle="Valeur non valide" error="Saisissez un nombre positif." sqref="C14" xr:uid="{00000000-0002-0000-0500-00000A000000}">
      <formula1>0</formula1>
      <formula2>1000</formula2>
    </dataValidation>
    <dataValidation type="whole" allowBlank="1" showErrorMessage="1" errorTitle="Valeur non valide" error="Saisissez un nombre positif." sqref="I10" xr:uid="{00000000-0002-0000-0500-00000B000000}">
      <formula1>0</formula1>
      <formula2>2000000</formula2>
    </dataValidation>
    <dataValidation type="list" allowBlank="1" showErrorMessage="1" errorTitle="Valeur non prévue" error="Choisissez une valeur dans la liste déroulante." sqref="C20:C27" xr:uid="{00000000-0002-0000-0500-00000C000000}">
      <formula1>ListeRoles</formula1>
    </dataValidation>
  </dataValidations>
  <printOptions horizontalCentered="1"/>
  <pageMargins left="0.35" right="0.35" top="0.45" bottom="0.55000000000000004" header="0.5" footer="0.5"/>
  <pageSetup paperSize="9" orientation="landscape"/>
  <headerFooter>
    <oddFooter>&amp;L&amp;8 &amp;K7A828CCarnet de bord du véhicule – &amp;A&amp;R&amp;8 &amp;K7A828CPage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B8BDC4"/>
    <pageSetUpPr fitToPage="1"/>
  </sheetPr>
  <dimension ref="A1:E48"/>
  <sheetViews>
    <sheetView showGridLines="0" workbookViewId="0"/>
  </sheetViews>
  <sheetFormatPr baseColWidth="10" defaultColWidth="9.140625" defaultRowHeight="15" x14ac:dyDescent="0.25"/>
  <cols>
    <col min="1" max="1" width="3" customWidth="1"/>
    <col min="2" max="2" width="7" customWidth="1"/>
    <col min="3" max="3" width="26" customWidth="1"/>
    <col min="4" max="4" width="100" customWidth="1"/>
    <col min="5" max="5" width="3" customWidth="1"/>
  </cols>
  <sheetData>
    <row r="1" spans="1:5" ht="30" customHeight="1" x14ac:dyDescent="0.35">
      <c r="A1" s="1"/>
      <c r="B1" s="39" t="s">
        <v>408</v>
      </c>
    </row>
    <row r="2" spans="1:5" ht="18" customHeight="1" x14ac:dyDescent="0.25">
      <c r="A2" s="1"/>
      <c r="B2" s="41" t="s">
        <v>409</v>
      </c>
    </row>
    <row r="3" spans="1:5" ht="3" customHeight="1" x14ac:dyDescent="0.25">
      <c r="A3" s="4"/>
      <c r="B3" s="4"/>
      <c r="C3" s="4"/>
      <c r="D3" s="4"/>
      <c r="E3" s="4"/>
    </row>
    <row r="4" spans="1:5" ht="21.95" customHeight="1" x14ac:dyDescent="0.25">
      <c r="B4" s="43" t="s">
        <v>410</v>
      </c>
    </row>
    <row r="5" spans="1:5" ht="8.1" customHeight="1" x14ac:dyDescent="0.25"/>
    <row r="6" spans="1:5" ht="26.1" customHeight="1" x14ac:dyDescent="0.25">
      <c r="B6" s="74" t="s">
        <v>411</v>
      </c>
      <c r="C6" s="75"/>
      <c r="D6" s="75"/>
    </row>
    <row r="7" spans="1:5" ht="45.95" customHeight="1" x14ac:dyDescent="0.25">
      <c r="B7" s="192" t="s">
        <v>412</v>
      </c>
      <c r="C7" s="119"/>
      <c r="D7" s="119"/>
    </row>
    <row r="9" spans="1:5" ht="26.1" customHeight="1" x14ac:dyDescent="0.25">
      <c r="B9" s="74" t="s">
        <v>413</v>
      </c>
      <c r="C9" s="75"/>
      <c r="D9" s="75"/>
    </row>
    <row r="10" spans="1:5" ht="33.950000000000003" customHeight="1" x14ac:dyDescent="0.25">
      <c r="B10" s="85">
        <v>1</v>
      </c>
      <c r="C10" s="86" t="s">
        <v>414</v>
      </c>
      <c r="D10" s="87" t="s">
        <v>415</v>
      </c>
    </row>
    <row r="11" spans="1:5" ht="33.950000000000003" customHeight="1" x14ac:dyDescent="0.25">
      <c r="B11" s="85">
        <v>2</v>
      </c>
      <c r="C11" s="86" t="s">
        <v>416</v>
      </c>
      <c r="D11" s="87" t="s">
        <v>417</v>
      </c>
    </row>
    <row r="12" spans="1:5" ht="33.950000000000003" customHeight="1" x14ac:dyDescent="0.25">
      <c r="B12" s="85">
        <v>3</v>
      </c>
      <c r="C12" s="86" t="s">
        <v>418</v>
      </c>
      <c r="D12" s="87" t="s">
        <v>419</v>
      </c>
    </row>
    <row r="13" spans="1:5" ht="33.950000000000003" customHeight="1" x14ac:dyDescent="0.25">
      <c r="B13" s="85">
        <v>4</v>
      </c>
      <c r="C13" s="86" t="s">
        <v>420</v>
      </c>
      <c r="D13" s="87" t="s">
        <v>421</v>
      </c>
    </row>
    <row r="14" spans="1:5" ht="33.950000000000003" customHeight="1" x14ac:dyDescent="0.25">
      <c r="B14" s="85">
        <v>5</v>
      </c>
      <c r="C14" s="86" t="s">
        <v>422</v>
      </c>
      <c r="D14" s="87" t="s">
        <v>423</v>
      </c>
    </row>
    <row r="15" spans="1:5" ht="33.950000000000003" customHeight="1" x14ac:dyDescent="0.25">
      <c r="B15" s="85">
        <v>6</v>
      </c>
      <c r="C15" s="86" t="s">
        <v>424</v>
      </c>
      <c r="D15" s="87" t="s">
        <v>425</v>
      </c>
    </row>
    <row r="17" spans="2:4" ht="26.1" customHeight="1" x14ac:dyDescent="0.25">
      <c r="B17" s="74" t="s">
        <v>426</v>
      </c>
      <c r="C17" s="75"/>
      <c r="D17" s="75"/>
    </row>
    <row r="18" spans="2:4" ht="21" customHeight="1" x14ac:dyDescent="0.25">
      <c r="B18" s="184" t="s">
        <v>90</v>
      </c>
      <c r="C18" s="185"/>
      <c r="D18" s="87" t="s">
        <v>427</v>
      </c>
    </row>
    <row r="19" spans="2:4" ht="21" customHeight="1" x14ac:dyDescent="0.25">
      <c r="B19" s="190" t="s">
        <v>428</v>
      </c>
      <c r="C19" s="191"/>
      <c r="D19" s="87" t="s">
        <v>429</v>
      </c>
    </row>
    <row r="20" spans="2:4" ht="21" customHeight="1" x14ac:dyDescent="0.25">
      <c r="B20" s="193" t="s">
        <v>430</v>
      </c>
      <c r="C20" s="194"/>
      <c r="D20" s="87" t="s">
        <v>431</v>
      </c>
    </row>
    <row r="21" spans="2:4" ht="21" customHeight="1" x14ac:dyDescent="0.25">
      <c r="B21" s="186" t="s">
        <v>432</v>
      </c>
      <c r="C21" s="187"/>
      <c r="D21" s="87" t="s">
        <v>433</v>
      </c>
    </row>
    <row r="22" spans="2:4" ht="21" customHeight="1" x14ac:dyDescent="0.25">
      <c r="B22" s="180" t="s">
        <v>434</v>
      </c>
      <c r="C22" s="181"/>
      <c r="D22" s="87" t="s">
        <v>435</v>
      </c>
    </row>
    <row r="23" spans="2:4" ht="21" customHeight="1" x14ac:dyDescent="0.25">
      <c r="B23" s="182" t="s">
        <v>436</v>
      </c>
      <c r="C23" s="183"/>
      <c r="D23" s="87" t="s">
        <v>437</v>
      </c>
    </row>
    <row r="24" spans="2:4" ht="21" customHeight="1" x14ac:dyDescent="0.25">
      <c r="B24" s="188" t="s">
        <v>438</v>
      </c>
      <c r="C24" s="189"/>
      <c r="D24" s="87" t="s">
        <v>439</v>
      </c>
    </row>
    <row r="26" spans="2:4" ht="26.1" customHeight="1" x14ac:dyDescent="0.25">
      <c r="B26" s="74" t="s">
        <v>440</v>
      </c>
      <c r="C26" s="75"/>
      <c r="D26" s="75"/>
    </row>
    <row r="27" spans="2:4" ht="21" customHeight="1" x14ac:dyDescent="0.25">
      <c r="B27" s="182" t="s">
        <v>441</v>
      </c>
      <c r="C27" s="183"/>
      <c r="D27" s="87" t="s">
        <v>442</v>
      </c>
    </row>
    <row r="28" spans="2:4" ht="21" customHeight="1" x14ac:dyDescent="0.25">
      <c r="B28" s="182" t="s">
        <v>443</v>
      </c>
      <c r="C28" s="183"/>
      <c r="D28" s="87" t="s">
        <v>444</v>
      </c>
    </row>
    <row r="29" spans="2:4" ht="21" customHeight="1" x14ac:dyDescent="0.25">
      <c r="B29" s="188" t="s">
        <v>445</v>
      </c>
      <c r="C29" s="189"/>
      <c r="D29" s="87" t="s">
        <v>446</v>
      </c>
    </row>
    <row r="30" spans="2:4" ht="21" customHeight="1" x14ac:dyDescent="0.25">
      <c r="B30" s="188" t="s">
        <v>447</v>
      </c>
      <c r="C30" s="189"/>
      <c r="D30" s="87" t="s">
        <v>448</v>
      </c>
    </row>
    <row r="31" spans="2:4" ht="21" customHeight="1" x14ac:dyDescent="0.25">
      <c r="B31" s="182" t="s">
        <v>449</v>
      </c>
      <c r="C31" s="183"/>
      <c r="D31" s="87" t="s">
        <v>450</v>
      </c>
    </row>
    <row r="32" spans="2:4" ht="21" customHeight="1" x14ac:dyDescent="0.25">
      <c r="B32" s="182" t="s">
        <v>451</v>
      </c>
      <c r="C32" s="183"/>
      <c r="D32" s="87" t="s">
        <v>452</v>
      </c>
    </row>
    <row r="33" spans="2:4" ht="21" customHeight="1" x14ac:dyDescent="0.25">
      <c r="B33" s="188" t="s">
        <v>453</v>
      </c>
      <c r="C33" s="189"/>
      <c r="D33" s="87" t="s">
        <v>454</v>
      </c>
    </row>
    <row r="34" spans="2:4" ht="21" customHeight="1" x14ac:dyDescent="0.25">
      <c r="B34" s="182" t="s">
        <v>455</v>
      </c>
      <c r="C34" s="183"/>
      <c r="D34" s="87" t="s">
        <v>456</v>
      </c>
    </row>
    <row r="36" spans="2:4" ht="26.1" customHeight="1" x14ac:dyDescent="0.25">
      <c r="B36" s="74" t="s">
        <v>457</v>
      </c>
      <c r="C36" s="75"/>
      <c r="D36" s="75"/>
    </row>
    <row r="37" spans="2:4" ht="30" customHeight="1" x14ac:dyDescent="0.25">
      <c r="B37" s="88" t="s">
        <v>458</v>
      </c>
      <c r="C37" s="179" t="s">
        <v>459</v>
      </c>
      <c r="D37" s="119"/>
    </row>
    <row r="38" spans="2:4" ht="30" customHeight="1" x14ac:dyDescent="0.25">
      <c r="B38" s="88" t="s">
        <v>458</v>
      </c>
      <c r="C38" s="179" t="s">
        <v>460</v>
      </c>
      <c r="D38" s="119"/>
    </row>
    <row r="39" spans="2:4" ht="30" customHeight="1" x14ac:dyDescent="0.25">
      <c r="B39" s="88" t="s">
        <v>458</v>
      </c>
      <c r="C39" s="179" t="s">
        <v>461</v>
      </c>
      <c r="D39" s="119"/>
    </row>
    <row r="40" spans="2:4" ht="30" customHeight="1" x14ac:dyDescent="0.25">
      <c r="B40" s="88" t="s">
        <v>458</v>
      </c>
      <c r="C40" s="179" t="s">
        <v>462</v>
      </c>
      <c r="D40" s="119"/>
    </row>
    <row r="41" spans="2:4" ht="30" customHeight="1" x14ac:dyDescent="0.25">
      <c r="B41" s="88" t="s">
        <v>458</v>
      </c>
      <c r="C41" s="179" t="s">
        <v>463</v>
      </c>
      <c r="D41" s="119"/>
    </row>
    <row r="42" spans="2:4" ht="30" customHeight="1" x14ac:dyDescent="0.25">
      <c r="B42" s="88" t="s">
        <v>458</v>
      </c>
      <c r="C42" s="179" t="s">
        <v>464</v>
      </c>
      <c r="D42" s="119"/>
    </row>
    <row r="44" spans="2:4" ht="26.1" customHeight="1" x14ac:dyDescent="0.25">
      <c r="B44" s="74" t="s">
        <v>465</v>
      </c>
      <c r="C44" s="75"/>
      <c r="D44" s="75"/>
    </row>
    <row r="45" spans="2:4" ht="20.100000000000001" customHeight="1" x14ac:dyDescent="0.25">
      <c r="B45" s="88" t="s">
        <v>458</v>
      </c>
      <c r="C45" s="179" t="s">
        <v>466</v>
      </c>
      <c r="D45" s="119"/>
    </row>
    <row r="46" spans="2:4" ht="30" customHeight="1" x14ac:dyDescent="0.25">
      <c r="B46" s="88" t="s">
        <v>458</v>
      </c>
      <c r="C46" s="179" t="s">
        <v>467</v>
      </c>
      <c r="D46" s="119"/>
    </row>
    <row r="47" spans="2:4" ht="30" customHeight="1" x14ac:dyDescent="0.25">
      <c r="B47" s="88" t="s">
        <v>458</v>
      </c>
      <c r="C47" s="179" t="s">
        <v>468</v>
      </c>
      <c r="D47" s="119"/>
    </row>
    <row r="48" spans="2:4" ht="30" customHeight="1" x14ac:dyDescent="0.25">
      <c r="B48" s="88" t="s">
        <v>458</v>
      </c>
      <c r="C48" s="179" t="s">
        <v>469</v>
      </c>
      <c r="D48" s="119"/>
    </row>
  </sheetData>
  <mergeCells count="26">
    <mergeCell ref="B7:D7"/>
    <mergeCell ref="C48:D48"/>
    <mergeCell ref="C39:D39"/>
    <mergeCell ref="B24:C24"/>
    <mergeCell ref="B30:C30"/>
    <mergeCell ref="C38:D38"/>
    <mergeCell ref="B33:C33"/>
    <mergeCell ref="B20:C20"/>
    <mergeCell ref="C37:D37"/>
    <mergeCell ref="B32:C32"/>
    <mergeCell ref="B18:C18"/>
    <mergeCell ref="B21:C21"/>
    <mergeCell ref="C47:D47"/>
    <mergeCell ref="C41:D41"/>
    <mergeCell ref="B23:C23"/>
    <mergeCell ref="C40:D40"/>
    <mergeCell ref="C46:D46"/>
    <mergeCell ref="B29:C29"/>
    <mergeCell ref="B19:C19"/>
    <mergeCell ref="B34:C34"/>
    <mergeCell ref="B28:C28"/>
    <mergeCell ref="C42:D42"/>
    <mergeCell ref="B22:C22"/>
    <mergeCell ref="C45:D45"/>
    <mergeCell ref="B31:C31"/>
    <mergeCell ref="B27:C27"/>
  </mergeCells>
  <hyperlinks>
    <hyperlink ref="C10" location="'Véhicule'!A1" display="Véhicule" xr:uid="{00000000-0004-0000-0600-000000000000}"/>
    <hyperlink ref="C11" location="'Échéances'!A1" display="Échéances" xr:uid="{00000000-0004-0000-0600-000001000000}"/>
    <hyperlink ref="C12" location="'Trajets'!A1" display="Trajets" xr:uid="{00000000-0004-0000-0600-000002000000}"/>
    <hyperlink ref="C13" location="'Carburant'!A1" display="Carburant" xr:uid="{00000000-0004-0000-0600-000003000000}"/>
    <hyperlink ref="C14" location="'Frais &amp; entretien'!A1" display="Frais &amp; entretien" xr:uid="{00000000-0004-0000-0600-000004000000}"/>
    <hyperlink ref="C15" location="'Tableau de bord'!A1" display="Tableau de bord" xr:uid="{00000000-0004-0000-0600-000005000000}"/>
  </hyperlinks>
  <printOptions horizontalCentered="1"/>
  <pageMargins left="0.35" right="0.35" top="0.45" bottom="0.55000000000000004" header="0.5" footer="0.5"/>
  <pageSetup paperSize="9" fitToHeight="0" orientation="portrait"/>
  <headerFooter>
    <oddFooter>&amp;L&amp;8 &amp;K7A828CCarnet de bord du véhicule – &amp;A&amp;R&amp;8 &amp;K7A828CPage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39</vt:i4>
      </vt:variant>
    </vt:vector>
  </HeadingPairs>
  <TitlesOfParts>
    <vt:vector size="46" baseType="lpstr">
      <vt:lpstr>Tableau de bord</vt:lpstr>
      <vt:lpstr>Trajets</vt:lpstr>
      <vt:lpstr>Carburant</vt:lpstr>
      <vt:lpstr>Frais &amp; entretien</vt:lpstr>
      <vt:lpstr>Échéances</vt:lpstr>
      <vt:lpstr>Véhicule</vt:lpstr>
      <vt:lpstr>Mode d'emploi</vt:lpstr>
      <vt:lpstr>AlerteJours</vt:lpstr>
      <vt:lpstr>AlerteKm</vt:lpstr>
      <vt:lpstr>AnneeSuivi</vt:lpstr>
      <vt:lpstr>BaremeCV</vt:lpstr>
      <vt:lpstr>BaremeF2</vt:lpstr>
      <vt:lpstr>BaremeT1</vt:lpstr>
      <vt:lpstr>BaremeT2</vt:lpstr>
      <vt:lpstr>BaremeT3</vt:lpstr>
      <vt:lpstr>Capacite</vt:lpstr>
      <vt:lpstr>Conducteurs</vt:lpstr>
      <vt:lpstr>ConsoMoyenne</vt:lpstr>
      <vt:lpstr>DateMEC</vt:lpstr>
      <vt:lpstr>DateOuverture</vt:lpstr>
      <vt:lpstr>DateSituation</vt:lpstr>
      <vt:lpstr>Carburant!Druckbereich</vt:lpstr>
      <vt:lpstr>Échéances!Druckbereich</vt:lpstr>
      <vt:lpstr>'Frais &amp; entretien'!Druckbereich</vt:lpstr>
      <vt:lpstr>'Mode d''emploi'!Druckbereich</vt:lpstr>
      <vt:lpstr>'Tableau de bord'!Druckbereich</vt:lpstr>
      <vt:lpstr>Trajets!Druckbereich</vt:lpstr>
      <vt:lpstr>Véhicule!Druckbereich</vt:lpstr>
      <vt:lpstr>Carburant!Drucktitel</vt:lpstr>
      <vt:lpstr>'Frais &amp; entretien'!Drucktitel</vt:lpstr>
      <vt:lpstr>Trajets!Drucktitel</vt:lpstr>
      <vt:lpstr>Energie</vt:lpstr>
      <vt:lpstr>Immatriculation</vt:lpstr>
      <vt:lpstr>InclureDT</vt:lpstr>
      <vt:lpstr>KmActuel</vt:lpstr>
      <vt:lpstr>KmOuverture</vt:lpstr>
      <vt:lpstr>MajorationElec</vt:lpstr>
      <vt:lpstr>Marque</vt:lpstr>
      <vt:lpstr>Modele</vt:lpstr>
      <vt:lpstr>NaturesNoms</vt:lpstr>
      <vt:lpstr>NaturesPoste</vt:lpstr>
      <vt:lpstr>PuissanceCV</vt:lpstr>
      <vt:lpstr>SeuilConso</vt:lpstr>
      <vt:lpstr>Statut</vt:lpstr>
      <vt:lpstr>ToleranceKm</vt:lpstr>
      <vt:lpstr>UniteQte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Carnet de bord du véhicule</dc:title>
  <dc:subject>Suivi des trajets, du carburant, des frais et des échéances d'un véhicule</dc:subject>
  <dc:creator>Carnet de bord du véhicule</dc:creator>
  <cp:lastModifiedBy>Sergio Jiménez Canales</cp:lastModifiedBy>
  <dcterms:created xsi:type="dcterms:W3CDTF">2026-09-23T11:21:20Z</dcterms:created>
  <dcterms:modified xsi:type="dcterms:W3CDTF">2026-09-27T15:16:49Z</dcterms:modified>
</cp:coreProperties>
</file>