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73E519BE-C373-4518-B82B-0392E6D9A2B7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État d'acompte" sheetId="1" r:id="rId1"/>
    <sheet name="Situation détaillée" sheetId="2" r:id="rId2"/>
    <sheet name="Suivi des acomptes" sheetId="3" r:id="rId3"/>
    <sheet name="Notice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2" i="3" l="1"/>
  <c r="C12" i="3"/>
  <c r="B12" i="3"/>
  <c r="K15" i="2"/>
  <c r="J15" i="2"/>
  <c r="H15" i="2"/>
  <c r="F15" i="2"/>
  <c r="K14" i="2"/>
  <c r="J14" i="2"/>
  <c r="H14" i="2"/>
  <c r="F14" i="2"/>
  <c r="F13" i="2"/>
  <c r="F12" i="2"/>
  <c r="F11" i="2"/>
  <c r="F10" i="2"/>
  <c r="I10" i="2" s="1"/>
  <c r="F9" i="2"/>
  <c r="F8" i="2"/>
  <c r="F7" i="2"/>
  <c r="I7" i="2" s="1"/>
  <c r="F6" i="2"/>
  <c r="H6" i="2" s="1"/>
  <c r="F5" i="2"/>
  <c r="F4" i="2"/>
  <c r="I4" i="2" s="1"/>
  <c r="E32" i="1"/>
  <c r="E2" i="1"/>
  <c r="K6" i="2" l="1"/>
  <c r="H11" i="2"/>
  <c r="J11" i="2" s="1"/>
  <c r="F16" i="2"/>
  <c r="K7" i="2"/>
  <c r="H8" i="2"/>
  <c r="K8" i="2" s="1"/>
  <c r="H12" i="2"/>
  <c r="I8" i="2"/>
  <c r="I16" i="2" s="1"/>
  <c r="C19" i="1" s="1"/>
  <c r="I12" i="2"/>
  <c r="K4" i="2"/>
  <c r="H5" i="2"/>
  <c r="J5" i="2" s="1"/>
  <c r="H9" i="2"/>
  <c r="J9" i="2" s="1"/>
  <c r="H13" i="2"/>
  <c r="J13" i="2" s="1"/>
  <c r="I5" i="2"/>
  <c r="I9" i="2"/>
  <c r="I13" i="2"/>
  <c r="H10" i="2"/>
  <c r="I6" i="2"/>
  <c r="J6" i="2" s="1"/>
  <c r="H7" i="2"/>
  <c r="J7" i="2" s="1"/>
  <c r="I11" i="2"/>
  <c r="H4" i="2"/>
  <c r="C20" i="1" l="1"/>
  <c r="C21" i="1" s="1"/>
  <c r="F14" i="3"/>
  <c r="F15" i="3"/>
  <c r="C13" i="1"/>
  <c r="F11" i="3"/>
  <c r="F10" i="3"/>
  <c r="F9" i="3"/>
  <c r="B5" i="3"/>
  <c r="F13" i="3"/>
  <c r="J4" i="2"/>
  <c r="H16" i="2"/>
  <c r="G16" i="2" s="1"/>
  <c r="J12" i="2"/>
  <c r="K13" i="2"/>
  <c r="K12" i="2"/>
  <c r="K9" i="2"/>
  <c r="J8" i="2"/>
  <c r="K11" i="2"/>
  <c r="J10" i="2"/>
  <c r="K10" i="2"/>
  <c r="K5" i="2"/>
  <c r="K16" i="2" s="1"/>
  <c r="C23" i="1" l="1"/>
  <c r="C25" i="1" s="1"/>
  <c r="F5" i="3"/>
  <c r="C22" i="1"/>
  <c r="C24" i="1" s="1"/>
  <c r="E12" i="3"/>
  <c r="F12" i="3" s="1"/>
  <c r="D5" i="3"/>
  <c r="D19" i="1"/>
  <c r="J16" i="2"/>
  <c r="E19" i="1" l="1"/>
  <c r="D20" i="1"/>
  <c r="E20" i="1" s="1"/>
  <c r="D22" i="1"/>
  <c r="D24" i="1" l="1"/>
  <c r="E24" i="1" s="1"/>
  <c r="E31" i="1" s="1"/>
  <c r="E22" i="1"/>
  <c r="D21" i="1"/>
  <c r="D23" i="1" l="1"/>
  <c r="E23" i="1" s="1"/>
  <c r="E30" i="1" s="1"/>
  <c r="E21" i="1"/>
  <c r="E27" i="1" s="1"/>
  <c r="E28" i="1" l="1"/>
  <c r="E29" i="1"/>
  <c r="E33" i="1" s="1"/>
  <c r="D25" i="1"/>
  <c r="E25" i="1" s="1"/>
  <c r="G12" i="3" l="1"/>
  <c r="G16" i="3" s="1"/>
  <c r="B35" i="1"/>
</calcChain>
</file>

<file path=xl/sharedStrings.xml><?xml version="1.0" encoding="utf-8"?>
<sst xmlns="http://schemas.openxmlformats.org/spreadsheetml/2006/main" count="119" uniqueCount="108">
  <si>
    <t>ÉTAT D'ACOMPTE MENSUEL</t>
  </si>
  <si>
    <t>MARCHÉ &amp; INTERVENANTS</t>
  </si>
  <si>
    <t>Pouvoir adjudicateur (maître d'ouvrage)</t>
  </si>
  <si>
    <t>Commune de Villeneuve-sur-Somme</t>
  </si>
  <si>
    <t>Maître d'œuvre</t>
  </si>
  <si>
    <t>Atelier Durand-Léon Architectes</t>
  </si>
  <si>
    <t>Titulaire du marché</t>
  </si>
  <si>
    <t>Entreprise Bâtir &amp; Rénover SARL</t>
  </si>
  <si>
    <t>Objet du marché</t>
  </si>
  <si>
    <t>Réhabilitation du groupe scolaire — lot gros œuvre</t>
  </si>
  <si>
    <t>N° du marché</t>
  </si>
  <si>
    <t>2026-TRX-014</t>
  </si>
  <si>
    <t>Date d'établissement</t>
  </si>
  <si>
    <t>Acompte n°</t>
  </si>
  <si>
    <t>Période (mois)</t>
  </si>
  <si>
    <t>Avril 2027</t>
  </si>
  <si>
    <t>PARAMÈTRES FINANCIERS DU MARCHÉ</t>
  </si>
  <si>
    <t>Montant du marché HT</t>
  </si>
  <si>
    <t>Taux de TVA</t>
  </si>
  <si>
    <t>Taux de retenue de garantie</t>
  </si>
  <si>
    <t>Coefficient de révision / actualisation</t>
  </si>
  <si>
    <t>Avance forfaitaire versée (€)</t>
  </si>
  <si>
    <t>Pénalités du présent acompte (€)</t>
  </si>
  <si>
    <t>Remboursement avance — début (% d'avancement)</t>
  </si>
  <si>
    <t>Remboursement avance — fin (% d'avancement)</t>
  </si>
  <si>
    <t>DÉCOMPTE DE L'ACOMPTE</t>
  </si>
  <si>
    <t>Rubrique</t>
  </si>
  <si>
    <t>Cumul antérieur (€)</t>
  </si>
  <si>
    <t>Cumul à ce jour (€)</t>
  </si>
  <si>
    <t>Présent acompte (€)</t>
  </si>
  <si>
    <t>Travaux exécutés HT</t>
  </si>
  <si>
    <t>Révision / actualisation de prix</t>
  </si>
  <si>
    <t>Montant HT (base + révision)</t>
  </si>
  <si>
    <t>Avancement global</t>
  </si>
  <si>
    <t>Retenue de garantie (5 %)</t>
  </si>
  <si>
    <t>Remboursement de l'avance forfaitaire</t>
  </si>
  <si>
    <t>Montant net HT à mandater</t>
  </si>
  <si>
    <t>MONTANT DU PRÉSENT ACOMPTE</t>
  </si>
  <si>
    <t>Montant HT du présent acompte</t>
  </si>
  <si>
    <t>TVA (20 %)</t>
  </si>
  <si>
    <t>Montant TTC</t>
  </si>
  <si>
    <t>À déduire : retenue de garantie du mois</t>
  </si>
  <si>
    <t>À déduire : remboursement de l'avance du mois</t>
  </si>
  <si>
    <t>À déduire : pénalités</t>
  </si>
  <si>
    <t>NET À PAYER — ACOMPTE À MANDATER</t>
  </si>
  <si>
    <t>Le titulaire</t>
  </si>
  <si>
    <t>Le maître d'œuvre</t>
  </si>
  <si>
    <t>SITUATION DE TRAVAUX — DÉCOMPTE DES PRESTATIONS</t>
  </si>
  <si>
    <t>Avancement cumulé par poste · alimente l'état d'acompte · exercice 2027</t>
  </si>
  <si>
    <t>N°</t>
  </si>
  <si>
    <t>Désignation des prestations</t>
  </si>
  <si>
    <t>Unité</t>
  </si>
  <si>
    <t>Quantité</t>
  </si>
  <si>
    <t>P.U. HT (€)</t>
  </si>
  <si>
    <t>Montant marché HT (€)</t>
  </si>
  <si>
    <t>Avanc. cumulé</t>
  </si>
  <si>
    <t>Montant à ce jour HT (€)</t>
  </si>
  <si>
    <t>Cumul antérieur HT (€)</t>
  </si>
  <si>
    <t>Réalisé du mois HT (€)</t>
  </si>
  <si>
    <t>Reste à réaliser HT (€)</t>
  </si>
  <si>
    <t>Installation et repli de chantier</t>
  </si>
  <si>
    <t>Ens</t>
  </si>
  <si>
    <t>Terrassements généraux</t>
  </si>
  <si>
    <t>m³</t>
  </si>
  <si>
    <t>Fondations et gros œuvre</t>
  </si>
  <si>
    <t>Charpente métallique</t>
  </si>
  <si>
    <t>kg</t>
  </si>
  <si>
    <t>Couverture et étanchéité</t>
  </si>
  <si>
    <t>m²</t>
  </si>
  <si>
    <t>Menuiseries extérieures</t>
  </si>
  <si>
    <t>Cloisons et doublages</t>
  </si>
  <si>
    <t>Plomberie et CVC</t>
  </si>
  <si>
    <t>Électricité CFO / CFA</t>
  </si>
  <si>
    <t>Peinture et finitions</t>
  </si>
  <si>
    <t>TOTAUX</t>
  </si>
  <si>
    <t>SUIVI DES ACOMPTES DU MARCHÉ</t>
  </si>
  <si>
    <t>Historique des acomptes mensuels, avancement et montants mandatés · 2027</t>
  </si>
  <si>
    <t>Réalisé cumulé HT</t>
  </si>
  <si>
    <t>Période</t>
  </si>
  <si>
    <t>Date d'arrêté</t>
  </si>
  <si>
    <t>Travaux cumulé HT (€)</t>
  </si>
  <si>
    <t>Avancement</t>
  </si>
  <si>
    <t>Net à payer (€)</t>
  </si>
  <si>
    <t>Janvier 2027</t>
  </si>
  <si>
    <t>Payé</t>
  </si>
  <si>
    <t>Février 2027</t>
  </si>
  <si>
    <t>Mars 2027</t>
  </si>
  <si>
    <t>En cours</t>
  </si>
  <si>
    <t>TOTAL DES ACOMPTES MANDATÉS (net à payer)</t>
  </si>
  <si>
    <t>Avancement cumulé du marché (%)</t>
  </si>
  <si>
    <t>NOTICE D'UTILISATION</t>
  </si>
  <si>
    <t>Établir un état d'acompte mensuel de marché public (travaux)</t>
  </si>
  <si>
    <t>1.  Renseigner la situation</t>
  </si>
  <si>
    <t>Dans « Situation détaillée », listez les postes du marché (désignation, quantité, prix unitaire). Pour chaque poste, saisissez l'avancement cumulé (%) et le cumul antérieur (montant figurant sur l'acompte précédent).</t>
  </si>
  <si>
    <t>2.  Compléter l'en-tête</t>
  </si>
  <si>
    <t>Dans « État d'acompte », renseignez les intervenants, le n° de marché, le n° et la période de l'acompte, ainsi que les paramètres : TVA, retenue de garantie, coefficient de révision, avance et seuils de remboursement.</t>
  </si>
  <si>
    <t>3.  Lire le décompte</t>
  </si>
  <si>
    <t>Le décompte calcule seul, en cumul antérieur / à ce jour / présent acompte : travaux HT, révision, retenue de garantie, remboursement de l'avance, puis TVA, pénalités et le NET À PAYER.</t>
  </si>
  <si>
    <t>4.  Suivre le marché</t>
  </si>
  <si>
    <t>« Suivi des acomptes » récapitule les acomptes successifs, l'avancement global et les montants mandatés, avec une courbe d'avancement.</t>
  </si>
  <si>
    <t>5.  Réutiliser le modèle</t>
  </si>
  <si>
    <t>Remplacez les données d'exemple. Le remboursement de l'avance démarre automatiquement lorsque l'avancement dépasse le seuil de début (par défaut 65 %) et s'achève au seuil de fin (80 %).</t>
  </si>
  <si>
    <t>LÉGENDE</t>
  </si>
  <si>
    <t>Cellule à saisir</t>
  </si>
  <si>
    <t>Cellule calculée automatiquement</t>
  </si>
  <si>
    <t>Net à payer / acompte en cours</t>
  </si>
  <si>
    <t>Montant à déduire</t>
  </si>
  <si>
    <t>Modèle indicatif à adapter au CCAP et au CCAG applicables. Les taux (TVA, retenue de garantie), le régime de l'avance et les règles de révision priment sur les valeurs d'exemple.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</si>
</sst>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€&quot;"/>
    <numFmt numFmtId="165" formatCode="0.000"/>
    <numFmt numFmtId="166" formatCode="0.0%"/>
    <numFmt numFmtId="167" formatCode="#,##0.##"/>
  </numFmts>
  <fonts count="28" x14ac:knownFonts="1">
    <font>
      <sz val="11"/>
      <color theme="1"/>
      <name val="Calibri"/>
      <family val="2"/>
      <charset val="1"/>
    </font>
    <font>
      <b/>
      <sz val="16"/>
      <color rgb="FFFFFFFF"/>
      <name val="Calibri"/>
      <charset val="1"/>
    </font>
    <font>
      <b/>
      <sz val="13"/>
      <color rgb="FFFFFFFF"/>
      <name val="Calibri"/>
      <charset val="1"/>
    </font>
    <font>
      <sz val="6"/>
      <color rgb="FF1F2C36"/>
      <name val="Calibri"/>
      <charset val="1"/>
    </font>
    <font>
      <b/>
      <sz val="10"/>
      <color rgb="FF213C4F"/>
      <name val="Calibri"/>
      <charset val="1"/>
    </font>
    <font>
      <b/>
      <sz val="9"/>
      <color rgb="FF1F2C36"/>
      <name val="Calibri"/>
      <charset val="1"/>
    </font>
    <font>
      <sz val="10"/>
      <color rgb="FF1F2C36"/>
      <name val="Calibri"/>
      <charset val="1"/>
    </font>
    <font>
      <b/>
      <sz val="9"/>
      <color rgb="FFFFFFFF"/>
      <name val="Calibri"/>
      <charset val="1"/>
    </font>
    <font>
      <b/>
      <sz val="10"/>
      <color rgb="FF1F2C36"/>
      <name val="Calibri"/>
      <charset val="1"/>
    </font>
    <font>
      <sz val="11"/>
      <color rgb="FF1F2C36"/>
      <name val="Calibri"/>
      <charset val="1"/>
    </font>
    <font>
      <b/>
      <sz val="11"/>
      <color rgb="FF1F2C36"/>
      <name val="Calibri"/>
      <charset val="1"/>
    </font>
    <font>
      <sz val="10"/>
      <color rgb="FFB23A2E"/>
      <name val="Calibri"/>
      <charset val="1"/>
    </font>
    <font>
      <sz val="11"/>
      <color rgb="FFB23A2E"/>
      <name val="Calibri"/>
      <charset val="1"/>
    </font>
    <font>
      <b/>
      <sz val="12"/>
      <color rgb="FFFFFFFF"/>
      <name val="Calibri"/>
      <charset val="1"/>
    </font>
    <font>
      <b/>
      <sz val="18"/>
      <color rgb="FFFFFFFF"/>
      <name val="Calibri"/>
      <charset val="1"/>
    </font>
    <font>
      <sz val="9"/>
      <color rgb="FF213C4F"/>
      <name val="Calibri"/>
      <charset val="1"/>
    </font>
    <font>
      <b/>
      <sz val="9"/>
      <color rgb="FF5D6E7A"/>
      <name val="Calibri"/>
      <charset val="1"/>
    </font>
    <font>
      <sz val="9"/>
      <color rgb="FF1F2C36"/>
      <name val="Calibri"/>
      <charset val="1"/>
    </font>
    <font>
      <sz val="9"/>
      <color rgb="FF5D6E7A"/>
      <name val="Calibri"/>
      <charset val="1"/>
    </font>
    <font>
      <b/>
      <sz val="9"/>
      <color rgb="FF213C4F"/>
      <name val="Calibri"/>
      <charset val="1"/>
    </font>
    <font>
      <b/>
      <sz val="10"/>
      <color rgb="FFFFFFFF"/>
      <name val="Calibri"/>
      <charset val="1"/>
    </font>
    <font>
      <b/>
      <sz val="15"/>
      <color rgb="FF213C4F"/>
      <name val="Calibri"/>
      <charset val="1"/>
    </font>
    <font>
      <b/>
      <sz val="15"/>
      <color rgb="FF0E7A54"/>
      <name val="Calibri"/>
      <charset val="1"/>
    </font>
    <font>
      <b/>
      <sz val="10"/>
      <color rgb="FF0E7A54"/>
      <name val="Calibri"/>
      <charset val="1"/>
    </font>
    <font>
      <b/>
      <sz val="11"/>
      <color rgb="FFFFFFFF"/>
      <name val="Calibri"/>
      <charset val="1"/>
    </font>
    <font>
      <b/>
      <sz val="15"/>
      <color rgb="FFFFFFFF"/>
      <name val="Calibri"/>
      <charset val="1"/>
    </font>
    <font>
      <b/>
      <sz val="11"/>
      <color rgb="FF213C4F"/>
      <name val="Calibri"/>
      <charset val="1"/>
    </font>
    <font>
      <sz val="8"/>
      <color rgb="FF5D6E7A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213C4F"/>
        <bgColor rgb="FF1F2C36"/>
      </patternFill>
    </fill>
    <fill>
      <patternFill patternType="solid">
        <fgColor rgb="FF0E7A54"/>
        <bgColor rgb="FF008080"/>
      </patternFill>
    </fill>
    <fill>
      <patternFill patternType="solid">
        <fgColor rgb="FFEDF2F4"/>
        <bgColor rgb="FFEBF0F3"/>
      </patternFill>
    </fill>
    <fill>
      <patternFill patternType="solid">
        <fgColor rgb="FFFFFBEC"/>
        <bgColor rgb="FFF6F9FA"/>
      </patternFill>
    </fill>
    <fill>
      <patternFill patternType="solid">
        <fgColor rgb="FFEBF0F3"/>
        <bgColor rgb="FFEDF2F4"/>
      </patternFill>
    </fill>
    <fill>
      <patternFill patternType="solid">
        <fgColor rgb="FF33566B"/>
        <bgColor rgb="FF213C4F"/>
      </patternFill>
    </fill>
    <fill>
      <patternFill patternType="solid">
        <fgColor rgb="FFFFFFFF"/>
        <bgColor rgb="FFF6F9FA"/>
      </patternFill>
    </fill>
    <fill>
      <patternFill patternType="solid">
        <fgColor rgb="FFFBE5E2"/>
        <bgColor rgb="FFFBEFD0"/>
      </patternFill>
    </fill>
    <fill>
      <patternFill patternType="solid">
        <fgColor rgb="FFF6F9FA"/>
        <bgColor rgb="FFFFFBEC"/>
      </patternFill>
    </fill>
    <fill>
      <patternFill patternType="solid">
        <fgColor rgb="FFE4F1EA"/>
        <bgColor rgb="FFEBF0F3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33566B"/>
      </bottom>
      <diagonal/>
    </border>
    <border>
      <left style="thin">
        <color rgb="FFD5DEE4"/>
      </left>
      <right/>
      <top style="thin">
        <color rgb="FFD5DEE4"/>
      </top>
      <bottom style="thin">
        <color rgb="FFD5DEE4"/>
      </bottom>
      <diagonal/>
    </border>
    <border>
      <left style="thin">
        <color rgb="FFD5DEE4"/>
      </left>
      <right style="thin">
        <color rgb="FFD5DEE4"/>
      </right>
      <top style="thin">
        <color rgb="FFD5DEE4"/>
      </top>
      <bottom style="thin">
        <color rgb="FFD5DEE4"/>
      </bottom>
      <diagonal/>
    </border>
    <border>
      <left style="thin">
        <color rgb="FF0E7A54"/>
      </left>
      <right style="thin">
        <color rgb="FF0E7A54"/>
      </right>
      <top style="thin">
        <color rgb="FF0E7A54"/>
      </top>
      <bottom style="thin">
        <color rgb="FF0E7A5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7" fillId="7" borderId="3" xfId="0" applyFont="1" applyFill="1" applyBorder="1" applyAlignment="1">
      <alignment horizontal="left" vertical="center" wrapText="1"/>
    </xf>
    <xf numFmtId="0" fontId="18" fillId="4" borderId="0" xfId="0" applyFont="1" applyFill="1" applyAlignment="1">
      <alignment horizontal="left" vertical="center"/>
    </xf>
    <xf numFmtId="0" fontId="17" fillId="0" borderId="3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10" borderId="3" xfId="0" applyFont="1" applyFill="1" applyBorder="1" applyAlignment="1">
      <alignment horizontal="left" vertical="center" wrapText="1"/>
    </xf>
    <xf numFmtId="164" fontId="14" fillId="3" borderId="4" xfId="0" applyNumberFormat="1" applyFont="1" applyFill="1" applyBorder="1" applyAlignment="1">
      <alignment horizontal="right" vertical="center"/>
    </xf>
    <xf numFmtId="0" fontId="13" fillId="3" borderId="4" xfId="0" applyFont="1" applyFill="1" applyBorder="1" applyAlignment="1">
      <alignment horizontal="left" vertical="center"/>
    </xf>
    <xf numFmtId="0" fontId="9" fillId="9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8" borderId="3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14" fontId="6" fillId="5" borderId="3" xfId="0" applyNumberFormat="1" applyFont="1" applyFill="1" applyBorder="1" applyAlignment="1">
      <alignment horizontal="center" vertical="center" wrapText="1"/>
    </xf>
    <xf numFmtId="1" fontId="6" fillId="5" borderId="3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164" fontId="4" fillId="6" borderId="3" xfId="0" applyNumberFormat="1" applyFont="1" applyFill="1" applyBorder="1" applyAlignment="1">
      <alignment horizontal="right" vertical="center"/>
    </xf>
    <xf numFmtId="9" fontId="6" fillId="5" borderId="3" xfId="0" applyNumberFormat="1" applyFont="1" applyFill="1" applyBorder="1" applyAlignment="1">
      <alignment horizontal="center" vertical="center" wrapText="1"/>
    </xf>
    <xf numFmtId="165" fontId="6" fillId="5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left" vertical="center" wrapText="1"/>
    </xf>
    <xf numFmtId="164" fontId="6" fillId="6" borderId="3" xfId="0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horizontal="left" vertical="center" wrapText="1"/>
    </xf>
    <xf numFmtId="164" fontId="8" fillId="4" borderId="3" xfId="0" applyNumberFormat="1" applyFont="1" applyFill="1" applyBorder="1" applyAlignment="1">
      <alignment horizontal="right" vertical="center"/>
    </xf>
    <xf numFmtId="166" fontId="6" fillId="6" borderId="3" xfId="0" applyNumberFormat="1" applyFont="1" applyFill="1" applyBorder="1" applyAlignment="1">
      <alignment horizontal="right" vertical="center"/>
    </xf>
    <xf numFmtId="164" fontId="9" fillId="8" borderId="3" xfId="0" applyNumberFormat="1" applyFont="1" applyFill="1" applyBorder="1" applyAlignment="1">
      <alignment horizontal="right" vertical="center"/>
    </xf>
    <xf numFmtId="164" fontId="10" fillId="4" borderId="3" xfId="0" applyNumberFormat="1" applyFont="1" applyFill="1" applyBorder="1" applyAlignment="1">
      <alignment horizontal="right" vertical="center"/>
    </xf>
    <xf numFmtId="0" fontId="11" fillId="9" borderId="3" xfId="0" applyFont="1" applyFill="1" applyBorder="1" applyAlignment="1">
      <alignment horizontal="left" vertical="center" wrapText="1"/>
    </xf>
    <xf numFmtId="164" fontId="12" fillId="9" borderId="3" xfId="0" applyNumberFormat="1" applyFont="1" applyFill="1" applyBorder="1" applyAlignment="1">
      <alignment horizontal="right" vertical="center"/>
    </xf>
    <xf numFmtId="1" fontId="19" fillId="8" borderId="3" xfId="0" applyNumberFormat="1" applyFont="1" applyFill="1" applyBorder="1" applyAlignment="1">
      <alignment horizontal="center" vertical="center" wrapText="1"/>
    </xf>
    <xf numFmtId="167" fontId="6" fillId="5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right" vertical="center"/>
    </xf>
    <xf numFmtId="1" fontId="19" fillId="10" borderId="3" xfId="0" applyNumberFormat="1" applyFont="1" applyFill="1" applyBorder="1" applyAlignment="1">
      <alignment horizontal="center" vertical="center" wrapText="1"/>
    </xf>
    <xf numFmtId="1" fontId="6" fillId="8" borderId="3" xfId="0" applyNumberFormat="1" applyFont="1" applyFill="1" applyBorder="1" applyAlignment="1">
      <alignment horizontal="center" vertical="center" wrapText="1"/>
    </xf>
    <xf numFmtId="1" fontId="6" fillId="10" borderId="3" xfId="0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20" fillId="2" borderId="3" xfId="0" applyNumberFormat="1" applyFont="1" applyFill="1" applyBorder="1" applyAlignment="1">
      <alignment horizontal="right" vertical="center"/>
    </xf>
    <xf numFmtId="166" fontId="20" fillId="2" borderId="3" xfId="0" applyNumberFormat="1" applyFont="1" applyFill="1" applyBorder="1" applyAlignment="1">
      <alignment horizontal="center" vertical="center" wrapText="1"/>
    </xf>
    <xf numFmtId="1" fontId="4" fillId="8" borderId="3" xfId="0" applyNumberFormat="1" applyFont="1" applyFill="1" applyBorder="1" applyAlignment="1">
      <alignment horizontal="center" vertical="center" wrapText="1"/>
    </xf>
    <xf numFmtId="14" fontId="6" fillId="8" borderId="3" xfId="0" applyNumberFormat="1" applyFont="1" applyFill="1" applyBorder="1" applyAlignment="1">
      <alignment horizontal="center" vertical="center" wrapText="1"/>
    </xf>
    <xf numFmtId="164" fontId="6" fillId="8" borderId="3" xfId="0" applyNumberFormat="1" applyFont="1" applyFill="1" applyBorder="1" applyAlignment="1">
      <alignment horizontal="right" vertical="center"/>
    </xf>
    <xf numFmtId="166" fontId="6" fillId="8" borderId="3" xfId="0" applyNumberFormat="1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1" fontId="4" fillId="10" borderId="3" xfId="0" applyNumberFormat="1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left" vertical="center" wrapText="1"/>
    </xf>
    <xf numFmtId="14" fontId="6" fillId="10" borderId="3" xfId="0" applyNumberFormat="1" applyFont="1" applyFill="1" applyBorder="1" applyAlignment="1">
      <alignment horizontal="center" vertical="center" wrapText="1"/>
    </xf>
    <xf numFmtId="164" fontId="6" fillId="10" borderId="3" xfId="0" applyNumberFormat="1" applyFont="1" applyFill="1" applyBorder="1" applyAlignment="1">
      <alignment horizontal="right" vertical="center"/>
    </xf>
    <xf numFmtId="166" fontId="6" fillId="10" borderId="3" xfId="0" applyNumberFormat="1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1" fontId="23" fillId="11" borderId="3" xfId="0" applyNumberFormat="1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left" vertical="center" wrapText="1"/>
    </xf>
    <xf numFmtId="14" fontId="6" fillId="11" borderId="3" xfId="0" applyNumberFormat="1" applyFont="1" applyFill="1" applyBorder="1" applyAlignment="1">
      <alignment horizontal="center" vertical="center" wrapText="1"/>
    </xf>
    <xf numFmtId="164" fontId="6" fillId="11" borderId="3" xfId="0" applyNumberFormat="1" applyFont="1" applyFill="1" applyBorder="1" applyAlignment="1">
      <alignment horizontal="right" vertical="center"/>
    </xf>
    <xf numFmtId="166" fontId="6" fillId="11" borderId="3" xfId="0" applyNumberFormat="1" applyFont="1" applyFill="1" applyBorder="1" applyAlignment="1">
      <alignment horizontal="center" vertical="center" wrapText="1"/>
    </xf>
    <xf numFmtId="164" fontId="23" fillId="11" borderId="3" xfId="0" applyNumberFormat="1" applyFont="1" applyFill="1" applyBorder="1" applyAlignment="1">
      <alignment horizontal="right" vertical="center"/>
    </xf>
    <xf numFmtId="0" fontId="6" fillId="11" borderId="3" xfId="0" applyFont="1" applyFill="1" applyBorder="1" applyAlignment="1">
      <alignment horizontal="center" vertical="center" wrapText="1"/>
    </xf>
    <xf numFmtId="166" fontId="6" fillId="6" borderId="3" xfId="0" applyNumberFormat="1" applyFont="1" applyFill="1" applyBorder="1" applyAlignment="1">
      <alignment horizontal="center" vertical="center" wrapText="1"/>
    </xf>
    <xf numFmtId="164" fontId="24" fillId="2" borderId="3" xfId="0" applyNumberFormat="1" applyFont="1" applyFill="1" applyBorder="1" applyAlignment="1">
      <alignment horizontal="right" vertical="center"/>
    </xf>
    <xf numFmtId="0" fontId="25" fillId="2" borderId="0" xfId="0" applyFont="1" applyFill="1" applyAlignment="1">
      <alignment horizontal="left" vertical="center" wrapText="1"/>
    </xf>
    <xf numFmtId="0" fontId="18" fillId="4" borderId="0" xfId="0" applyFont="1" applyFill="1" applyAlignment="1">
      <alignment horizontal="left" vertical="center" wrapText="1"/>
    </xf>
    <xf numFmtId="0" fontId="26" fillId="4" borderId="3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left" vertical="top" wrapText="1"/>
    </xf>
    <xf numFmtId="0" fontId="0" fillId="5" borderId="3" xfId="0" applyFill="1" applyBorder="1"/>
    <xf numFmtId="0" fontId="0" fillId="6" borderId="3" xfId="0" applyFill="1" applyBorder="1"/>
    <xf numFmtId="0" fontId="0" fillId="11" borderId="3" xfId="0" applyFill="1" applyBorder="1"/>
    <xf numFmtId="0" fontId="0" fillId="9" borderId="3" xfId="0" applyFill="1" applyBorder="1"/>
    <xf numFmtId="164" fontId="21" fillId="4" borderId="3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 vertical="center" wrapText="1"/>
    </xf>
    <xf numFmtId="0" fontId="27" fillId="10" borderId="3" xfId="0" applyFont="1" applyFill="1" applyBorder="1" applyAlignment="1">
      <alignment horizontal="left" vertical="top" wrapText="1"/>
    </xf>
  </cellXfs>
  <cellStyles count="1">
    <cellStyle name="Standard" xfId="0" builtinId="0"/>
  </cellStyles>
  <dxfs count="2">
    <dxf>
      <font>
        <b/>
        <sz val="10"/>
        <color rgb="FF8A5A12"/>
        <name val="Calibri"/>
        <charset val="1"/>
      </font>
      <fill>
        <patternFill>
          <bgColor rgb="FFFBEFD0"/>
        </patternFill>
      </fill>
    </dxf>
    <dxf>
      <font>
        <b/>
        <sz val="10"/>
        <color rgb="FF0E7A54"/>
        <name val="Calibri"/>
        <charset val="1"/>
      </font>
      <fill>
        <patternFill>
          <bgColor rgb="FFE4F1E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12"/>
      <rgbColor rgb="FF800080"/>
      <rgbColor rgb="FF0E7A54"/>
      <rgbColor rgb="FFD9D9D9"/>
      <rgbColor rgb="FF878787"/>
      <rgbColor rgb="FF9999FF"/>
      <rgbColor rgb="FF993366"/>
      <rgbColor rgb="FFFFFBEC"/>
      <rgbColor rgb="FFE4F1EA"/>
      <rgbColor rgb="FF660066"/>
      <rgbColor rgb="FFFF8080"/>
      <rgbColor rgb="FF0066CC"/>
      <rgbColor rgb="FFD5DE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0F3"/>
      <rgbColor rgb="FFEDF2F4"/>
      <rgbColor rgb="FFFBEFD0"/>
      <rgbColor rgb="FFF6F9FA"/>
      <rgbColor rgb="FFFF99CC"/>
      <rgbColor rgb="FFCC99FF"/>
      <rgbColor rgb="FFFBE5E2"/>
      <rgbColor rgb="FF3366FF"/>
      <rgbColor rgb="FF33CCCC"/>
      <rgbColor rgb="FF99CC00"/>
      <rgbColor rgb="FFFFCC00"/>
      <rgbColor rgb="FFFF9900"/>
      <rgbColor rgb="FFFF6600"/>
      <rgbColor rgb="FF5D6E7A"/>
      <rgbColor rgb="FF969696"/>
      <rgbColor rgb="FF213C4F"/>
      <rgbColor rgb="FF339966"/>
      <rgbColor rgb="FF003300"/>
      <rgbColor rgb="FF333300"/>
      <rgbColor rgb="FFB23A2E"/>
      <rgbColor rgb="FF993366"/>
      <rgbColor rgb="FF33566B"/>
      <rgbColor rgb="FF1F2C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'Suivi des acomptes'!$F$8</c:f>
              <c:strCache>
                <c:ptCount val="1"/>
                <c:pt idx="0">
                  <c:v>Avancement</c:v>
                </c:pt>
              </c:strCache>
            </c:strRef>
          </c:tx>
          <c:spPr>
            <a:ln w="28080">
              <a:solidFill>
                <a:srgbClr val="0E7A5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'Suivi des acomptes'!$C$9:$C$12</c:f>
              <c:strCache>
                <c:ptCount val="4"/>
                <c:pt idx="0">
                  <c:v>Janvier 2027</c:v>
                </c:pt>
                <c:pt idx="1">
                  <c:v>Février 2027</c:v>
                </c:pt>
                <c:pt idx="2">
                  <c:v>Mars 2027</c:v>
                </c:pt>
                <c:pt idx="3">
                  <c:v>Avril 2027</c:v>
                </c:pt>
              </c:strCache>
            </c:strRef>
          </c:cat>
          <c:val>
            <c:numRef>
              <c:f>'Suivi des acomptes'!$F$9:$F$12</c:f>
              <c:numCache>
                <c:formatCode>0.0%</c:formatCode>
                <c:ptCount val="4"/>
                <c:pt idx="0">
                  <c:v>0.1</c:v>
                </c:pt>
                <c:pt idx="1">
                  <c:v>0.3125</c:v>
                </c:pt>
                <c:pt idx="2">
                  <c:v>0.57333333333333336</c:v>
                </c:pt>
                <c:pt idx="3">
                  <c:v>0.73029166666666667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AF4-43B2-AB4C-9C80A4BF4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0252023"/>
        <c:axId val="10482254"/>
      </c:lineChart>
      <c:catAx>
        <c:axId val="90252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0482254"/>
        <c:crosses val="autoZero"/>
        <c:auto val="1"/>
        <c:lblAlgn val="ctr"/>
        <c:lblOffset val="100"/>
        <c:noMultiLvlLbl val="0"/>
      </c:catAx>
      <c:valAx>
        <c:axId val="1048225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Avancement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025202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6</xdr:col>
      <xdr:colOff>1122840</xdr:colOff>
      <xdr:row>31</xdr:row>
      <xdr:rowOff>43200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13C4F"/>
    <pageSetUpPr fitToPage="1"/>
  </sheetPr>
  <dimension ref="B1:E40"/>
  <sheetViews>
    <sheetView showGridLines="0" tabSelected="1" zoomScaleNormal="100" workbookViewId="0">
      <selection activeCell="E46" sqref="E46"/>
    </sheetView>
  </sheetViews>
  <sheetFormatPr baseColWidth="10" defaultColWidth="8.7109375" defaultRowHeight="15" x14ac:dyDescent="0.25"/>
  <cols>
    <col min="1" max="1" width="2" customWidth="1"/>
    <col min="2" max="2" width="42" customWidth="1"/>
    <col min="3" max="4" width="17" customWidth="1"/>
    <col min="5" max="5" width="19.140625" customWidth="1"/>
    <col min="6" max="6" width="2" customWidth="1"/>
  </cols>
  <sheetData>
    <row r="1" spans="2:5" ht="6" customHeight="1" x14ac:dyDescent="0.25"/>
    <row r="2" spans="2:5" ht="39.75" customHeight="1" x14ac:dyDescent="0.25">
      <c r="B2" s="14" t="s">
        <v>0</v>
      </c>
      <c r="C2" s="14"/>
      <c r="D2" s="14"/>
      <c r="E2" s="15" t="str">
        <f>"N°  "&amp;$C$11</f>
        <v>N°  4</v>
      </c>
    </row>
    <row r="3" spans="2:5" ht="4.5" customHeight="1" x14ac:dyDescent="0.25">
      <c r="B3" s="13"/>
      <c r="C3" s="13"/>
      <c r="D3" s="13"/>
      <c r="E3" s="13"/>
    </row>
    <row r="5" spans="2:5" ht="19.5" customHeight="1" x14ac:dyDescent="0.25">
      <c r="B5" s="12" t="s">
        <v>1</v>
      </c>
      <c r="C5" s="12"/>
      <c r="D5" s="12"/>
      <c r="E5" s="12"/>
    </row>
    <row r="6" spans="2:5" ht="15" customHeight="1" x14ac:dyDescent="0.25">
      <c r="B6" s="16" t="s">
        <v>2</v>
      </c>
      <c r="C6" s="11" t="s">
        <v>3</v>
      </c>
      <c r="D6" s="11"/>
      <c r="E6" s="11"/>
    </row>
    <row r="7" spans="2:5" ht="15" customHeight="1" x14ac:dyDescent="0.25">
      <c r="B7" s="16" t="s">
        <v>4</v>
      </c>
      <c r="C7" s="11" t="s">
        <v>5</v>
      </c>
      <c r="D7" s="11"/>
      <c r="E7" s="11"/>
    </row>
    <row r="8" spans="2:5" ht="15" customHeight="1" x14ac:dyDescent="0.25">
      <c r="B8" s="16" t="s">
        <v>6</v>
      </c>
      <c r="C8" s="11" t="s">
        <v>7</v>
      </c>
      <c r="D8" s="11"/>
      <c r="E8" s="11"/>
    </row>
    <row r="9" spans="2:5" ht="15" customHeight="1" x14ac:dyDescent="0.25">
      <c r="B9" s="16" t="s">
        <v>8</v>
      </c>
      <c r="C9" s="11" t="s">
        <v>9</v>
      </c>
      <c r="D9" s="11"/>
      <c r="E9" s="11"/>
    </row>
    <row r="10" spans="2:5" x14ac:dyDescent="0.25">
      <c r="B10" s="16" t="s">
        <v>10</v>
      </c>
      <c r="C10" s="17" t="s">
        <v>11</v>
      </c>
      <c r="D10" s="18" t="s">
        <v>12</v>
      </c>
      <c r="E10" s="19">
        <v>46507</v>
      </c>
    </row>
    <row r="11" spans="2:5" x14ac:dyDescent="0.25">
      <c r="B11" s="16" t="s">
        <v>13</v>
      </c>
      <c r="C11" s="20">
        <v>4</v>
      </c>
      <c r="D11" s="18" t="s">
        <v>14</v>
      </c>
      <c r="E11" s="21" t="s">
        <v>15</v>
      </c>
    </row>
    <row r="12" spans="2:5" ht="19.5" customHeight="1" x14ac:dyDescent="0.25">
      <c r="B12" s="12" t="s">
        <v>16</v>
      </c>
      <c r="C12" s="12"/>
      <c r="D12" s="12"/>
      <c r="E12" s="12"/>
    </row>
    <row r="13" spans="2:5" x14ac:dyDescent="0.25">
      <c r="B13" s="16" t="s">
        <v>17</v>
      </c>
      <c r="C13" s="22">
        <f>'Situation détaillée'!$F$16</f>
        <v>480000</v>
      </c>
      <c r="D13" s="18" t="s">
        <v>18</v>
      </c>
      <c r="E13" s="23">
        <v>0.2</v>
      </c>
    </row>
    <row r="14" spans="2:5" x14ac:dyDescent="0.25">
      <c r="B14" s="16" t="s">
        <v>19</v>
      </c>
      <c r="C14" s="23">
        <v>0.05</v>
      </c>
      <c r="D14" s="18" t="s">
        <v>20</v>
      </c>
      <c r="E14" s="24">
        <v>1.008</v>
      </c>
    </row>
    <row r="15" spans="2:5" x14ac:dyDescent="0.25">
      <c r="B15" s="16" t="s">
        <v>21</v>
      </c>
      <c r="C15" s="25">
        <v>24000</v>
      </c>
      <c r="D15" s="18" t="s">
        <v>22</v>
      </c>
      <c r="E15" s="25">
        <v>0</v>
      </c>
    </row>
    <row r="16" spans="2:5" x14ac:dyDescent="0.25">
      <c r="B16" s="16" t="s">
        <v>23</v>
      </c>
      <c r="C16" s="23">
        <v>0.65</v>
      </c>
      <c r="D16" s="18" t="s">
        <v>24</v>
      </c>
      <c r="E16" s="23">
        <v>0.8</v>
      </c>
    </row>
    <row r="17" spans="2:5" ht="19.5" customHeight="1" x14ac:dyDescent="0.25">
      <c r="B17" s="12" t="s">
        <v>25</v>
      </c>
      <c r="C17" s="12"/>
      <c r="D17" s="12"/>
      <c r="E17" s="12"/>
    </row>
    <row r="18" spans="2:5" ht="27.75" customHeight="1" x14ac:dyDescent="0.25">
      <c r="B18" s="26" t="s">
        <v>26</v>
      </c>
      <c r="C18" s="26" t="s">
        <v>27</v>
      </c>
      <c r="D18" s="26" t="s">
        <v>28</v>
      </c>
      <c r="E18" s="26" t="s">
        <v>29</v>
      </c>
    </row>
    <row r="19" spans="2:5" ht="15.75" customHeight="1" x14ac:dyDescent="0.25">
      <c r="B19" s="27" t="s">
        <v>30</v>
      </c>
      <c r="C19" s="28">
        <f>'Situation détaillée'!$I$16</f>
        <v>275200</v>
      </c>
      <c r="D19" s="28">
        <f>'Situation détaillée'!$H$16</f>
        <v>350540</v>
      </c>
      <c r="E19" s="28">
        <f>$D19-$C19</f>
        <v>75340</v>
      </c>
    </row>
    <row r="20" spans="2:5" ht="15.75" customHeight="1" x14ac:dyDescent="0.25">
      <c r="B20" s="27" t="s">
        <v>31</v>
      </c>
      <c r="C20" s="28">
        <f>($E$14-1)*$C19</f>
        <v>2201.6000000000022</v>
      </c>
      <c r="D20" s="28">
        <f>($E$14-1)*$D19</f>
        <v>2804.3200000000024</v>
      </c>
      <c r="E20" s="28">
        <f>$D20-$C20</f>
        <v>602.72000000000025</v>
      </c>
    </row>
    <row r="21" spans="2:5" ht="15.75" customHeight="1" x14ac:dyDescent="0.25">
      <c r="B21" s="29" t="s">
        <v>32</v>
      </c>
      <c r="C21" s="30">
        <f>$C19+$C20</f>
        <v>277401.59999999998</v>
      </c>
      <c r="D21" s="30">
        <f>$D19+$D20</f>
        <v>353344.32</v>
      </c>
      <c r="E21" s="30">
        <f>$D21-$C21</f>
        <v>75942.72000000003</v>
      </c>
    </row>
    <row r="22" spans="2:5" ht="15.75" customHeight="1" x14ac:dyDescent="0.25">
      <c r="B22" s="27" t="s">
        <v>33</v>
      </c>
      <c r="C22" s="31">
        <f>IF($C$13=0,"",$C19/$C$13)</f>
        <v>0.57333333333333336</v>
      </c>
      <c r="D22" s="31">
        <f>IF($C$13=0,"",$D19/$C$13)</f>
        <v>0.73029166666666667</v>
      </c>
      <c r="E22" s="31">
        <f>IF($C$13=0,"",$D22-$C22)</f>
        <v>0.15695833333333331</v>
      </c>
    </row>
    <row r="23" spans="2:5" ht="15.75" customHeight="1" x14ac:dyDescent="0.25">
      <c r="B23" s="27" t="s">
        <v>34</v>
      </c>
      <c r="C23" s="28">
        <f>$C$14*$C21</f>
        <v>13870.08</v>
      </c>
      <c r="D23" s="28">
        <f>$C$14*$D21</f>
        <v>17667.216</v>
      </c>
      <c r="E23" s="28">
        <f>$D23-$C23</f>
        <v>3797.1360000000004</v>
      </c>
    </row>
    <row r="24" spans="2:5" ht="15.75" customHeight="1" x14ac:dyDescent="0.25">
      <c r="B24" s="27" t="s">
        <v>35</v>
      </c>
      <c r="C24" s="28">
        <f>$C$15*MAX(0,MIN(1,($C22-$C$16)/($E$16-$C$16)))</f>
        <v>0</v>
      </c>
      <c r="D24" s="28">
        <f>$C$15*MAX(0,MIN(1,($D22-$C$16)/($E$16-$C$16)))</f>
        <v>12846.666666666662</v>
      </c>
      <c r="E24" s="28">
        <f>$D24-$C24</f>
        <v>12846.666666666662</v>
      </c>
    </row>
    <row r="25" spans="2:5" ht="15.75" customHeight="1" x14ac:dyDescent="0.25">
      <c r="B25" s="29" t="s">
        <v>36</v>
      </c>
      <c r="C25" s="30">
        <f>$C21-$C23-$C24</f>
        <v>263531.51999999996</v>
      </c>
      <c r="D25" s="30">
        <f>$D21-$D23-$D24</f>
        <v>322830.43733333331</v>
      </c>
      <c r="E25" s="30">
        <f>$D25-$C25</f>
        <v>59298.917333333346</v>
      </c>
    </row>
    <row r="26" spans="2:5" ht="19.5" customHeight="1" x14ac:dyDescent="0.25">
      <c r="B26" s="12" t="s">
        <v>37</v>
      </c>
      <c r="C26" s="12"/>
      <c r="D26" s="12"/>
      <c r="E26" s="12"/>
    </row>
    <row r="27" spans="2:5" ht="15.75" customHeight="1" x14ac:dyDescent="0.25">
      <c r="B27" s="27" t="s">
        <v>38</v>
      </c>
      <c r="C27" s="10"/>
      <c r="D27" s="10"/>
      <c r="E27" s="32">
        <f>$E21</f>
        <v>75942.72000000003</v>
      </c>
    </row>
    <row r="28" spans="2:5" ht="15.75" customHeight="1" x14ac:dyDescent="0.25">
      <c r="B28" s="27" t="s">
        <v>39</v>
      </c>
      <c r="C28" s="10"/>
      <c r="D28" s="10"/>
      <c r="E28" s="32">
        <f>$E$13*$E27</f>
        <v>15188.544000000007</v>
      </c>
    </row>
    <row r="29" spans="2:5" ht="15.75" customHeight="1" x14ac:dyDescent="0.25">
      <c r="B29" s="29" t="s">
        <v>40</v>
      </c>
      <c r="C29" s="9"/>
      <c r="D29" s="9"/>
      <c r="E29" s="33">
        <f>$E27+$E28</f>
        <v>91131.264000000039</v>
      </c>
    </row>
    <row r="30" spans="2:5" ht="15.75" customHeight="1" x14ac:dyDescent="0.25">
      <c r="B30" s="34" t="s">
        <v>41</v>
      </c>
      <c r="C30" s="8"/>
      <c r="D30" s="8"/>
      <c r="E30" s="35">
        <f>$E23</f>
        <v>3797.1360000000004</v>
      </c>
    </row>
    <row r="31" spans="2:5" ht="15.75" customHeight="1" x14ac:dyDescent="0.25">
      <c r="B31" s="34" t="s">
        <v>42</v>
      </c>
      <c r="C31" s="8"/>
      <c r="D31" s="8"/>
      <c r="E31" s="35">
        <f>$E24</f>
        <v>12846.666666666662</v>
      </c>
    </row>
    <row r="32" spans="2:5" ht="15.75" customHeight="1" x14ac:dyDescent="0.25">
      <c r="B32" s="34" t="s">
        <v>43</v>
      </c>
      <c r="C32" s="8"/>
      <c r="D32" s="8"/>
      <c r="E32" s="35">
        <f>$E$15</f>
        <v>0</v>
      </c>
    </row>
    <row r="33" spans="2:5" ht="25.5" customHeight="1" x14ac:dyDescent="0.25">
      <c r="B33" s="7" t="s">
        <v>44</v>
      </c>
      <c r="C33" s="7"/>
      <c r="D33" s="7"/>
      <c r="E33" s="6">
        <f>$E29-$E30-$E31-$E32</f>
        <v>74487.461333333384</v>
      </c>
    </row>
    <row r="34" spans="2:5" ht="18" customHeight="1" x14ac:dyDescent="0.25">
      <c r="B34" s="7"/>
      <c r="C34" s="7"/>
      <c r="D34" s="7"/>
      <c r="E34" s="6"/>
    </row>
    <row r="35" spans="2:5" ht="18" customHeight="1" x14ac:dyDescent="0.25">
      <c r="B35" s="5" t="str">
        <f>IF($E33="","","Le présent acompte est arrêté à la somme de "&amp;TEXT($E33,"#,##0.00")&amp;" € TTC.")</f>
        <v>Le présent acompte est arrêté à la somme de 74487,46133 € TTC.</v>
      </c>
      <c r="C35" s="5"/>
      <c r="D35" s="5"/>
      <c r="E35" s="5"/>
    </row>
    <row r="37" spans="2:5" ht="15" customHeight="1" x14ac:dyDescent="0.25">
      <c r="B37" s="4" t="s">
        <v>45</v>
      </c>
      <c r="C37" s="4"/>
      <c r="D37" s="4" t="s">
        <v>46</v>
      </c>
      <c r="E37" s="4"/>
    </row>
    <row r="38" spans="2:5" x14ac:dyDescent="0.25">
      <c r="B38" s="3"/>
      <c r="C38" s="3"/>
      <c r="D38" s="3"/>
      <c r="E38" s="3"/>
    </row>
    <row r="39" spans="2:5" x14ac:dyDescent="0.25">
      <c r="B39" s="3"/>
      <c r="C39" s="3"/>
      <c r="D39" s="3"/>
      <c r="E39" s="3"/>
    </row>
    <row r="40" spans="2:5" x14ac:dyDescent="0.25">
      <c r="B40" s="3"/>
      <c r="C40" s="3"/>
      <c r="D40" s="3"/>
      <c r="E40" s="3"/>
    </row>
  </sheetData>
  <mergeCells count="23">
    <mergeCell ref="B38:C40"/>
    <mergeCell ref="D38:E40"/>
    <mergeCell ref="C32:D32"/>
    <mergeCell ref="B33:D34"/>
    <mergeCell ref="E33:E34"/>
    <mergeCell ref="B35:E35"/>
    <mergeCell ref="B37:C37"/>
    <mergeCell ref="D37:E37"/>
    <mergeCell ref="C27:D27"/>
    <mergeCell ref="C28:D28"/>
    <mergeCell ref="C29:D29"/>
    <mergeCell ref="C30:D30"/>
    <mergeCell ref="C31:D31"/>
    <mergeCell ref="C8:E8"/>
    <mergeCell ref="C9:E9"/>
    <mergeCell ref="B12:E12"/>
    <mergeCell ref="B17:E17"/>
    <mergeCell ref="B26:E26"/>
    <mergeCell ref="B2:D2"/>
    <mergeCell ref="B3:E3"/>
    <mergeCell ref="B5:E5"/>
    <mergeCell ref="C6:E6"/>
    <mergeCell ref="C7:E7"/>
  </mergeCells>
  <dataValidations count="2">
    <dataValidation type="decimal" allowBlank="1" sqref="E13 C14 C16 E16" xr:uid="{00000000-0002-0000-0000-000000000000}">
      <formula1>0</formula1>
      <formula2>1</formula2>
    </dataValidation>
    <dataValidation type="decimal" operator="greaterThanOrEqual" allowBlank="1" sqref="C15 E15" xr:uid="{00000000-0002-0000-0000-000001000000}">
      <formula1>0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566B"/>
    <pageSetUpPr fitToPage="1"/>
  </sheetPr>
  <dimension ref="A1:K1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7109375" defaultRowHeight="15" x14ac:dyDescent="0.25"/>
  <cols>
    <col min="1" max="1" width="6" customWidth="1"/>
    <col min="2" max="2" width="34" customWidth="1"/>
    <col min="3" max="3" width="8" customWidth="1"/>
    <col min="4" max="4" width="12" customWidth="1"/>
    <col min="5" max="5" width="13" customWidth="1"/>
    <col min="6" max="6" width="15" customWidth="1"/>
    <col min="7" max="7" width="12" customWidth="1"/>
    <col min="8" max="8" width="16" customWidth="1"/>
    <col min="9" max="11" width="15" customWidth="1"/>
  </cols>
  <sheetData>
    <row r="1" spans="1:11" ht="33.75" customHeight="1" x14ac:dyDescent="0.25">
      <c r="A1" s="14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8" customHeight="1" x14ac:dyDescent="0.25">
      <c r="A2" s="2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7.75" customHeight="1" x14ac:dyDescent="0.25">
      <c r="A3" s="26" t="s">
        <v>49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6" t="s">
        <v>55</v>
      </c>
      <c r="H3" s="26" t="s">
        <v>56</v>
      </c>
      <c r="I3" s="26" t="s">
        <v>57</v>
      </c>
      <c r="J3" s="26" t="s">
        <v>58</v>
      </c>
      <c r="K3" s="26" t="s">
        <v>59</v>
      </c>
    </row>
    <row r="4" spans="1:11" ht="15.75" customHeight="1" x14ac:dyDescent="0.25">
      <c r="A4" s="36">
        <v>1</v>
      </c>
      <c r="B4" s="17" t="s">
        <v>60</v>
      </c>
      <c r="C4" s="21" t="s">
        <v>61</v>
      </c>
      <c r="D4" s="37">
        <v>1</v>
      </c>
      <c r="E4" s="38">
        <v>18000</v>
      </c>
      <c r="F4" s="28">
        <f t="shared" ref="F4:F15" si="0">IF($A4="","",$D4*$E4)</f>
        <v>18000</v>
      </c>
      <c r="G4" s="23">
        <v>1</v>
      </c>
      <c r="H4" s="28">
        <f t="shared" ref="H4:H15" si="1">IF($A4="","",$F4*$G4)</f>
        <v>18000</v>
      </c>
      <c r="I4" s="38">
        <f>IF($A4="","",ROUND($F4*1,2))</f>
        <v>18000</v>
      </c>
      <c r="J4" s="28">
        <f t="shared" ref="J4:J15" si="2">IF($A4="","",$H4-$I4)</f>
        <v>0</v>
      </c>
      <c r="K4" s="28">
        <f t="shared" ref="K4:K15" si="3">IF($A4="","",$F4-$H4)</f>
        <v>0</v>
      </c>
    </row>
    <row r="5" spans="1:11" ht="15.75" customHeight="1" x14ac:dyDescent="0.25">
      <c r="A5" s="39">
        <v>2</v>
      </c>
      <c r="B5" s="17" t="s">
        <v>62</v>
      </c>
      <c r="C5" s="21" t="s">
        <v>63</v>
      </c>
      <c r="D5" s="37">
        <v>1200</v>
      </c>
      <c r="E5" s="38">
        <v>25</v>
      </c>
      <c r="F5" s="28">
        <f t="shared" si="0"/>
        <v>30000</v>
      </c>
      <c r="G5" s="23">
        <v>0.95</v>
      </c>
      <c r="H5" s="28">
        <f t="shared" si="1"/>
        <v>28500</v>
      </c>
      <c r="I5" s="38">
        <f>IF($A5="","",ROUND($F5*0.8,2))</f>
        <v>24000</v>
      </c>
      <c r="J5" s="28">
        <f t="shared" si="2"/>
        <v>4500</v>
      </c>
      <c r="K5" s="28">
        <f t="shared" si="3"/>
        <v>1500</v>
      </c>
    </row>
    <row r="6" spans="1:11" ht="15.75" customHeight="1" x14ac:dyDescent="0.25">
      <c r="A6" s="36">
        <v>3</v>
      </c>
      <c r="B6" s="17" t="s">
        <v>64</v>
      </c>
      <c r="C6" s="21" t="s">
        <v>63</v>
      </c>
      <c r="D6" s="37">
        <v>350</v>
      </c>
      <c r="E6" s="38">
        <v>400</v>
      </c>
      <c r="F6" s="28">
        <f t="shared" si="0"/>
        <v>140000</v>
      </c>
      <c r="G6" s="23">
        <v>0.88</v>
      </c>
      <c r="H6" s="28">
        <f t="shared" si="1"/>
        <v>123200</v>
      </c>
      <c r="I6" s="38">
        <f>IF($A6="","",ROUND($F6*0.72,2))</f>
        <v>100800</v>
      </c>
      <c r="J6" s="28">
        <f t="shared" si="2"/>
        <v>22400</v>
      </c>
      <c r="K6" s="28">
        <f t="shared" si="3"/>
        <v>16800</v>
      </c>
    </row>
    <row r="7" spans="1:11" ht="15.75" customHeight="1" x14ac:dyDescent="0.25">
      <c r="A7" s="39">
        <v>4</v>
      </c>
      <c r="B7" s="17" t="s">
        <v>65</v>
      </c>
      <c r="C7" s="21" t="s">
        <v>66</v>
      </c>
      <c r="D7" s="37">
        <v>8000</v>
      </c>
      <c r="E7" s="38">
        <v>6.5</v>
      </c>
      <c r="F7" s="28">
        <f t="shared" si="0"/>
        <v>52000</v>
      </c>
      <c r="G7" s="23">
        <v>0.82</v>
      </c>
      <c r="H7" s="28">
        <f t="shared" si="1"/>
        <v>42640</v>
      </c>
      <c r="I7" s="38">
        <f>IF($A7="","",ROUND($F7*0.65,2))</f>
        <v>33800</v>
      </c>
      <c r="J7" s="28">
        <f t="shared" si="2"/>
        <v>8840</v>
      </c>
      <c r="K7" s="28">
        <f t="shared" si="3"/>
        <v>9360</v>
      </c>
    </row>
    <row r="8" spans="1:11" ht="15.75" customHeight="1" x14ac:dyDescent="0.25">
      <c r="A8" s="36">
        <v>5</v>
      </c>
      <c r="B8" s="17" t="s">
        <v>67</v>
      </c>
      <c r="C8" s="21" t="s">
        <v>68</v>
      </c>
      <c r="D8" s="37">
        <v>800</v>
      </c>
      <c r="E8" s="38">
        <v>85</v>
      </c>
      <c r="F8" s="28">
        <f t="shared" si="0"/>
        <v>68000</v>
      </c>
      <c r="G8" s="23">
        <v>0.75</v>
      </c>
      <c r="H8" s="28">
        <f t="shared" si="1"/>
        <v>51000</v>
      </c>
      <c r="I8" s="38">
        <f>IF($A8="","",ROUND($F8*0.6,2))</f>
        <v>40800</v>
      </c>
      <c r="J8" s="28">
        <f t="shared" si="2"/>
        <v>10200</v>
      </c>
      <c r="K8" s="28">
        <f t="shared" si="3"/>
        <v>17000</v>
      </c>
    </row>
    <row r="9" spans="1:11" ht="15.75" customHeight="1" x14ac:dyDescent="0.25">
      <c r="A9" s="39">
        <v>6</v>
      </c>
      <c r="B9" s="17" t="s">
        <v>69</v>
      </c>
      <c r="C9" s="21" t="s">
        <v>61</v>
      </c>
      <c r="D9" s="37">
        <v>1</v>
      </c>
      <c r="E9" s="38">
        <v>45000</v>
      </c>
      <c r="F9" s="28">
        <f t="shared" si="0"/>
        <v>45000</v>
      </c>
      <c r="G9" s="23">
        <v>0.65</v>
      </c>
      <c r="H9" s="28">
        <f t="shared" si="1"/>
        <v>29250</v>
      </c>
      <c r="I9" s="38">
        <f>IF($A9="","",ROUND($F9*0.5,2))</f>
        <v>22500</v>
      </c>
      <c r="J9" s="28">
        <f t="shared" si="2"/>
        <v>6750</v>
      </c>
      <c r="K9" s="28">
        <f t="shared" si="3"/>
        <v>15750</v>
      </c>
    </row>
    <row r="10" spans="1:11" ht="15.75" customHeight="1" x14ac:dyDescent="0.25">
      <c r="A10" s="36">
        <v>7</v>
      </c>
      <c r="B10" s="17" t="s">
        <v>70</v>
      </c>
      <c r="C10" s="21" t="s">
        <v>68</v>
      </c>
      <c r="D10" s="37">
        <v>1400</v>
      </c>
      <c r="E10" s="38">
        <v>30</v>
      </c>
      <c r="F10" s="28">
        <f t="shared" si="0"/>
        <v>42000</v>
      </c>
      <c r="G10" s="23">
        <v>0.6</v>
      </c>
      <c r="H10" s="28">
        <f t="shared" si="1"/>
        <v>25200</v>
      </c>
      <c r="I10" s="38">
        <f>IF($A10="","",ROUND($F10*0.45,2))</f>
        <v>18900</v>
      </c>
      <c r="J10" s="28">
        <f t="shared" si="2"/>
        <v>6300</v>
      </c>
      <c r="K10" s="28">
        <f t="shared" si="3"/>
        <v>16800</v>
      </c>
    </row>
    <row r="11" spans="1:11" ht="15.75" customHeight="1" x14ac:dyDescent="0.25">
      <c r="A11" s="39">
        <v>8</v>
      </c>
      <c r="B11" s="17" t="s">
        <v>71</v>
      </c>
      <c r="C11" s="21" t="s">
        <v>61</v>
      </c>
      <c r="D11" s="37">
        <v>1</v>
      </c>
      <c r="E11" s="38">
        <v>40000</v>
      </c>
      <c r="F11" s="28">
        <f t="shared" si="0"/>
        <v>40000</v>
      </c>
      <c r="G11" s="23">
        <v>0.45</v>
      </c>
      <c r="H11" s="28">
        <f t="shared" si="1"/>
        <v>18000</v>
      </c>
      <c r="I11" s="38">
        <f>IF($A11="","",ROUND($F11*0.25,2))</f>
        <v>10000</v>
      </c>
      <c r="J11" s="28">
        <f t="shared" si="2"/>
        <v>8000</v>
      </c>
      <c r="K11" s="28">
        <f t="shared" si="3"/>
        <v>22000</v>
      </c>
    </row>
    <row r="12" spans="1:11" ht="15.75" customHeight="1" x14ac:dyDescent="0.25">
      <c r="A12" s="36">
        <v>9</v>
      </c>
      <c r="B12" s="17" t="s">
        <v>72</v>
      </c>
      <c r="C12" s="21" t="s">
        <v>61</v>
      </c>
      <c r="D12" s="37">
        <v>1</v>
      </c>
      <c r="E12" s="38">
        <v>32000</v>
      </c>
      <c r="F12" s="28">
        <f t="shared" si="0"/>
        <v>32000</v>
      </c>
      <c r="G12" s="23">
        <v>0.4</v>
      </c>
      <c r="H12" s="28">
        <f t="shared" si="1"/>
        <v>12800</v>
      </c>
      <c r="I12" s="38">
        <f>IF($A12="","",ROUND($F12*0.2,2))</f>
        <v>6400</v>
      </c>
      <c r="J12" s="28">
        <f t="shared" si="2"/>
        <v>6400</v>
      </c>
      <c r="K12" s="28">
        <f t="shared" si="3"/>
        <v>19200</v>
      </c>
    </row>
    <row r="13" spans="1:11" ht="15.75" customHeight="1" x14ac:dyDescent="0.25">
      <c r="A13" s="39">
        <v>10</v>
      </c>
      <c r="B13" s="17" t="s">
        <v>73</v>
      </c>
      <c r="C13" s="21" t="s">
        <v>68</v>
      </c>
      <c r="D13" s="37">
        <v>1300</v>
      </c>
      <c r="E13" s="38">
        <v>10</v>
      </c>
      <c r="F13" s="28">
        <f t="shared" si="0"/>
        <v>13000</v>
      </c>
      <c r="G13" s="23">
        <v>0.15</v>
      </c>
      <c r="H13" s="28">
        <f t="shared" si="1"/>
        <v>1950</v>
      </c>
      <c r="I13" s="38">
        <f>IF($A13="","",ROUND($F13*0,2))</f>
        <v>0</v>
      </c>
      <c r="J13" s="28">
        <f t="shared" si="2"/>
        <v>1950</v>
      </c>
      <c r="K13" s="28">
        <f t="shared" si="3"/>
        <v>11050</v>
      </c>
    </row>
    <row r="14" spans="1:11" ht="15.75" customHeight="1" x14ac:dyDescent="0.25">
      <c r="A14" s="40"/>
      <c r="B14" s="17"/>
      <c r="C14" s="17"/>
      <c r="D14" s="17"/>
      <c r="E14" s="17"/>
      <c r="F14" s="28" t="str">
        <f t="shared" si="0"/>
        <v/>
      </c>
      <c r="G14" s="23"/>
      <c r="H14" s="28" t="str">
        <f t="shared" si="1"/>
        <v/>
      </c>
      <c r="I14" s="38"/>
      <c r="J14" s="28" t="str">
        <f t="shared" si="2"/>
        <v/>
      </c>
      <c r="K14" s="28" t="str">
        <f t="shared" si="3"/>
        <v/>
      </c>
    </row>
    <row r="15" spans="1:11" ht="15.75" customHeight="1" x14ac:dyDescent="0.25">
      <c r="A15" s="41"/>
      <c r="B15" s="17"/>
      <c r="C15" s="17"/>
      <c r="D15" s="17"/>
      <c r="E15" s="17"/>
      <c r="F15" s="28" t="str">
        <f t="shared" si="0"/>
        <v/>
      </c>
      <c r="G15" s="23"/>
      <c r="H15" s="28" t="str">
        <f t="shared" si="1"/>
        <v/>
      </c>
      <c r="I15" s="38"/>
      <c r="J15" s="28" t="str">
        <f t="shared" si="2"/>
        <v/>
      </c>
      <c r="K15" s="28" t="str">
        <f t="shared" si="3"/>
        <v/>
      </c>
    </row>
    <row r="16" spans="1:11" ht="19.5" customHeight="1" x14ac:dyDescent="0.25">
      <c r="A16" s="42" t="s">
        <v>74</v>
      </c>
      <c r="B16" s="43"/>
      <c r="C16" s="43"/>
      <c r="D16" s="43"/>
      <c r="E16" s="43"/>
      <c r="F16" s="44">
        <f>SUM(F4:F15)</f>
        <v>480000</v>
      </c>
      <c r="G16" s="45">
        <f>IF(F16=0,"",H16/F16)</f>
        <v>0.73029166666666667</v>
      </c>
      <c r="H16" s="44">
        <f>SUM(H4:H15)</f>
        <v>350540</v>
      </c>
      <c r="I16" s="44">
        <f>SUM(I4:I15)</f>
        <v>275200</v>
      </c>
      <c r="J16" s="44">
        <f>SUM(J4:J15)</f>
        <v>75340</v>
      </c>
      <c r="K16" s="44">
        <f>SUM(K4:K15)</f>
        <v>129460</v>
      </c>
    </row>
  </sheetData>
  <mergeCells count="2">
    <mergeCell ref="A1:K1"/>
    <mergeCell ref="A2:K2"/>
  </mergeCells>
  <conditionalFormatting sqref="H4:H15">
    <cfRule type="dataBar" priority="2">
      <dataBar>
        <cfvo type="num" val="0"/>
        <cfvo type="max"/>
        <color rgb="FF33566B"/>
      </dataBar>
      <extLst>
        <ext xmlns:x14="http://schemas.microsoft.com/office/spreadsheetml/2009/9/main" uri="{B025F937-C7B1-47D3-B67F-A62EFF666E3E}">
          <x14:id>{138A23C5-B1DC-4620-9B7B-9B1B14491711}</x14:id>
        </ext>
      </extLst>
    </cfRule>
  </conditionalFormatting>
  <dataValidations count="2">
    <dataValidation type="decimal" operator="greaterThanOrEqual" allowBlank="1" sqref="D4:E15 I4:I15" xr:uid="{00000000-0002-0000-0100-000000000000}">
      <formula1>0</formula1>
      <formula2>0</formula2>
    </dataValidation>
    <dataValidation type="decimal" allowBlank="1" error="Avancement entre 0 % et 100 %." sqref="G4:G15" xr:uid="{00000000-0002-0000-0100-000001000000}">
      <formula1>0</formula1>
      <formula2>1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38A23C5-B1DC-4620-9B7B-9B1B14491711}">
            <x14:dataBar axisPosition="none">
              <x14:cfvo type="num">
                <xm:f>0</xm:f>
              </x14:cfvo>
              <x14:cfvo type="max"/>
              <x14:negativeFillColor rgb="FF33566B"/>
            </x14:dataBar>
          </x14:cfRule>
          <xm:sqref>H4:H15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566B"/>
    <pageSetUpPr fitToPage="1"/>
  </sheetPr>
  <dimension ref="A1:H18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10" customWidth="1"/>
    <col min="3" max="3" width="18" customWidth="1"/>
    <col min="4" max="4" width="16" customWidth="1"/>
    <col min="5" max="5" width="18" customWidth="1"/>
    <col min="6" max="6" width="14" customWidth="1"/>
    <col min="7" max="7" width="17" customWidth="1"/>
    <col min="8" max="8" width="15" customWidth="1"/>
  </cols>
  <sheetData>
    <row r="1" spans="1:8" ht="33.75" customHeight="1" x14ac:dyDescent="0.25">
      <c r="A1" s="14" t="s">
        <v>75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2" t="s">
        <v>76</v>
      </c>
      <c r="B2" s="2"/>
      <c r="C2" s="2"/>
      <c r="D2" s="2"/>
      <c r="E2" s="2"/>
      <c r="F2" s="2"/>
      <c r="G2" s="2"/>
      <c r="H2" s="2"/>
    </row>
    <row r="4" spans="1:8" ht="24" customHeight="1" x14ac:dyDescent="0.25">
      <c r="B4" s="1" t="s">
        <v>17</v>
      </c>
      <c r="C4" s="1"/>
      <c r="D4" s="1" t="s">
        <v>77</v>
      </c>
      <c r="E4" s="1"/>
      <c r="F4" s="1" t="s">
        <v>33</v>
      </c>
      <c r="G4" s="1"/>
    </row>
    <row r="5" spans="1:8" x14ac:dyDescent="0.25">
      <c r="B5" s="74">
        <f>'Situation détaillée'!$F$16</f>
        <v>480000</v>
      </c>
      <c r="C5" s="74"/>
      <c r="D5" s="74">
        <f>'Situation détaillée'!$H$16</f>
        <v>350540</v>
      </c>
      <c r="E5" s="74"/>
      <c r="F5" s="75">
        <f>IF('Situation détaillée'!$F$16=0,"",'Situation détaillée'!$H$16/'Situation détaillée'!$F$16)</f>
        <v>0.73029166666666667</v>
      </c>
      <c r="G5" s="75"/>
    </row>
    <row r="6" spans="1:8" x14ac:dyDescent="0.25">
      <c r="B6" s="74"/>
      <c r="C6" s="74"/>
      <c r="D6" s="74"/>
      <c r="E6" s="74"/>
      <c r="F6" s="75"/>
      <c r="G6" s="75"/>
    </row>
    <row r="8" spans="1:8" ht="27.75" customHeight="1" x14ac:dyDescent="0.25">
      <c r="B8" s="26" t="s">
        <v>49</v>
      </c>
      <c r="C8" s="26" t="s">
        <v>78</v>
      </c>
      <c r="D8" s="26" t="s">
        <v>79</v>
      </c>
      <c r="E8" s="26" t="s">
        <v>80</v>
      </c>
      <c r="F8" s="26" t="s">
        <v>81</v>
      </c>
      <c r="G8" s="26" t="s">
        <v>82</v>
      </c>
    </row>
    <row r="9" spans="1:8" ht="15.75" customHeight="1" x14ac:dyDescent="0.25">
      <c r="B9" s="46">
        <v>1</v>
      </c>
      <c r="C9" s="27" t="s">
        <v>83</v>
      </c>
      <c r="D9" s="47">
        <v>46418</v>
      </c>
      <c r="E9" s="48">
        <v>48000</v>
      </c>
      <c r="F9" s="49">
        <f>IF('Situation détaillée'!$F$16=0,"",$E9/'Situation détaillée'!$F$16)</f>
        <v>0.1</v>
      </c>
      <c r="G9" s="48">
        <v>66000</v>
      </c>
      <c r="H9" s="50" t="s">
        <v>84</v>
      </c>
    </row>
    <row r="10" spans="1:8" ht="15.75" customHeight="1" x14ac:dyDescent="0.25">
      <c r="B10" s="51">
        <v>2</v>
      </c>
      <c r="C10" s="52" t="s">
        <v>85</v>
      </c>
      <c r="D10" s="53">
        <v>46446</v>
      </c>
      <c r="E10" s="54">
        <v>150000</v>
      </c>
      <c r="F10" s="55">
        <f>IF('Situation détaillée'!$F$16=0,"",$E10/'Situation détaillée'!$F$16)</f>
        <v>0.3125</v>
      </c>
      <c r="G10" s="54">
        <v>123840</v>
      </c>
      <c r="H10" s="56" t="s">
        <v>84</v>
      </c>
    </row>
    <row r="11" spans="1:8" ht="15.75" customHeight="1" x14ac:dyDescent="0.25">
      <c r="B11" s="46">
        <v>3</v>
      </c>
      <c r="C11" s="27" t="s">
        <v>86</v>
      </c>
      <c r="D11" s="47">
        <v>46477</v>
      </c>
      <c r="E11" s="48">
        <v>275200</v>
      </c>
      <c r="F11" s="49">
        <f>IF('Situation détaillée'!$F$16=0,"",$E11/'Situation détaillée'!$F$16)</f>
        <v>0.57333333333333336</v>
      </c>
      <c r="G11" s="48">
        <v>150720</v>
      </c>
      <c r="H11" s="50" t="s">
        <v>84</v>
      </c>
    </row>
    <row r="12" spans="1:8" ht="15.75" customHeight="1" x14ac:dyDescent="0.25">
      <c r="B12" s="57">
        <f>'État d''acompte'!$C$11</f>
        <v>4</v>
      </c>
      <c r="C12" s="58" t="str">
        <f>'État d''acompte'!$E$11</f>
        <v>Avril 2027</v>
      </c>
      <c r="D12" s="59">
        <f>'État d''acompte'!$E$10</f>
        <v>46507</v>
      </c>
      <c r="E12" s="60">
        <f>'Situation détaillée'!$H$16</f>
        <v>350540</v>
      </c>
      <c r="F12" s="61">
        <f>IF('Situation détaillée'!$F$16=0,"",$E12/'Situation détaillée'!$F$16)</f>
        <v>0.73029166666666667</v>
      </c>
      <c r="G12" s="62">
        <f>'État d''acompte'!$E$33</f>
        <v>74487.461333333384</v>
      </c>
      <c r="H12" s="63" t="s">
        <v>87</v>
      </c>
    </row>
    <row r="13" spans="1:8" ht="15.75" customHeight="1" x14ac:dyDescent="0.25">
      <c r="B13" s="21"/>
      <c r="C13" s="21"/>
      <c r="D13" s="21"/>
      <c r="E13" s="38"/>
      <c r="F13" s="64" t="str">
        <f>IF(OR($E13="",'Situation détaillée'!$F$16=0),"",$E13/'Situation détaillée'!$F$16)</f>
        <v/>
      </c>
      <c r="G13" s="38"/>
      <c r="H13" s="21"/>
    </row>
    <row r="14" spans="1:8" ht="15.75" customHeight="1" x14ac:dyDescent="0.25">
      <c r="B14" s="21"/>
      <c r="C14" s="21"/>
      <c r="D14" s="21"/>
      <c r="E14" s="38"/>
      <c r="F14" s="64" t="str">
        <f>IF(OR($E14="",'Situation détaillée'!$F$16=0),"",$E14/'Situation détaillée'!$F$16)</f>
        <v/>
      </c>
      <c r="G14" s="38"/>
      <c r="H14" s="21"/>
    </row>
    <row r="15" spans="1:8" ht="15.75" customHeight="1" x14ac:dyDescent="0.25">
      <c r="B15" s="21"/>
      <c r="C15" s="21"/>
      <c r="D15" s="21"/>
      <c r="E15" s="38"/>
      <c r="F15" s="64" t="str">
        <f>IF(OR($E15="",'Situation détaillée'!$F$16=0),"",$E15/'Situation détaillée'!$F$16)</f>
        <v/>
      </c>
      <c r="G15" s="38"/>
      <c r="H15" s="21"/>
    </row>
    <row r="16" spans="1:8" ht="19.5" customHeight="1" x14ac:dyDescent="0.25">
      <c r="B16" s="76" t="s">
        <v>88</v>
      </c>
      <c r="C16" s="76"/>
      <c r="D16" s="76"/>
      <c r="E16" s="76"/>
      <c r="F16" s="76"/>
      <c r="G16" s="65">
        <f>SUM(G9:G15)</f>
        <v>415047.4613333334</v>
      </c>
      <c r="H16" s="43"/>
    </row>
    <row r="18" spans="2:8" ht="19.5" customHeight="1" x14ac:dyDescent="0.25">
      <c r="B18" s="12" t="s">
        <v>89</v>
      </c>
      <c r="C18" s="12"/>
      <c r="D18" s="12"/>
      <c r="E18" s="12"/>
      <c r="F18" s="12"/>
      <c r="G18" s="12"/>
      <c r="H18" s="12"/>
    </row>
  </sheetData>
  <mergeCells count="10">
    <mergeCell ref="B5:C6"/>
    <mergeCell ref="D5:E6"/>
    <mergeCell ref="F5:G6"/>
    <mergeCell ref="B16:F16"/>
    <mergeCell ref="B18:H18"/>
    <mergeCell ref="A1:H1"/>
    <mergeCell ref="A2:H2"/>
    <mergeCell ref="B4:C4"/>
    <mergeCell ref="D4:E4"/>
    <mergeCell ref="F4:G4"/>
  </mergeCells>
  <conditionalFormatting sqref="H9:H15">
    <cfRule type="expression" dxfId="1" priority="2">
      <formula>$H9="Payé"</formula>
    </cfRule>
    <cfRule type="expression" dxfId="0" priority="3">
      <formula>$H9="En attente"</formula>
    </cfRule>
  </conditionalFormatting>
  <dataValidations count="1">
    <dataValidation type="list" allowBlank="1" sqref="H9:H15" xr:uid="{00000000-0002-0000-0200-000000000000}">
      <formula1>"Payé,Mandaté,En attente,En cours"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D6E7A"/>
  </sheetPr>
  <dimension ref="B2:C24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66" customWidth="1"/>
    <col min="3" max="3" width="4" customWidth="1"/>
  </cols>
  <sheetData>
    <row r="2" spans="2:2" ht="31.5" customHeight="1" x14ac:dyDescent="0.25">
      <c r="B2" s="66" t="s">
        <v>90</v>
      </c>
    </row>
    <row r="3" spans="2:2" ht="18" customHeight="1" x14ac:dyDescent="0.25">
      <c r="B3" s="67" t="s">
        <v>91</v>
      </c>
    </row>
    <row r="5" spans="2:2" ht="19.5" customHeight="1" x14ac:dyDescent="0.25">
      <c r="B5" s="68" t="s">
        <v>92</v>
      </c>
    </row>
    <row r="6" spans="2:2" ht="51.75" customHeight="1" x14ac:dyDescent="0.25">
      <c r="B6" s="69" t="s">
        <v>93</v>
      </c>
    </row>
    <row r="7" spans="2:2" ht="19.5" customHeight="1" x14ac:dyDescent="0.25">
      <c r="B7" s="68" t="s">
        <v>94</v>
      </c>
    </row>
    <row r="8" spans="2:2" ht="51.75" customHeight="1" x14ac:dyDescent="0.25">
      <c r="B8" s="69" t="s">
        <v>95</v>
      </c>
    </row>
    <row r="9" spans="2:2" ht="19.5" customHeight="1" x14ac:dyDescent="0.25">
      <c r="B9" s="68" t="s">
        <v>96</v>
      </c>
    </row>
    <row r="10" spans="2:2" ht="51.75" customHeight="1" x14ac:dyDescent="0.25">
      <c r="B10" s="69" t="s">
        <v>97</v>
      </c>
    </row>
    <row r="11" spans="2:2" ht="19.5" customHeight="1" x14ac:dyDescent="0.25">
      <c r="B11" s="68" t="s">
        <v>98</v>
      </c>
    </row>
    <row r="12" spans="2:2" ht="51.75" customHeight="1" x14ac:dyDescent="0.25">
      <c r="B12" s="69" t="s">
        <v>99</v>
      </c>
    </row>
    <row r="13" spans="2:2" ht="19.5" customHeight="1" x14ac:dyDescent="0.25">
      <c r="B13" s="68" t="s">
        <v>100</v>
      </c>
    </row>
    <row r="14" spans="2:2" ht="51.75" customHeight="1" x14ac:dyDescent="0.25">
      <c r="B14" s="69" t="s">
        <v>101</v>
      </c>
    </row>
    <row r="16" spans="2:2" ht="19.5" customHeight="1" x14ac:dyDescent="0.25">
      <c r="B16" s="68" t="s">
        <v>102</v>
      </c>
    </row>
    <row r="17" spans="2:3" ht="18" customHeight="1" x14ac:dyDescent="0.25">
      <c r="B17" s="27" t="s">
        <v>103</v>
      </c>
      <c r="C17" s="70"/>
    </row>
    <row r="18" spans="2:3" ht="18" customHeight="1" x14ac:dyDescent="0.25">
      <c r="B18" s="27" t="s">
        <v>104</v>
      </c>
      <c r="C18" s="71"/>
    </row>
    <row r="19" spans="2:3" ht="18" customHeight="1" x14ac:dyDescent="0.25">
      <c r="B19" s="27" t="s">
        <v>105</v>
      </c>
      <c r="C19" s="72"/>
    </row>
    <row r="20" spans="2:3" ht="18" customHeight="1" x14ac:dyDescent="0.25">
      <c r="B20" s="27" t="s">
        <v>106</v>
      </c>
      <c r="C20" s="73"/>
    </row>
    <row r="22" spans="2:3" ht="15" customHeight="1" x14ac:dyDescent="0.25">
      <c r="B22" s="77" t="s">
        <v>107</v>
      </c>
    </row>
    <row r="23" spans="2:3" x14ac:dyDescent="0.25">
      <c r="B23" s="77"/>
    </row>
    <row r="24" spans="2:3" x14ac:dyDescent="0.25">
      <c r="B24" s="77"/>
    </row>
  </sheetData>
  <mergeCells count="1">
    <mergeCell ref="B22:B24"/>
  </mergeCells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État d'acompte</vt:lpstr>
      <vt:lpstr>Situation détaillée</vt:lpstr>
      <vt:lpstr>Suivi des acomptes</vt:lpstr>
      <vt:lpstr>Notice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2026-09-23T15:59:46Z</dcterms:created>
  <dcterms:modified xsi:type="dcterms:W3CDTF">2026-09-27T16:41:11Z</dcterms:modified>
  <dc:language>en-US</dc:language>
</cp:coreProperties>
</file>