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ModelesExcel\Generador\"/>
    </mc:Choice>
  </mc:AlternateContent>
  <xr:revisionPtr revIDLastSave="0" documentId="13_ncr:1_{8EFE4980-EA5C-4813-9AF3-91695CD24B83}" xr6:coauthVersionLast="47" xr6:coauthVersionMax="47" xr10:uidLastSave="{00000000-0000-0000-0000-000000000000}"/>
  <bookViews>
    <workbookView xWindow="690" yWindow="690" windowWidth="25500" windowHeight="13500" tabRatio="500" xr2:uid="{00000000-000D-0000-FFFF-FFFF00000000}"/>
  </bookViews>
  <sheets>
    <sheet name="État d'acompte" sheetId="1" r:id="rId1"/>
    <sheet name="Situation" sheetId="2" r:id="rId2"/>
    <sheet name="Suivi &amp; pilotage" sheetId="3" r:id="rId3"/>
    <sheet name="Mode d'emploi" sheetId="4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6" i="3" l="1"/>
  <c r="C16" i="3"/>
  <c r="B16" i="3"/>
  <c r="K17" i="2"/>
  <c r="J17" i="2"/>
  <c r="H17" i="2"/>
  <c r="F17" i="2"/>
  <c r="K16" i="2"/>
  <c r="J16" i="2"/>
  <c r="H16" i="2"/>
  <c r="F16" i="2"/>
  <c r="F15" i="2"/>
  <c r="I15" i="2" s="1"/>
  <c r="F14" i="2"/>
  <c r="F13" i="2"/>
  <c r="I13" i="2" s="1"/>
  <c r="H12" i="2"/>
  <c r="F12" i="2"/>
  <c r="I12" i="2" s="1"/>
  <c r="F11" i="2"/>
  <c r="H10" i="2"/>
  <c r="F10" i="2"/>
  <c r="K10" i="2" s="1"/>
  <c r="F9" i="2"/>
  <c r="I9" i="2" s="1"/>
  <c r="F8" i="2"/>
  <c r="H8" i="2" s="1"/>
  <c r="F7" i="2"/>
  <c r="F18" i="2" s="1"/>
  <c r="E40" i="1"/>
  <c r="E2" i="1"/>
  <c r="K11" i="2" l="1"/>
  <c r="J12" i="2"/>
  <c r="F11" i="3"/>
  <c r="E22" i="1"/>
  <c r="F13" i="3"/>
  <c r="F15" i="3"/>
  <c r="B16" i="1"/>
  <c r="F12" i="3"/>
  <c r="B7" i="3"/>
  <c r="F14" i="3"/>
  <c r="J8" i="2"/>
  <c r="I8" i="2"/>
  <c r="K8" i="2"/>
  <c r="K12" i="2"/>
  <c r="I10" i="2"/>
  <c r="J10" i="2" s="1"/>
  <c r="H11" i="2"/>
  <c r="I11" i="2"/>
  <c r="H7" i="2"/>
  <c r="I7" i="2"/>
  <c r="H9" i="2"/>
  <c r="H13" i="2"/>
  <c r="H14" i="2"/>
  <c r="J14" i="2" s="1"/>
  <c r="I14" i="2"/>
  <c r="H15" i="2"/>
  <c r="J15" i="2" s="1"/>
  <c r="K7" i="2"/>
  <c r="K18" i="2" l="1"/>
  <c r="K15" i="2"/>
  <c r="J9" i="2"/>
  <c r="K9" i="2"/>
  <c r="J13" i="2"/>
  <c r="K13" i="2"/>
  <c r="I18" i="2"/>
  <c r="C26" i="1" s="1"/>
  <c r="C29" i="1" s="1"/>
  <c r="C31" i="1" s="1"/>
  <c r="H18" i="2"/>
  <c r="J7" i="2"/>
  <c r="K14" i="2"/>
  <c r="J11" i="2"/>
  <c r="J18" i="2" l="1"/>
  <c r="D26" i="1"/>
  <c r="E16" i="3"/>
  <c r="F16" i="3" s="1"/>
  <c r="D7" i="3"/>
  <c r="G18" i="2"/>
  <c r="F7" i="3"/>
  <c r="C27" i="1"/>
  <c r="C28" i="1"/>
  <c r="C32" i="1" l="1"/>
  <c r="C30" i="1"/>
  <c r="E26" i="1"/>
  <c r="D28" i="1"/>
  <c r="D27" i="1"/>
  <c r="E27" i="1" s="1"/>
  <c r="D29" i="1"/>
  <c r="D30" i="1" l="1"/>
  <c r="E30" i="1" s="1"/>
  <c r="E38" i="1" s="1"/>
  <c r="E28" i="1"/>
  <c r="E35" i="1" s="1"/>
  <c r="C16" i="1"/>
  <c r="D31" i="1"/>
  <c r="E31" i="1" s="1"/>
  <c r="E39" i="1" s="1"/>
  <c r="E29" i="1"/>
  <c r="D32" i="1" l="1"/>
  <c r="E32" i="1" s="1"/>
  <c r="E36" i="1"/>
  <c r="E37" i="1" s="1"/>
  <c r="E41" i="1" s="1"/>
  <c r="G16" i="3" l="1"/>
  <c r="D16" i="1"/>
  <c r="B42" i="1"/>
  <c r="H7" i="3" l="1"/>
  <c r="G17" i="3"/>
</calcChain>
</file>

<file path=xl/sharedStrings.xml><?xml version="1.0" encoding="utf-8"?>
<sst xmlns="http://schemas.openxmlformats.org/spreadsheetml/2006/main" count="130" uniqueCount="118">
  <si>
    <t>ÉTAT D'ACOMPTE MENSUEL</t>
  </si>
  <si>
    <t>Marché public de travaux — état établi au titre du CCAG Travaux · pièce justifiant l'acompte</t>
  </si>
  <si>
    <t>IDENTIFICATION DU MARCHÉ</t>
  </si>
  <si>
    <t>Marché n°</t>
  </si>
  <si>
    <t>2026-T02-087</t>
  </si>
  <si>
    <t>Acompte n°</t>
  </si>
  <si>
    <t>Période</t>
  </si>
  <si>
    <t>Juin 2027</t>
  </si>
  <si>
    <t>Date d'établissement</t>
  </si>
  <si>
    <t>Maître d'ouvrage</t>
  </si>
  <si>
    <t>Communauté de communes des Coteaux Verts</t>
  </si>
  <si>
    <t>Maître d'œuvre</t>
  </si>
  <si>
    <t>Cabinet Aubry-Vasseur, architectes &amp; ingénierie</t>
  </si>
  <si>
    <t>Titulaire du marché</t>
  </si>
  <si>
    <t>SAS Charpentes &amp; Toitures du Ponant</t>
  </si>
  <si>
    <t>Objet du marché</t>
  </si>
  <si>
    <t>Pôle sportif intercommunal — Lot 2 : charpente, couverture, bardage</t>
  </si>
  <si>
    <t>SYNTHÈSE DE L'ACOMPTE</t>
  </si>
  <si>
    <t>Montant du marché HT</t>
  </si>
  <si>
    <t>Avancement global</t>
  </si>
  <si>
    <t>NET À PAYER (€ TTC)</t>
  </si>
  <si>
    <t>PARAMÈTRES FINANCIERS</t>
  </si>
  <si>
    <t>Taux de TVA</t>
  </si>
  <si>
    <t>Retenue de garantie</t>
  </si>
  <si>
    <t>Coefficient de révision / actualisation</t>
  </si>
  <si>
    <t>Avance forfaitaire versée (€)</t>
  </si>
  <si>
    <t>Remboursement avance — début (% d'avancement)</t>
  </si>
  <si>
    <t>Remboursement avance — fin (% d'avancement)</t>
  </si>
  <si>
    <t>Pénalités du présent acompte (€)</t>
  </si>
  <si>
    <t>DÉCOMPTE CUMULÉ (HORS TAXES)</t>
  </si>
  <si>
    <t>Rubrique</t>
  </si>
  <si>
    <t>Cumul antérieur</t>
  </si>
  <si>
    <t>Cumul à ce jour</t>
  </si>
  <si>
    <t>Présent acompte</t>
  </si>
  <si>
    <t>Travaux exécutés</t>
  </si>
  <si>
    <t>Révision / actualisation de prix</t>
  </si>
  <si>
    <t>Montant HT (base + révision)</t>
  </si>
  <si>
    <t>Retenue de garantie (5 %)</t>
  </si>
  <si>
    <t>Remboursement de l'avance forfaitaire</t>
  </si>
  <si>
    <t>Montant net HT à mandater</t>
  </si>
  <si>
    <t>LIQUIDATION DU PRÉSENT ACOMPTE</t>
  </si>
  <si>
    <t>Montant HT du présent acompte</t>
  </si>
  <si>
    <t>TVA (20 %)</t>
  </si>
  <si>
    <t>Montant TTC</t>
  </si>
  <si>
    <t>À déduire — retenue de garantie du mois</t>
  </si>
  <si>
    <t>À déduire — remboursement de l'avance du mois</t>
  </si>
  <si>
    <t>À déduire — pénalités</t>
  </si>
  <si>
    <t>NET À PAYER — ACOMPTE À MANDATER (€ TTC)</t>
  </si>
  <si>
    <t>Le titulaire</t>
  </si>
  <si>
    <t>Le maître d'œuvre</t>
  </si>
  <si>
    <t>SITUATION DE TRAVAUX</t>
  </si>
  <si>
    <t>Décompte des prestations exécutées — avancement cumulé par poste · alimente l'état d'acompte · 2027</t>
  </si>
  <si>
    <t>N°</t>
  </si>
  <si>
    <t>Désignation des prestations</t>
  </si>
  <si>
    <t>Unité</t>
  </si>
  <si>
    <t>Quantité</t>
  </si>
  <si>
    <t>P.U. HT (€)</t>
  </si>
  <si>
    <t>Montant marché HT (€)</t>
  </si>
  <si>
    <t>Avancement</t>
  </si>
  <si>
    <t>Montant à ce jour HT (€)</t>
  </si>
  <si>
    <t>Cumul antérieur HT (€)</t>
  </si>
  <si>
    <t>Réalisé du mois HT (€)</t>
  </si>
  <si>
    <t>Reste à réaliser HT (€)</t>
  </si>
  <si>
    <t>Installation et repli de chantier</t>
  </si>
  <si>
    <t>Ens</t>
  </si>
  <si>
    <t>Charpente en lamellé-collé</t>
  </si>
  <si>
    <t>m³</t>
  </si>
  <si>
    <t>Charpente métallique secondaire</t>
  </si>
  <si>
    <t>kg</t>
  </si>
  <si>
    <t>Couverture bac acier isolé</t>
  </si>
  <si>
    <t>m²</t>
  </si>
  <si>
    <t>Étanchéité toiture-terrasse</t>
  </si>
  <si>
    <t>Bardage métallique double peau</t>
  </si>
  <si>
    <t>Zinguerie et évacuations EP</t>
  </si>
  <si>
    <t>ml</t>
  </si>
  <si>
    <t>Désenfumage et lanterneaux</t>
  </si>
  <si>
    <t>U</t>
  </si>
  <si>
    <t>Serrurerie et garde-corps</t>
  </si>
  <si>
    <t>TOTAL</t>
  </si>
  <si>
    <t>SUIVI &amp; PILOTAGE DU MARCHÉ</t>
  </si>
  <si>
    <t>Historique des acomptes, avancement et trésorerie mandatée · 2027</t>
  </si>
  <si>
    <t>MONTANT DU MARCHÉ HT</t>
  </si>
  <si>
    <t>RÉALISÉ CUMULÉ HT</t>
  </si>
  <si>
    <t>AVANCEMENT GLOBAL</t>
  </si>
  <si>
    <t>TOTAL MANDATÉ (net)</t>
  </si>
  <si>
    <t>HISTORIQUE DES ACOMPTES</t>
  </si>
  <si>
    <t>Date d'arrêté</t>
  </si>
  <si>
    <t>Travaux cumulé HT (€)</t>
  </si>
  <si>
    <t>Net à payer (€)</t>
  </si>
  <si>
    <t>Statut</t>
  </si>
  <si>
    <t>Janvier 2027</t>
  </si>
  <si>
    <t>Payé</t>
  </si>
  <si>
    <t>Février 2027</t>
  </si>
  <si>
    <t>Mars 2027</t>
  </si>
  <si>
    <t>Avril 2027</t>
  </si>
  <si>
    <t>Mai 2027</t>
  </si>
  <si>
    <t>En cours</t>
  </si>
  <si>
    <t>TOTAL DES ACOMPTES (net à payer)</t>
  </si>
  <si>
    <t>Avancement cumulé (%)</t>
  </si>
  <si>
    <t>Net à payer par acompte (€)</t>
  </si>
  <si>
    <t>MODE D'EMPLOI</t>
  </si>
  <si>
    <t>Établir un état d'acompte mensuel de marché public de travaux</t>
  </si>
  <si>
    <t>1 · Renseigner la situation</t>
  </si>
  <si>
    <t>Dans « Situation », listez les postes du marché (désignation, quantité, prix unitaire). Pour chaque poste, saisissez l'avancement cumulé (%) et le cumul antérieur figurant sur l'acompte précédent.</t>
  </si>
  <si>
    <t>2 · Compléter l'en-tête</t>
  </si>
  <si>
    <t>Dans « État d'acompte », renseignez l'identification (intervenants, n° de marché, n° et période d'acompte) et les paramètres financiers : TVA, retenue de garantie, coefficient de révision, avance et seuils de remboursement.</t>
  </si>
  <si>
    <t>3 · Lire le décompte</t>
  </si>
  <si>
    <t>Le décompte cumulé calcule seul (cumul antérieur / à ce jour / présent acompte). La liquidation en déduit le NET À PAYER après TVA, retenue de garantie, remboursement d'avance et pénalités.</t>
  </si>
  <si>
    <t>4 · Piloter le marché</t>
  </si>
  <si>
    <t>« Suivi &amp; pilotage » récapitule les acomptes successifs, l'avancement global et la trésorerie mandatée, avec deux graphiques.</t>
  </si>
  <si>
    <t>5 · Réutiliser le modèle</t>
  </si>
  <si>
    <t>Remplacez les données d'exemple. Le remboursement de l'avance démarre automatiquement au seuil de début (65 %) et s'achève au seuil de fin (80 %) d'avancement.</t>
  </si>
  <si>
    <t>LÉGENDE</t>
  </si>
  <si>
    <t>Cellule à saisir</t>
  </si>
  <si>
    <t>Cellule calculée automatiquement</t>
  </si>
  <si>
    <t>Sous-total / acompte en cours</t>
  </si>
  <si>
    <t>Montant à déduire</t>
  </si>
  <si>
    <t>Modèle indicatif à adapter au CCAP et au CCAG applicables. Les taux (TVA, retenue de garantie), le régime de l'avance et les règles de révision priment sur les valeurs d'exemple.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</si>
</sst>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&quot; €&quot;"/>
    <numFmt numFmtId="165" formatCode="0.0%"/>
    <numFmt numFmtId="166" formatCode="#,##0.00&quot; €&quot;"/>
    <numFmt numFmtId="167" formatCode="0.000"/>
    <numFmt numFmtId="168" formatCode="#,##0.##"/>
  </numFmts>
  <fonts count="28" x14ac:knownFonts="1">
    <font>
      <sz val="11"/>
      <color theme="1"/>
      <name val="Calibri"/>
      <family val="2"/>
      <charset val="1"/>
    </font>
    <font>
      <b/>
      <sz val="18"/>
      <color rgb="FFFFFFFF"/>
      <name val="Calibri"/>
      <charset val="1"/>
    </font>
    <font>
      <b/>
      <sz val="13"/>
      <color rgb="FFFFFFFF"/>
      <name val="Calibri"/>
      <charset val="1"/>
    </font>
    <font>
      <sz val="8"/>
      <color rgb="FF5B6472"/>
      <name val="Calibri"/>
      <charset val="1"/>
    </font>
    <font>
      <b/>
      <sz val="9"/>
      <color rgb="FF155A85"/>
      <name val="Calibri"/>
      <charset val="1"/>
    </font>
    <font>
      <b/>
      <sz val="9"/>
      <color rgb="FF5B6472"/>
      <name val="Calibri"/>
      <charset val="1"/>
    </font>
    <font>
      <sz val="10"/>
      <color rgb="FF20242B"/>
      <name val="Calibri"/>
      <charset val="1"/>
    </font>
    <font>
      <b/>
      <sz val="8"/>
      <color rgb="FF1D6FA3"/>
      <name val="Calibri"/>
      <charset val="1"/>
    </font>
    <font>
      <sz val="8"/>
      <color rgb="FF9AA3AE"/>
      <name val="Calibri"/>
      <charset val="1"/>
    </font>
    <font>
      <b/>
      <sz val="9"/>
      <color rgb="FF1D6FA3"/>
      <name val="Calibri"/>
      <charset val="1"/>
    </font>
    <font>
      <b/>
      <sz val="12"/>
      <color rgb="FFFFFFFF"/>
      <name val="Calibri"/>
      <charset val="1"/>
    </font>
    <font>
      <b/>
      <sz val="20"/>
      <color rgb="FFFFFFFF"/>
      <name val="Calibri"/>
      <charset val="1"/>
    </font>
    <font>
      <b/>
      <sz val="10"/>
      <color rgb="FF155A85"/>
      <name val="Calibri"/>
      <charset val="1"/>
    </font>
    <font>
      <b/>
      <sz val="9"/>
      <color rgb="FFFFFFFF"/>
      <name val="Calibri"/>
      <charset val="1"/>
    </font>
    <font>
      <b/>
      <sz val="10"/>
      <color rgb="FF20242B"/>
      <name val="Calibri"/>
      <charset val="1"/>
    </font>
    <font>
      <sz val="11"/>
      <color rgb="FF20242B"/>
      <name val="Calibri"/>
      <charset val="1"/>
    </font>
    <font>
      <b/>
      <sz val="11"/>
      <color rgb="FF20242B"/>
      <name val="Calibri"/>
      <charset val="1"/>
    </font>
    <font>
      <sz val="10"/>
      <color rgb="FFB4433A"/>
      <name val="Calibri"/>
      <charset val="1"/>
    </font>
    <font>
      <sz val="11"/>
      <color rgb="FFB4433A"/>
      <name val="Calibri"/>
      <charset val="1"/>
    </font>
    <font>
      <b/>
      <sz val="14"/>
      <color rgb="FFFFFFFF"/>
      <name val="Calibri"/>
      <charset val="1"/>
    </font>
    <font>
      <sz val="9"/>
      <color rgb="FF155A85"/>
      <name val="Calibri"/>
      <charset val="1"/>
    </font>
    <font>
      <b/>
      <sz val="10"/>
      <color rgb="FFFFFFFF"/>
      <name val="Calibri"/>
      <charset val="1"/>
    </font>
    <font>
      <b/>
      <sz val="8"/>
      <color rgb="FF5B6472"/>
      <name val="Calibri"/>
      <charset val="1"/>
    </font>
    <font>
      <b/>
      <sz val="16"/>
      <color rgb="FF20242B"/>
      <name val="Calibri"/>
      <charset val="1"/>
    </font>
    <font>
      <b/>
      <sz val="16"/>
      <color rgb="FF155A85"/>
      <name val="Calibri"/>
      <charset val="1"/>
    </font>
    <font>
      <b/>
      <sz val="16"/>
      <color rgb="FF1E7A5A"/>
      <name val="Calibri"/>
      <charset val="1"/>
    </font>
    <font>
      <b/>
      <sz val="11"/>
      <color rgb="FFFFFFFF"/>
      <name val="Calibri"/>
      <charset val="1"/>
    </font>
    <font>
      <b/>
      <sz val="11"/>
      <color rgb="FF155A85"/>
      <name val="Calibri"/>
      <charset val="1"/>
    </font>
  </fonts>
  <fills count="11">
    <fill>
      <patternFill patternType="none"/>
    </fill>
    <fill>
      <patternFill patternType="gray125"/>
    </fill>
    <fill>
      <patternFill patternType="solid">
        <fgColor rgb="FF171A21"/>
        <bgColor rgb="FF20242B"/>
      </patternFill>
    </fill>
    <fill>
      <patternFill patternType="solid">
        <fgColor rgb="FFFFFFFF"/>
        <bgColor rgb="FFF9F9F9"/>
      </patternFill>
    </fill>
    <fill>
      <patternFill patternType="solid">
        <fgColor rgb="FF1D6FA3"/>
        <bgColor rgb="FF155A85"/>
      </patternFill>
    </fill>
    <fill>
      <patternFill patternType="solid">
        <fgColor rgb="FFE7F0F7"/>
        <bgColor rgb="FFE4F1EA"/>
      </patternFill>
    </fill>
    <fill>
      <patternFill patternType="solid">
        <fgColor rgb="FFFCF7EA"/>
        <bgColor rgb="FFF9F9F9"/>
      </patternFill>
    </fill>
    <fill>
      <patternFill patternType="solid">
        <fgColor rgb="FFF1F4F7"/>
        <bgColor rgb="FFF5F7F9"/>
      </patternFill>
    </fill>
    <fill>
      <patternFill patternType="solid">
        <fgColor rgb="FF2B3340"/>
        <bgColor rgb="FF20242B"/>
      </patternFill>
    </fill>
    <fill>
      <patternFill patternType="solid">
        <fgColor rgb="FFF7E7E4"/>
        <bgColor rgb="FFF1F4F7"/>
      </patternFill>
    </fill>
    <fill>
      <patternFill patternType="solid">
        <fgColor rgb="FFF5F7F9"/>
        <bgColor rgb="FFF9F9F9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1D6FA3"/>
      </bottom>
      <diagonal/>
    </border>
    <border>
      <left style="thin">
        <color rgb="FFE1E6EC"/>
      </left>
      <right style="thin">
        <color rgb="FFE1E6EC"/>
      </right>
      <top style="thin">
        <color rgb="FFE1E6EC"/>
      </top>
      <bottom style="thin">
        <color rgb="FFE1E6EC"/>
      </bottom>
      <diagonal/>
    </border>
    <border>
      <left style="thin">
        <color rgb="FFE1E6EC"/>
      </left>
      <right/>
      <top style="thin">
        <color rgb="FFE1E6EC"/>
      </top>
      <bottom style="thin">
        <color rgb="FFE1E6EC"/>
      </bottom>
      <diagonal/>
    </border>
    <border>
      <left style="thin">
        <color rgb="FFE1E6EC"/>
      </left>
      <right style="thin">
        <color rgb="FFE1E6EC"/>
      </right>
      <top style="thin">
        <color rgb="FF155A85"/>
      </top>
      <bottom style="thin">
        <color rgb="FFE1E6EC"/>
      </bottom>
      <diagonal/>
    </border>
    <border>
      <left style="thin">
        <color rgb="FFE1E6EC"/>
      </left>
      <right style="thin">
        <color rgb="FFE1E6EC"/>
      </right>
      <top style="medium">
        <color rgb="FF1D6FA3"/>
      </top>
      <bottom style="medium">
        <color rgb="FF1D6FA3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2" xfId="0" applyBorder="1"/>
    <xf numFmtId="0" fontId="5" fillId="0" borderId="0" xfId="0" applyFont="1" applyAlignment="1">
      <alignment horizontal="left" vertical="center" wrapText="1"/>
    </xf>
    <xf numFmtId="0" fontId="20" fillId="3" borderId="0" xfId="0" applyFont="1" applyFill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/>
    </xf>
    <xf numFmtId="0" fontId="15" fillId="9" borderId="2" xfId="0" applyFont="1" applyFill="1" applyBorder="1" applyAlignment="1">
      <alignment horizontal="left" vertical="center" wrapText="1"/>
    </xf>
    <xf numFmtId="0" fontId="15" fillId="5" borderId="4" xfId="0" applyFont="1" applyFill="1" applyBorder="1" applyAlignment="1">
      <alignment horizontal="left" vertical="center" wrapText="1"/>
    </xf>
    <xf numFmtId="0" fontId="15" fillId="3" borderId="2" xfId="0" applyFont="1" applyFill="1" applyBorder="1" applyAlignment="1">
      <alignment horizontal="left" vertical="center" wrapText="1"/>
    </xf>
    <xf numFmtId="166" fontId="11" fillId="2" borderId="0" xfId="0" applyNumberFormat="1" applyFont="1" applyFill="1" applyAlignment="1">
      <alignment horizontal="right" vertical="center"/>
    </xf>
    <xf numFmtId="0" fontId="9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6" fillId="6" borderId="3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0" fillId="2" borderId="0" xfId="0" applyFill="1"/>
    <xf numFmtId="0" fontId="0" fillId="4" borderId="0" xfId="0" applyFill="1"/>
    <xf numFmtId="0" fontId="5" fillId="0" borderId="0" xfId="0" applyFont="1" applyAlignment="1">
      <alignment horizontal="left" vertical="center" wrapText="1"/>
    </xf>
    <xf numFmtId="0" fontId="6" fillId="6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1" fontId="6" fillId="6" borderId="2" xfId="0" applyNumberFormat="1" applyFont="1" applyFill="1" applyBorder="1" applyAlignment="1">
      <alignment horizontal="center" vertical="center" wrapText="1"/>
    </xf>
    <xf numFmtId="14" fontId="6" fillId="6" borderId="2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vertical="center"/>
    </xf>
    <xf numFmtId="164" fontId="10" fillId="2" borderId="0" xfId="0" applyNumberFormat="1" applyFont="1" applyFill="1" applyAlignment="1">
      <alignment horizontal="left" vertical="center"/>
    </xf>
    <xf numFmtId="165" fontId="10" fillId="2" borderId="0" xfId="0" applyNumberFormat="1" applyFont="1" applyFill="1" applyAlignment="1">
      <alignment horizontal="left" vertical="center"/>
    </xf>
    <xf numFmtId="9" fontId="6" fillId="6" borderId="2" xfId="0" applyNumberFormat="1" applyFont="1" applyFill="1" applyBorder="1" applyAlignment="1">
      <alignment horizontal="center" vertical="center" wrapText="1"/>
    </xf>
    <xf numFmtId="167" fontId="6" fillId="6" borderId="2" xfId="0" applyNumberFormat="1" applyFont="1" applyFill="1" applyBorder="1" applyAlignment="1">
      <alignment horizontal="center" vertical="center" wrapText="1"/>
    </xf>
    <xf numFmtId="166" fontId="6" fillId="6" borderId="2" xfId="0" applyNumberFormat="1" applyFont="1" applyFill="1" applyBorder="1" applyAlignment="1">
      <alignment horizontal="center" vertical="center" wrapText="1"/>
    </xf>
    <xf numFmtId="166" fontId="12" fillId="7" borderId="2" xfId="0" applyNumberFormat="1" applyFont="1" applyFill="1" applyBorder="1" applyAlignment="1">
      <alignment horizontal="center" vertical="center" wrapText="1"/>
    </xf>
    <xf numFmtId="0" fontId="13" fillId="8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166" fontId="6" fillId="7" borderId="2" xfId="0" applyNumberFormat="1" applyFont="1" applyFill="1" applyBorder="1" applyAlignment="1">
      <alignment horizontal="right" vertical="center"/>
    </xf>
    <xf numFmtId="0" fontId="14" fillId="5" borderId="4" xfId="0" applyFont="1" applyFill="1" applyBorder="1" applyAlignment="1">
      <alignment horizontal="left" vertical="center" wrapText="1"/>
    </xf>
    <xf numFmtId="166" fontId="14" fillId="5" borderId="4" xfId="0" applyNumberFormat="1" applyFont="1" applyFill="1" applyBorder="1" applyAlignment="1">
      <alignment horizontal="right" vertical="center"/>
    </xf>
    <xf numFmtId="165" fontId="6" fillId="7" borderId="2" xfId="0" applyNumberFormat="1" applyFont="1" applyFill="1" applyBorder="1" applyAlignment="1">
      <alignment horizontal="right" vertical="center"/>
    </xf>
    <xf numFmtId="166" fontId="15" fillId="3" borderId="2" xfId="0" applyNumberFormat="1" applyFont="1" applyFill="1" applyBorder="1" applyAlignment="1">
      <alignment horizontal="right" vertical="center"/>
    </xf>
    <xf numFmtId="166" fontId="16" fillId="5" borderId="4" xfId="0" applyNumberFormat="1" applyFont="1" applyFill="1" applyBorder="1" applyAlignment="1">
      <alignment horizontal="right" vertical="center"/>
    </xf>
    <xf numFmtId="0" fontId="17" fillId="9" borderId="2" xfId="0" applyFont="1" applyFill="1" applyBorder="1" applyAlignment="1">
      <alignment horizontal="left" vertical="center" wrapText="1"/>
    </xf>
    <xf numFmtId="166" fontId="18" fillId="9" borderId="2" xfId="0" applyNumberFormat="1" applyFont="1" applyFill="1" applyBorder="1" applyAlignment="1">
      <alignment horizontal="right" vertical="center"/>
    </xf>
    <xf numFmtId="166" fontId="19" fillId="2" borderId="5" xfId="0" applyNumberFormat="1" applyFont="1" applyFill="1" applyBorder="1" applyAlignment="1">
      <alignment horizontal="right" vertical="center"/>
    </xf>
    <xf numFmtId="1" fontId="4" fillId="3" borderId="2" xfId="0" applyNumberFormat="1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168" fontId="6" fillId="6" borderId="2" xfId="0" applyNumberFormat="1" applyFont="1" applyFill="1" applyBorder="1" applyAlignment="1">
      <alignment horizontal="center" vertical="center" wrapText="1"/>
    </xf>
    <xf numFmtId="166" fontId="6" fillId="6" borderId="2" xfId="0" applyNumberFormat="1" applyFont="1" applyFill="1" applyBorder="1" applyAlignment="1">
      <alignment horizontal="right" vertical="center"/>
    </xf>
    <xf numFmtId="1" fontId="4" fillId="10" borderId="2" xfId="0" applyNumberFormat="1" applyFont="1" applyFill="1" applyBorder="1" applyAlignment="1">
      <alignment horizontal="center" vertical="center" wrapText="1"/>
    </xf>
    <xf numFmtId="1" fontId="6" fillId="10" borderId="2" xfId="0" applyNumberFormat="1" applyFont="1" applyFill="1" applyBorder="1" applyAlignment="1">
      <alignment horizontal="center" vertical="center" wrapText="1"/>
    </xf>
    <xf numFmtId="1" fontId="6" fillId="3" borderId="2" xfId="0" applyNumberFormat="1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166" fontId="21" fillId="2" borderId="2" xfId="0" applyNumberFormat="1" applyFont="1" applyFill="1" applyBorder="1" applyAlignment="1">
      <alignment horizontal="right" vertical="center"/>
    </xf>
    <xf numFmtId="165" fontId="21" fillId="2" borderId="2" xfId="0" applyNumberFormat="1" applyFont="1" applyFill="1" applyBorder="1" applyAlignment="1">
      <alignment horizontal="center" vertical="center" wrapText="1"/>
    </xf>
    <xf numFmtId="1" fontId="12" fillId="3" borderId="2" xfId="0" applyNumberFormat="1" applyFont="1" applyFill="1" applyBorder="1" applyAlignment="1">
      <alignment horizontal="center" vertical="center" wrapText="1"/>
    </xf>
    <xf numFmtId="14" fontId="6" fillId="3" borderId="2" xfId="0" applyNumberFormat="1" applyFont="1" applyFill="1" applyBorder="1" applyAlignment="1">
      <alignment horizontal="center" vertical="center" wrapText="1"/>
    </xf>
    <xf numFmtId="166" fontId="6" fillId="3" borderId="2" xfId="0" applyNumberFormat="1" applyFont="1" applyFill="1" applyBorder="1" applyAlignment="1">
      <alignment horizontal="right" vertical="center"/>
    </xf>
    <xf numFmtId="165" fontId="6" fillId="3" borderId="2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1" fontId="12" fillId="10" borderId="2" xfId="0" applyNumberFormat="1" applyFont="1" applyFill="1" applyBorder="1" applyAlignment="1">
      <alignment horizontal="center" vertical="center" wrapText="1"/>
    </xf>
    <xf numFmtId="0" fontId="6" fillId="10" borderId="2" xfId="0" applyFont="1" applyFill="1" applyBorder="1" applyAlignment="1">
      <alignment horizontal="left" vertical="center" wrapText="1"/>
    </xf>
    <xf numFmtId="14" fontId="6" fillId="10" borderId="2" xfId="0" applyNumberFormat="1" applyFont="1" applyFill="1" applyBorder="1" applyAlignment="1">
      <alignment horizontal="center" vertical="center" wrapText="1"/>
    </xf>
    <xf numFmtId="166" fontId="6" fillId="10" borderId="2" xfId="0" applyNumberFormat="1" applyFont="1" applyFill="1" applyBorder="1" applyAlignment="1">
      <alignment horizontal="right" vertical="center"/>
    </xf>
    <xf numFmtId="165" fontId="6" fillId="10" borderId="2" xfId="0" applyNumberFormat="1" applyFont="1" applyFill="1" applyBorder="1" applyAlignment="1">
      <alignment horizontal="center" vertical="center" wrapText="1"/>
    </xf>
    <xf numFmtId="0" fontId="6" fillId="10" borderId="2" xfId="0" applyFont="1" applyFill="1" applyBorder="1" applyAlignment="1">
      <alignment horizontal="center" vertical="center" wrapText="1"/>
    </xf>
    <xf numFmtId="1" fontId="12" fillId="5" borderId="2" xfId="0" applyNumberFormat="1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left" vertical="center" wrapText="1"/>
    </xf>
    <xf numFmtId="14" fontId="6" fillId="5" borderId="2" xfId="0" applyNumberFormat="1" applyFont="1" applyFill="1" applyBorder="1" applyAlignment="1">
      <alignment horizontal="center" vertical="center" wrapText="1"/>
    </xf>
    <xf numFmtId="166" fontId="6" fillId="5" borderId="2" xfId="0" applyNumberFormat="1" applyFont="1" applyFill="1" applyBorder="1" applyAlignment="1">
      <alignment horizontal="right" vertical="center"/>
    </xf>
    <xf numFmtId="165" fontId="6" fillId="5" borderId="2" xfId="0" applyNumberFormat="1" applyFont="1" applyFill="1" applyBorder="1" applyAlignment="1">
      <alignment horizontal="center" vertical="center" wrapText="1"/>
    </xf>
    <xf numFmtId="166" fontId="12" fillId="5" borderId="2" xfId="0" applyNumberFormat="1" applyFont="1" applyFill="1" applyBorder="1" applyAlignment="1">
      <alignment horizontal="right" vertical="center"/>
    </xf>
    <xf numFmtId="0" fontId="6" fillId="5" borderId="2" xfId="0" applyFont="1" applyFill="1" applyBorder="1" applyAlignment="1">
      <alignment horizontal="center" vertical="center" wrapText="1"/>
    </xf>
    <xf numFmtId="166" fontId="26" fillId="2" borderId="2" xfId="0" applyNumberFormat="1" applyFont="1" applyFill="1" applyBorder="1" applyAlignment="1">
      <alignment horizontal="right" vertical="center"/>
    </xf>
    <xf numFmtId="0" fontId="27" fillId="5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top" wrapText="1"/>
    </xf>
    <xf numFmtId="0" fontId="0" fillId="6" borderId="2" xfId="0" applyFill="1" applyBorder="1"/>
    <xf numFmtId="0" fontId="0" fillId="7" borderId="2" xfId="0" applyFill="1" applyBorder="1"/>
    <xf numFmtId="0" fontId="0" fillId="5" borderId="2" xfId="0" applyFill="1" applyBorder="1"/>
    <xf numFmtId="0" fontId="0" fillId="9" borderId="2" xfId="0" applyFill="1" applyBorder="1"/>
    <xf numFmtId="0" fontId="22" fillId="10" borderId="0" xfId="0" applyFont="1" applyFill="1" applyAlignment="1">
      <alignment horizontal="left" vertical="center" wrapText="1"/>
    </xf>
    <xf numFmtId="164" fontId="23" fillId="3" borderId="1" xfId="0" applyNumberFormat="1" applyFont="1" applyFill="1" applyBorder="1" applyAlignment="1">
      <alignment horizontal="left" vertical="center"/>
    </xf>
    <xf numFmtId="165" fontId="24" fillId="3" borderId="1" xfId="0" applyNumberFormat="1" applyFont="1" applyFill="1" applyBorder="1" applyAlignment="1">
      <alignment horizontal="left" vertical="center"/>
    </xf>
    <xf numFmtId="164" fontId="25" fillId="3" borderId="1" xfId="0" applyNumberFormat="1" applyFont="1" applyFill="1" applyBorder="1" applyAlignment="1">
      <alignment horizontal="left" vertical="center"/>
    </xf>
    <xf numFmtId="0" fontId="21" fillId="2" borderId="0" xfId="0" applyFont="1" applyFill="1" applyAlignment="1">
      <alignment horizontal="left" vertical="center" wrapText="1"/>
    </xf>
    <xf numFmtId="0" fontId="3" fillId="10" borderId="2" xfId="0" applyFont="1" applyFill="1" applyBorder="1" applyAlignment="1">
      <alignment horizontal="left" vertical="top" wrapText="1"/>
    </xf>
  </cellXfs>
  <cellStyles count="1">
    <cellStyle name="Standard" xfId="0" builtinId="0"/>
  </cellStyles>
  <dxfs count="2">
    <dxf>
      <font>
        <b/>
        <sz val="10"/>
        <color rgb="FF155A85"/>
        <name val="Calibri"/>
        <charset val="1"/>
      </font>
      <fill>
        <patternFill>
          <bgColor rgb="FFE7F0F7"/>
        </patternFill>
      </fill>
    </dxf>
    <dxf>
      <font>
        <b/>
        <sz val="10"/>
        <color rgb="FF1E7A5A"/>
        <name val="Calibri"/>
        <charset val="1"/>
      </font>
      <fill>
        <patternFill>
          <bgColor rgb="FFE4F1EA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E7A5A"/>
      <rgbColor rgb="FFF5F7F9"/>
      <rgbColor rgb="FF878787"/>
      <rgbColor rgb="FF9999FF"/>
      <rgbColor rgb="FFB4433A"/>
      <rgbColor rgb="FFFCF7EA"/>
      <rgbColor rgb="FFE4F1EA"/>
      <rgbColor rgb="FF660066"/>
      <rgbColor rgb="FFFF8080"/>
      <rgbColor rgb="FF1D6FA3"/>
      <rgbColor rgb="FFD9D9D9"/>
      <rgbColor rgb="FF000080"/>
      <rgbColor rgb="FFFF00FF"/>
      <rgbColor rgb="FFFFFF00"/>
      <rgbColor rgb="FF00FFFF"/>
      <rgbColor rgb="FF800080"/>
      <rgbColor rgb="FF800000"/>
      <rgbColor rgb="FF155A85"/>
      <rgbColor rgb="FF0000FF"/>
      <rgbColor rgb="FF00CCFF"/>
      <rgbColor rgb="FFE7F0F7"/>
      <rgbColor rgb="FFE1E6EC"/>
      <rgbColor rgb="FFF7E7E4"/>
      <rgbColor rgb="FFF9F9F9"/>
      <rgbColor rgb="FFFF99CC"/>
      <rgbColor rgb="FFCC99FF"/>
      <rgbColor rgb="FFF1F4F7"/>
      <rgbColor rgb="FF3366FF"/>
      <rgbColor rgb="FF33CCCC"/>
      <rgbColor rgb="FF99CC00"/>
      <rgbColor rgb="FFFFCC00"/>
      <rgbColor rgb="FFFF9900"/>
      <rgbColor rgb="FFFF6600"/>
      <rgbColor rgb="FF5B6472"/>
      <rgbColor rgb="FF9AA3AE"/>
      <rgbColor rgb="FF003366"/>
      <rgbColor rgb="FF339966"/>
      <rgbColor rgb="FF171A21"/>
      <rgbColor rgb="FF20242B"/>
      <rgbColor rgb="FF993300"/>
      <rgbColor rgb="FF993366"/>
      <rgbColor rgb="FF333399"/>
      <rgbColor rgb="FF2B33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'Suivi &amp; pilotage'!$F$10</c:f>
              <c:strCache>
                <c:ptCount val="1"/>
                <c:pt idx="0">
                  <c:v>Avancement</c:v>
                </c:pt>
              </c:strCache>
            </c:strRef>
          </c:tx>
          <c:spPr>
            <a:ln w="25920">
              <a:solidFill>
                <a:srgbClr val="1D6FA3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'Suivi &amp; pilotage'!$C$11:$C$16</c:f>
              <c:strCache>
                <c:ptCount val="6"/>
                <c:pt idx="0">
                  <c:v>Janvier 2027</c:v>
                </c:pt>
                <c:pt idx="1">
                  <c:v>Février 2027</c:v>
                </c:pt>
                <c:pt idx="2">
                  <c:v>Mars 2027</c:v>
                </c:pt>
                <c:pt idx="3">
                  <c:v>Avril 2027</c:v>
                </c:pt>
                <c:pt idx="4">
                  <c:v>Mai 2027</c:v>
                </c:pt>
                <c:pt idx="5">
                  <c:v>Juin 2027</c:v>
                </c:pt>
              </c:strCache>
            </c:strRef>
          </c:cat>
          <c:val>
            <c:numRef>
              <c:f>'Suivi &amp; pilotage'!$F$11:$F$16</c:f>
              <c:numCache>
                <c:formatCode>0.0%</c:formatCode>
                <c:ptCount val="6"/>
                <c:pt idx="0">
                  <c:v>0.10000003225807491</c:v>
                </c:pt>
                <c:pt idx="1">
                  <c:v>0.25000008064518731</c:v>
                </c:pt>
                <c:pt idx="2">
                  <c:v>0.40000012903229965</c:v>
                </c:pt>
                <c:pt idx="3">
                  <c:v>0.50000016129037461</c:v>
                </c:pt>
                <c:pt idx="4">
                  <c:v>0.60574213088455831</c:v>
                </c:pt>
                <c:pt idx="5">
                  <c:v>0.71816125747137338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3791-4BEE-AEAD-8A32A2D51F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74470361"/>
        <c:axId val="11990055"/>
      </c:lineChart>
      <c:catAx>
        <c:axId val="7447036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11990055"/>
        <c:crosses val="autoZero"/>
        <c:auto val="1"/>
        <c:lblAlgn val="ctr"/>
        <c:lblOffset val="100"/>
        <c:noMultiLvlLbl val="0"/>
      </c:catAx>
      <c:valAx>
        <c:axId val="1199005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74470361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'Suivi &amp; pilotage'!$G$10</c:f>
              <c:strCache>
                <c:ptCount val="1"/>
                <c:pt idx="0">
                  <c:v>Net à payer (€)</c:v>
                </c:pt>
              </c:strCache>
            </c:strRef>
          </c:tx>
          <c:spPr>
            <a:solidFill>
              <a:srgbClr val="155A85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de-DE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'Suivi &amp; pilotage'!$B$11:$B$16</c:f>
              <c:strCach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2026-T02-087</c:v>
                </c:pt>
              </c:strCache>
            </c:strRef>
          </c:cat>
          <c:val>
            <c:numRef>
              <c:f>'Suivi &amp; pilotage'!$G$11:$G$16</c:f>
              <c:numCache>
                <c:formatCode>#,##0.00" €"</c:formatCode>
                <c:ptCount val="6"/>
                <c:pt idx="0">
                  <c:v>79980</c:v>
                </c:pt>
                <c:pt idx="1">
                  <c:v>113460</c:v>
                </c:pt>
                <c:pt idx="2">
                  <c:v>113460</c:v>
                </c:pt>
                <c:pt idx="3">
                  <c:v>75640</c:v>
                </c:pt>
                <c:pt idx="4">
                  <c:v>79940</c:v>
                </c:pt>
                <c:pt idx="5">
                  <c:v>65390.482136182865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6A-495B-AAE8-DAAE111B6C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5735748"/>
        <c:axId val="24612068"/>
      </c:barChart>
      <c:catAx>
        <c:axId val="8573574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24612068"/>
        <c:crosses val="autoZero"/>
        <c:auto val="1"/>
        <c:lblAlgn val="ctr"/>
        <c:lblOffset val="100"/>
        <c:noMultiLvlLbl val="0"/>
      </c:catAx>
      <c:valAx>
        <c:axId val="2461206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&quot; €&quot;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85735748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</xdr:row>
      <xdr:rowOff>0</xdr:rowOff>
    </xdr:from>
    <xdr:to>
      <xdr:col>5</xdr:col>
      <xdr:colOff>294120</xdr:colOff>
      <xdr:row>31</xdr:row>
      <xdr:rowOff>89280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19</xdr:row>
      <xdr:rowOff>0</xdr:rowOff>
    </xdr:from>
    <xdr:to>
      <xdr:col>10</xdr:col>
      <xdr:colOff>82800</xdr:colOff>
      <xdr:row>31</xdr:row>
      <xdr:rowOff>89280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71A21"/>
    <pageSetUpPr fitToPage="1"/>
  </sheetPr>
  <dimension ref="A1:F47"/>
  <sheetViews>
    <sheetView showGridLines="0" tabSelected="1" zoomScaleNormal="100" workbookViewId="0">
      <selection activeCell="G55" sqref="G55"/>
    </sheetView>
  </sheetViews>
  <sheetFormatPr baseColWidth="10" defaultColWidth="8.7109375" defaultRowHeight="15" x14ac:dyDescent="0.25"/>
  <cols>
    <col min="1" max="1" width="2" customWidth="1"/>
    <col min="2" max="2" width="40" bestFit="1" customWidth="1"/>
    <col min="3" max="3" width="13.85546875" bestFit="1" customWidth="1"/>
    <col min="4" max="4" width="36.28515625" bestFit="1" customWidth="1"/>
    <col min="5" max="5" width="17" customWidth="1"/>
    <col min="6" max="6" width="2" customWidth="1"/>
  </cols>
  <sheetData>
    <row r="1" spans="1:6" ht="6" customHeight="1" x14ac:dyDescent="0.25"/>
    <row r="2" spans="1:6" ht="43.5" customHeight="1" x14ac:dyDescent="0.25">
      <c r="A2" s="14" t="s">
        <v>0</v>
      </c>
      <c r="B2" s="14"/>
      <c r="C2" s="14"/>
      <c r="D2" s="14"/>
      <c r="E2" s="16" t="str">
        <f>"N°  "&amp;$C$7</f>
        <v>N°  2026-T02-087</v>
      </c>
      <c r="F2" s="17"/>
    </row>
    <row r="3" spans="1:6" ht="15.75" customHeight="1" x14ac:dyDescent="0.25">
      <c r="A3" s="13" t="s">
        <v>1</v>
      </c>
      <c r="B3" s="13"/>
      <c r="C3" s="13"/>
      <c r="D3" s="13"/>
      <c r="E3" s="13"/>
      <c r="F3" s="13"/>
    </row>
    <row r="4" spans="1:6" ht="3" customHeight="1" x14ac:dyDescent="0.25">
      <c r="A4" s="18"/>
      <c r="B4" s="18"/>
      <c r="C4" s="18"/>
      <c r="D4" s="18"/>
      <c r="E4" s="18"/>
      <c r="F4" s="18"/>
    </row>
    <row r="6" spans="1:6" ht="19.5" customHeight="1" x14ac:dyDescent="0.25">
      <c r="B6" s="12" t="s">
        <v>2</v>
      </c>
      <c r="C6" s="12"/>
      <c r="D6" s="12"/>
      <c r="E6" s="12"/>
    </row>
    <row r="7" spans="1:6" x14ac:dyDescent="0.25">
      <c r="B7" s="19" t="s">
        <v>3</v>
      </c>
      <c r="C7" s="20" t="s">
        <v>4</v>
      </c>
      <c r="D7" s="21" t="s">
        <v>5</v>
      </c>
      <c r="E7" s="22">
        <v>6</v>
      </c>
    </row>
    <row r="8" spans="1:6" x14ac:dyDescent="0.25">
      <c r="B8" s="19" t="s">
        <v>6</v>
      </c>
      <c r="C8" s="20" t="s">
        <v>7</v>
      </c>
      <c r="D8" s="21" t="s">
        <v>8</v>
      </c>
      <c r="E8" s="23">
        <v>46568</v>
      </c>
    </row>
    <row r="9" spans="1:6" ht="15" customHeight="1" x14ac:dyDescent="0.25">
      <c r="B9" s="19" t="s">
        <v>9</v>
      </c>
      <c r="C9" s="11" t="s">
        <v>10</v>
      </c>
      <c r="D9" s="11"/>
      <c r="E9" s="11"/>
    </row>
    <row r="10" spans="1:6" ht="15" customHeight="1" x14ac:dyDescent="0.25">
      <c r="B10" s="19" t="s">
        <v>11</v>
      </c>
      <c r="C10" s="11" t="s">
        <v>12</v>
      </c>
      <c r="D10" s="11"/>
      <c r="E10" s="11"/>
    </row>
    <row r="11" spans="1:6" ht="15" customHeight="1" x14ac:dyDescent="0.25">
      <c r="B11" s="19" t="s">
        <v>13</v>
      </c>
      <c r="C11" s="11" t="s">
        <v>14</v>
      </c>
      <c r="D11" s="11"/>
      <c r="E11" s="11"/>
    </row>
    <row r="12" spans="1:6" ht="23.85" customHeight="1" x14ac:dyDescent="0.25">
      <c r="B12" s="19" t="s">
        <v>15</v>
      </c>
      <c r="C12" s="11" t="s">
        <v>16</v>
      </c>
      <c r="D12" s="11"/>
      <c r="E12" s="11"/>
    </row>
    <row r="13" spans="1:6" ht="3.75" customHeight="1" x14ac:dyDescent="0.25"/>
    <row r="14" spans="1:6" ht="15.75" customHeight="1" x14ac:dyDescent="0.25">
      <c r="B14" s="10" t="s">
        <v>17</v>
      </c>
      <c r="C14" s="10"/>
      <c r="D14" s="10"/>
      <c r="E14" s="10"/>
    </row>
    <row r="15" spans="1:6" ht="13.5" customHeight="1" x14ac:dyDescent="0.25">
      <c r="B15" s="24" t="s">
        <v>18</v>
      </c>
      <c r="C15" s="24" t="s">
        <v>19</v>
      </c>
      <c r="D15" s="9" t="s">
        <v>20</v>
      </c>
      <c r="E15" s="9"/>
    </row>
    <row r="16" spans="1:6" ht="25.5" customHeight="1" x14ac:dyDescent="0.25">
      <c r="B16" s="25">
        <f>Situation!$F$18</f>
        <v>619999.80000000005</v>
      </c>
      <c r="C16" s="26">
        <f>$D$29</f>
        <v>0.71816125747137338</v>
      </c>
      <c r="D16" s="8">
        <f>$E$41</f>
        <v>65390.482136182865</v>
      </c>
      <c r="E16" s="8"/>
    </row>
    <row r="17" spans="2:5" ht="3.75" customHeight="1" x14ac:dyDescent="0.25"/>
    <row r="18" spans="2:5" ht="19.5" customHeight="1" x14ac:dyDescent="0.25">
      <c r="B18" s="12" t="s">
        <v>21</v>
      </c>
      <c r="C18" s="12"/>
      <c r="D18" s="12"/>
      <c r="E18" s="12"/>
    </row>
    <row r="19" spans="2:5" x14ac:dyDescent="0.25">
      <c r="B19" s="19" t="s">
        <v>22</v>
      </c>
      <c r="C19" s="27">
        <v>0.2</v>
      </c>
      <c r="D19" s="21" t="s">
        <v>23</v>
      </c>
      <c r="E19" s="27">
        <v>0.05</v>
      </c>
    </row>
    <row r="20" spans="2:5" x14ac:dyDescent="0.25">
      <c r="B20" s="19" t="s">
        <v>24</v>
      </c>
      <c r="C20" s="28">
        <v>1.014</v>
      </c>
      <c r="D20" s="21" t="s">
        <v>25</v>
      </c>
      <c r="E20" s="29">
        <v>31000</v>
      </c>
    </row>
    <row r="21" spans="2:5" ht="24" x14ac:dyDescent="0.25">
      <c r="B21" s="19" t="s">
        <v>26</v>
      </c>
      <c r="C21" s="27">
        <v>0.65</v>
      </c>
      <c r="D21" s="21" t="s">
        <v>27</v>
      </c>
      <c r="E21" s="27">
        <v>0.8</v>
      </c>
    </row>
    <row r="22" spans="2:5" x14ac:dyDescent="0.25">
      <c r="B22" s="19" t="s">
        <v>28</v>
      </c>
      <c r="C22" s="29">
        <v>1800</v>
      </c>
      <c r="D22" s="21" t="s">
        <v>18</v>
      </c>
      <c r="E22" s="30">
        <f>Situation!$F$18</f>
        <v>619999.80000000005</v>
      </c>
    </row>
    <row r="24" spans="2:5" ht="19.5" customHeight="1" x14ac:dyDescent="0.25">
      <c r="B24" s="12" t="s">
        <v>29</v>
      </c>
      <c r="C24" s="12"/>
      <c r="D24" s="12"/>
      <c r="E24" s="12"/>
    </row>
    <row r="25" spans="2:5" ht="25.5" customHeight="1" x14ac:dyDescent="0.25">
      <c r="B25" s="31" t="s">
        <v>30</v>
      </c>
      <c r="C25" s="31" t="s">
        <v>31</v>
      </c>
      <c r="D25" s="31" t="s">
        <v>32</v>
      </c>
      <c r="E25" s="31" t="s">
        <v>33</v>
      </c>
    </row>
    <row r="26" spans="2:5" ht="15.75" customHeight="1" x14ac:dyDescent="0.25">
      <c r="B26" s="32" t="s">
        <v>34</v>
      </c>
      <c r="C26" s="33">
        <f>Situation!$I$18</f>
        <v>375559.86</v>
      </c>
      <c r="D26" s="33">
        <f>Situation!$H$18</f>
        <v>445259.83600000001</v>
      </c>
      <c r="E26" s="33">
        <f>$D26-$C26</f>
        <v>69699.976000000024</v>
      </c>
    </row>
    <row r="27" spans="2:5" ht="15.75" customHeight="1" x14ac:dyDescent="0.25">
      <c r="B27" s="32" t="s">
        <v>35</v>
      </c>
      <c r="C27" s="33">
        <f>($C$20-1)*$C26</f>
        <v>5257.8380400000042</v>
      </c>
      <c r="D27" s="33">
        <f>($C$20-1)*$D26</f>
        <v>6233.6377040000061</v>
      </c>
      <c r="E27" s="33">
        <f>$D27-$C27</f>
        <v>975.79966400000194</v>
      </c>
    </row>
    <row r="28" spans="2:5" ht="15.75" customHeight="1" x14ac:dyDescent="0.25">
      <c r="B28" s="34" t="s">
        <v>36</v>
      </c>
      <c r="C28" s="35">
        <f>$C26+$C27</f>
        <v>380817.69803999999</v>
      </c>
      <c r="D28" s="35">
        <f>$D26+$D27</f>
        <v>451493.473704</v>
      </c>
      <c r="E28" s="35">
        <f>$D28-$C28</f>
        <v>70675.775664000015</v>
      </c>
    </row>
    <row r="29" spans="2:5" ht="15.75" customHeight="1" x14ac:dyDescent="0.25">
      <c r="B29" s="32" t="s">
        <v>19</v>
      </c>
      <c r="C29" s="36">
        <f>IF($E$22=0,"",$C26/$E$22)</f>
        <v>0.60574190507803383</v>
      </c>
      <c r="D29" s="36">
        <f>IF($E$22=0,"",$D26/$E$22)</f>
        <v>0.71816125747137338</v>
      </c>
      <c r="E29" s="36">
        <f>IF($E$22=0,"",$D29-$C29)</f>
        <v>0.11241935239333956</v>
      </c>
    </row>
    <row r="30" spans="2:5" ht="15.75" customHeight="1" x14ac:dyDescent="0.25">
      <c r="B30" s="32" t="s">
        <v>37</v>
      </c>
      <c r="C30" s="33">
        <f>$E$19*$C28</f>
        <v>19040.884902000002</v>
      </c>
      <c r="D30" s="33">
        <f>$E$19*$D28</f>
        <v>22574.673685200003</v>
      </c>
      <c r="E30" s="33">
        <f>$D30-$C30</f>
        <v>3533.7887832000015</v>
      </c>
    </row>
    <row r="31" spans="2:5" ht="15.75" customHeight="1" x14ac:dyDescent="0.25">
      <c r="B31" s="32" t="s">
        <v>38</v>
      </c>
      <c r="C31" s="33">
        <f>$E$20*MAX(0,MIN(1,($C29-$C$21)/($E$21-$C$21)))</f>
        <v>0</v>
      </c>
      <c r="D31" s="33">
        <f>$E$20*MAX(0,MIN(1,($D29-$C$21)/($E$21-$C$21)))</f>
        <v>14086.659877417158</v>
      </c>
      <c r="E31" s="33">
        <f>$D31-$C31</f>
        <v>14086.659877417158</v>
      </c>
    </row>
    <row r="32" spans="2:5" ht="15.75" customHeight="1" x14ac:dyDescent="0.25">
      <c r="B32" s="34" t="s">
        <v>39</v>
      </c>
      <c r="C32" s="35">
        <f>$C28-$C30-$C31</f>
        <v>361776.81313799997</v>
      </c>
      <c r="D32" s="35">
        <f>$D28-$D30-$D31</f>
        <v>414832.14014138287</v>
      </c>
      <c r="E32" s="35">
        <f>$D32-$C32</f>
        <v>53055.327003382903</v>
      </c>
    </row>
    <row r="34" spans="2:5" ht="19.5" customHeight="1" x14ac:dyDescent="0.25">
      <c r="B34" s="12" t="s">
        <v>40</v>
      </c>
      <c r="C34" s="12"/>
      <c r="D34" s="12"/>
      <c r="E34" s="12"/>
    </row>
    <row r="35" spans="2:5" ht="15.75" customHeight="1" x14ac:dyDescent="0.25">
      <c r="B35" s="32" t="s">
        <v>41</v>
      </c>
      <c r="C35" s="7"/>
      <c r="D35" s="7"/>
      <c r="E35" s="37">
        <f>$E28</f>
        <v>70675.775664000015</v>
      </c>
    </row>
    <row r="36" spans="2:5" ht="15.75" customHeight="1" x14ac:dyDescent="0.25">
      <c r="B36" s="32" t="s">
        <v>42</v>
      </c>
      <c r="C36" s="7"/>
      <c r="D36" s="7"/>
      <c r="E36" s="37">
        <f>$C$19*$E35</f>
        <v>14135.155132800004</v>
      </c>
    </row>
    <row r="37" spans="2:5" ht="15.75" customHeight="1" x14ac:dyDescent="0.25">
      <c r="B37" s="34" t="s">
        <v>43</v>
      </c>
      <c r="C37" s="6"/>
      <c r="D37" s="6"/>
      <c r="E37" s="38">
        <f>$E35+$E36</f>
        <v>84810.930796800021</v>
      </c>
    </row>
    <row r="38" spans="2:5" ht="15.75" customHeight="1" x14ac:dyDescent="0.25">
      <c r="B38" s="39" t="s">
        <v>44</v>
      </c>
      <c r="C38" s="5"/>
      <c r="D38" s="5"/>
      <c r="E38" s="40">
        <f>$E30</f>
        <v>3533.7887832000015</v>
      </c>
    </row>
    <row r="39" spans="2:5" ht="15.75" customHeight="1" x14ac:dyDescent="0.25">
      <c r="B39" s="39" t="s">
        <v>45</v>
      </c>
      <c r="C39" s="5"/>
      <c r="D39" s="5"/>
      <c r="E39" s="40">
        <f>$E31</f>
        <v>14086.659877417158</v>
      </c>
    </row>
    <row r="40" spans="2:5" ht="15.75" customHeight="1" x14ac:dyDescent="0.25">
      <c r="B40" s="39" t="s">
        <v>46</v>
      </c>
      <c r="C40" s="5"/>
      <c r="D40" s="5"/>
      <c r="E40" s="40">
        <f>$C$22</f>
        <v>1800</v>
      </c>
    </row>
    <row r="41" spans="2:5" ht="25.5" customHeight="1" x14ac:dyDescent="0.25">
      <c r="B41" s="4" t="s">
        <v>47</v>
      </c>
      <c r="C41" s="4"/>
      <c r="D41" s="4"/>
      <c r="E41" s="41">
        <f>$E37-$E38-$E39-$E40</f>
        <v>65390.482136182865</v>
      </c>
    </row>
    <row r="42" spans="2:5" ht="18" customHeight="1" x14ac:dyDescent="0.25">
      <c r="B42" s="3" t="str">
        <f>IF($E41="","","Arrêté le présent acompte à la somme de "&amp;TEXT($E41,"#,##0.00")&amp;" € toutes taxes comprises.")</f>
        <v>Arrêté le présent acompte à la somme de 65390,48214 € toutes taxes comprises.</v>
      </c>
      <c r="C42" s="3"/>
      <c r="D42" s="3"/>
      <c r="E42" s="3"/>
    </row>
    <row r="43" spans="2:5" ht="6" customHeight="1" x14ac:dyDescent="0.25"/>
    <row r="44" spans="2:5" ht="15" customHeight="1" x14ac:dyDescent="0.25">
      <c r="B44" s="2" t="s">
        <v>48</v>
      </c>
      <c r="C44" s="2"/>
      <c r="D44" s="2" t="s">
        <v>49</v>
      </c>
      <c r="E44" s="2"/>
    </row>
    <row r="45" spans="2:5" x14ac:dyDescent="0.25">
      <c r="B45" s="1"/>
      <c r="C45" s="1"/>
      <c r="D45" s="1"/>
      <c r="E45" s="1"/>
    </row>
    <row r="46" spans="2:5" x14ac:dyDescent="0.25">
      <c r="B46" s="1"/>
      <c r="C46" s="1"/>
      <c r="D46" s="1"/>
      <c r="E46" s="1"/>
    </row>
    <row r="47" spans="2:5" x14ac:dyDescent="0.25">
      <c r="B47" s="1"/>
      <c r="C47" s="1"/>
      <c r="D47" s="1"/>
      <c r="E47" s="1"/>
    </row>
  </sheetData>
  <mergeCells count="25">
    <mergeCell ref="B42:E42"/>
    <mergeCell ref="B44:C44"/>
    <mergeCell ref="D44:E44"/>
    <mergeCell ref="B45:C47"/>
    <mergeCell ref="D45:E47"/>
    <mergeCell ref="C37:D37"/>
    <mergeCell ref="C38:D38"/>
    <mergeCell ref="C39:D39"/>
    <mergeCell ref="C40:D40"/>
    <mergeCell ref="B41:D41"/>
    <mergeCell ref="B18:E18"/>
    <mergeCell ref="B24:E24"/>
    <mergeCell ref="B34:E34"/>
    <mergeCell ref="C35:D35"/>
    <mergeCell ref="C36:D36"/>
    <mergeCell ref="C11:E11"/>
    <mergeCell ref="C12:E12"/>
    <mergeCell ref="B14:E14"/>
    <mergeCell ref="D15:E15"/>
    <mergeCell ref="D16:E16"/>
    <mergeCell ref="A2:D2"/>
    <mergeCell ref="A3:F3"/>
    <mergeCell ref="B6:E6"/>
    <mergeCell ref="C9:E9"/>
    <mergeCell ref="C10:E10"/>
  </mergeCells>
  <dataValidations count="2">
    <dataValidation type="decimal" allowBlank="1" sqref="C19 E19 C21 E21" xr:uid="{00000000-0002-0000-0000-000000000000}">
      <formula1>0</formula1>
      <formula2>1</formula2>
    </dataValidation>
    <dataValidation type="decimal" operator="greaterThanOrEqual" allowBlank="1" sqref="E20 C22" xr:uid="{00000000-0002-0000-0000-000001000000}">
      <formula1>0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B3340"/>
    <pageSetUpPr fitToPage="1"/>
  </sheetPr>
  <dimension ref="A1:K18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8.7109375" defaultRowHeight="15" x14ac:dyDescent="0.25"/>
  <cols>
    <col min="1" max="1" width="6" customWidth="1"/>
    <col min="2" max="2" width="34" customWidth="1"/>
    <col min="3" max="3" width="8" customWidth="1"/>
    <col min="4" max="4" width="12" customWidth="1"/>
    <col min="5" max="5" width="13" customWidth="1"/>
    <col min="6" max="6" width="15" customWidth="1"/>
    <col min="7" max="7" width="13" customWidth="1"/>
    <col min="8" max="8" width="16" customWidth="1"/>
    <col min="9" max="11" width="15" customWidth="1"/>
  </cols>
  <sheetData>
    <row r="1" spans="1:11" ht="6" customHeight="1" x14ac:dyDescent="0.25"/>
    <row r="2" spans="1:11" ht="43.5" customHeight="1" x14ac:dyDescent="0.25">
      <c r="A2" s="14" t="s">
        <v>50</v>
      </c>
      <c r="B2" s="14"/>
      <c r="C2" s="14"/>
      <c r="D2" s="14"/>
      <c r="E2" s="14"/>
      <c r="F2" s="14"/>
      <c r="G2" s="14"/>
      <c r="H2" s="14"/>
      <c r="I2" s="14"/>
      <c r="J2" s="17"/>
      <c r="K2" s="17"/>
    </row>
    <row r="3" spans="1:11" ht="15.75" customHeight="1" x14ac:dyDescent="0.25">
      <c r="A3" s="13" t="s">
        <v>51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3" customHeight="1" x14ac:dyDescent="0.2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</row>
    <row r="6" spans="1:11" ht="25.5" customHeight="1" x14ac:dyDescent="0.25">
      <c r="A6" s="31" t="s">
        <v>52</v>
      </c>
      <c r="B6" s="31" t="s">
        <v>53</v>
      </c>
      <c r="C6" s="31" t="s">
        <v>54</v>
      </c>
      <c r="D6" s="31" t="s">
        <v>55</v>
      </c>
      <c r="E6" s="31" t="s">
        <v>56</v>
      </c>
      <c r="F6" s="31" t="s">
        <v>57</v>
      </c>
      <c r="G6" s="31" t="s">
        <v>58</v>
      </c>
      <c r="H6" s="31" t="s">
        <v>59</v>
      </c>
      <c r="I6" s="31" t="s">
        <v>60</v>
      </c>
      <c r="J6" s="31" t="s">
        <v>61</v>
      </c>
      <c r="K6" s="31" t="s">
        <v>62</v>
      </c>
    </row>
    <row r="7" spans="1:11" ht="15.75" customHeight="1" x14ac:dyDescent="0.25">
      <c r="A7" s="42">
        <v>1</v>
      </c>
      <c r="B7" s="20" t="s">
        <v>63</v>
      </c>
      <c r="C7" s="43" t="s">
        <v>64</v>
      </c>
      <c r="D7" s="44">
        <v>1</v>
      </c>
      <c r="E7" s="45">
        <v>15000</v>
      </c>
      <c r="F7" s="33">
        <f t="shared" ref="F7:F17" si="0">IF($A7="","",$D7*$E7)</f>
        <v>15000</v>
      </c>
      <c r="G7" s="27">
        <v>1</v>
      </c>
      <c r="H7" s="33">
        <f t="shared" ref="H7:H17" si="1">IF($A7="","",$F7*$G7)</f>
        <v>15000</v>
      </c>
      <c r="I7" s="45">
        <f>IF($A7="","",ROUND($F7*1,2))</f>
        <v>15000</v>
      </c>
      <c r="J7" s="33">
        <f t="shared" ref="J7:J17" si="2">IF($A7="","",$H7-$I7)</f>
        <v>0</v>
      </c>
      <c r="K7" s="33">
        <f t="shared" ref="K7:K17" si="3">IF($A7="","",$F7-$H7)</f>
        <v>0</v>
      </c>
    </row>
    <row r="8" spans="1:11" ht="15.75" customHeight="1" x14ac:dyDescent="0.25">
      <c r="A8" s="46">
        <v>2</v>
      </c>
      <c r="B8" s="20" t="s">
        <v>65</v>
      </c>
      <c r="C8" s="43" t="s">
        <v>66</v>
      </c>
      <c r="D8" s="44">
        <v>95</v>
      </c>
      <c r="E8" s="45">
        <v>1736.84</v>
      </c>
      <c r="F8" s="33">
        <f t="shared" si="0"/>
        <v>164999.79999999999</v>
      </c>
      <c r="G8" s="27">
        <v>0.82</v>
      </c>
      <c r="H8" s="33">
        <f t="shared" si="1"/>
        <v>135299.83599999998</v>
      </c>
      <c r="I8" s="45">
        <f>IF($A8="","",ROUND($F8*0.72,2))</f>
        <v>118799.86</v>
      </c>
      <c r="J8" s="33">
        <f t="shared" si="2"/>
        <v>16499.975999999981</v>
      </c>
      <c r="K8" s="33">
        <f t="shared" si="3"/>
        <v>29699.964000000007</v>
      </c>
    </row>
    <row r="9" spans="1:11" ht="15.75" customHeight="1" x14ac:dyDescent="0.25">
      <c r="A9" s="42">
        <v>3</v>
      </c>
      <c r="B9" s="20" t="s">
        <v>67</v>
      </c>
      <c r="C9" s="43" t="s">
        <v>68</v>
      </c>
      <c r="D9" s="44">
        <v>9000</v>
      </c>
      <c r="E9" s="45">
        <v>8</v>
      </c>
      <c r="F9" s="33">
        <f t="shared" si="0"/>
        <v>72000</v>
      </c>
      <c r="G9" s="27">
        <v>0.78</v>
      </c>
      <c r="H9" s="33">
        <f t="shared" si="1"/>
        <v>56160</v>
      </c>
      <c r="I9" s="45">
        <f>IF($A9="","",ROUND($F9*0.68,2))</f>
        <v>48960</v>
      </c>
      <c r="J9" s="33">
        <f t="shared" si="2"/>
        <v>7200</v>
      </c>
      <c r="K9" s="33">
        <f t="shared" si="3"/>
        <v>15840</v>
      </c>
    </row>
    <row r="10" spans="1:11" ht="15.75" customHeight="1" x14ac:dyDescent="0.25">
      <c r="A10" s="46">
        <v>4</v>
      </c>
      <c r="B10" s="20" t="s">
        <v>69</v>
      </c>
      <c r="C10" s="43" t="s">
        <v>70</v>
      </c>
      <c r="D10" s="44">
        <v>1600</v>
      </c>
      <c r="E10" s="45">
        <v>80</v>
      </c>
      <c r="F10" s="33">
        <f t="shared" si="0"/>
        <v>128000</v>
      </c>
      <c r="G10" s="27">
        <v>0.74</v>
      </c>
      <c r="H10" s="33">
        <f t="shared" si="1"/>
        <v>94720</v>
      </c>
      <c r="I10" s="45">
        <f>IF($A10="","",ROUND($F10*0.62,2))</f>
        <v>79360</v>
      </c>
      <c r="J10" s="33">
        <f t="shared" si="2"/>
        <v>15360</v>
      </c>
      <c r="K10" s="33">
        <f t="shared" si="3"/>
        <v>33280</v>
      </c>
    </row>
    <row r="11" spans="1:11" ht="15.75" customHeight="1" x14ac:dyDescent="0.25">
      <c r="A11" s="42">
        <v>5</v>
      </c>
      <c r="B11" s="20" t="s">
        <v>71</v>
      </c>
      <c r="C11" s="43" t="s">
        <v>70</v>
      </c>
      <c r="D11" s="44">
        <v>800</v>
      </c>
      <c r="E11" s="45">
        <v>120</v>
      </c>
      <c r="F11" s="33">
        <f t="shared" si="0"/>
        <v>96000</v>
      </c>
      <c r="G11" s="27">
        <v>0.68</v>
      </c>
      <c r="H11" s="33">
        <f t="shared" si="1"/>
        <v>65280.000000000007</v>
      </c>
      <c r="I11" s="45">
        <f>IF($A11="","",ROUND($F11*0.55,2))</f>
        <v>52800</v>
      </c>
      <c r="J11" s="33">
        <f t="shared" si="2"/>
        <v>12480.000000000007</v>
      </c>
      <c r="K11" s="33">
        <f t="shared" si="3"/>
        <v>30719.999999999993</v>
      </c>
    </row>
    <row r="12" spans="1:11" ht="15.75" customHeight="1" x14ac:dyDescent="0.25">
      <c r="A12" s="46">
        <v>6</v>
      </c>
      <c r="B12" s="20" t="s">
        <v>72</v>
      </c>
      <c r="C12" s="43" t="s">
        <v>70</v>
      </c>
      <c r="D12" s="44">
        <v>925</v>
      </c>
      <c r="E12" s="45">
        <v>80</v>
      </c>
      <c r="F12" s="33">
        <f t="shared" si="0"/>
        <v>74000</v>
      </c>
      <c r="G12" s="27">
        <v>0.6</v>
      </c>
      <c r="H12" s="33">
        <f t="shared" si="1"/>
        <v>44400</v>
      </c>
      <c r="I12" s="45">
        <f>IF($A12="","",ROUND($F12*0.48,2))</f>
        <v>35520</v>
      </c>
      <c r="J12" s="33">
        <f t="shared" si="2"/>
        <v>8880</v>
      </c>
      <c r="K12" s="33">
        <f t="shared" si="3"/>
        <v>29600</v>
      </c>
    </row>
    <row r="13" spans="1:11" ht="15.75" customHeight="1" x14ac:dyDescent="0.25">
      <c r="A13" s="42">
        <v>7</v>
      </c>
      <c r="B13" s="20" t="s">
        <v>73</v>
      </c>
      <c r="C13" s="43" t="s">
        <v>74</v>
      </c>
      <c r="D13" s="44">
        <v>560</v>
      </c>
      <c r="E13" s="45">
        <v>50</v>
      </c>
      <c r="F13" s="33">
        <f t="shared" si="0"/>
        <v>28000</v>
      </c>
      <c r="G13" s="27">
        <v>0.55000000000000004</v>
      </c>
      <c r="H13" s="33">
        <f t="shared" si="1"/>
        <v>15400.000000000002</v>
      </c>
      <c r="I13" s="45">
        <f>IF($A13="","",ROUND($F13*0.42,2))</f>
        <v>11760</v>
      </c>
      <c r="J13" s="33">
        <f t="shared" si="2"/>
        <v>3640.0000000000018</v>
      </c>
      <c r="K13" s="33">
        <f t="shared" si="3"/>
        <v>12599.999999999998</v>
      </c>
    </row>
    <row r="14" spans="1:11" ht="15.75" customHeight="1" x14ac:dyDescent="0.25">
      <c r="A14" s="46">
        <v>8</v>
      </c>
      <c r="B14" s="20" t="s">
        <v>75</v>
      </c>
      <c r="C14" s="43" t="s">
        <v>76</v>
      </c>
      <c r="D14" s="44">
        <v>22</v>
      </c>
      <c r="E14" s="45">
        <v>1000</v>
      </c>
      <c r="F14" s="33">
        <f t="shared" si="0"/>
        <v>22000</v>
      </c>
      <c r="G14" s="27">
        <v>0.5</v>
      </c>
      <c r="H14" s="33">
        <f t="shared" si="1"/>
        <v>11000</v>
      </c>
      <c r="I14" s="45">
        <f>IF($A14="","",ROUND($F14*0.38,2))</f>
        <v>8360</v>
      </c>
      <c r="J14" s="33">
        <f t="shared" si="2"/>
        <v>2640</v>
      </c>
      <c r="K14" s="33">
        <f t="shared" si="3"/>
        <v>11000</v>
      </c>
    </row>
    <row r="15" spans="1:11" ht="15.75" customHeight="1" x14ac:dyDescent="0.25">
      <c r="A15" s="42">
        <v>9</v>
      </c>
      <c r="B15" s="20" t="s">
        <v>77</v>
      </c>
      <c r="C15" s="43" t="s">
        <v>74</v>
      </c>
      <c r="D15" s="44">
        <v>200</v>
      </c>
      <c r="E15" s="45">
        <v>100</v>
      </c>
      <c r="F15" s="33">
        <f t="shared" si="0"/>
        <v>20000</v>
      </c>
      <c r="G15" s="27">
        <v>0.4</v>
      </c>
      <c r="H15" s="33">
        <f t="shared" si="1"/>
        <v>8000</v>
      </c>
      <c r="I15" s="45">
        <f>IF($A15="","",ROUND($F15*0.25,2))</f>
        <v>5000</v>
      </c>
      <c r="J15" s="33">
        <f t="shared" si="2"/>
        <v>3000</v>
      </c>
      <c r="K15" s="33">
        <f t="shared" si="3"/>
        <v>12000</v>
      </c>
    </row>
    <row r="16" spans="1:11" ht="15.75" customHeight="1" x14ac:dyDescent="0.25">
      <c r="A16" s="47"/>
      <c r="B16" s="20"/>
      <c r="C16" s="20"/>
      <c r="D16" s="20"/>
      <c r="E16" s="20"/>
      <c r="F16" s="33" t="str">
        <f t="shared" si="0"/>
        <v/>
      </c>
      <c r="G16" s="27"/>
      <c r="H16" s="33" t="str">
        <f t="shared" si="1"/>
        <v/>
      </c>
      <c r="I16" s="45"/>
      <c r="J16" s="33" t="str">
        <f t="shared" si="2"/>
        <v/>
      </c>
      <c r="K16" s="33" t="str">
        <f t="shared" si="3"/>
        <v/>
      </c>
    </row>
    <row r="17" spans="1:11" ht="15.75" customHeight="1" x14ac:dyDescent="0.25">
      <c r="A17" s="48"/>
      <c r="B17" s="20"/>
      <c r="C17" s="20"/>
      <c r="D17" s="20"/>
      <c r="E17" s="20"/>
      <c r="F17" s="33" t="str">
        <f t="shared" si="0"/>
        <v/>
      </c>
      <c r="G17" s="27"/>
      <c r="H17" s="33" t="str">
        <f t="shared" si="1"/>
        <v/>
      </c>
      <c r="I17" s="45"/>
      <c r="J17" s="33" t="str">
        <f t="shared" si="2"/>
        <v/>
      </c>
      <c r="K17" s="33" t="str">
        <f t="shared" si="3"/>
        <v/>
      </c>
    </row>
    <row r="18" spans="1:11" ht="19.5" customHeight="1" x14ac:dyDescent="0.25">
      <c r="A18" s="49" t="s">
        <v>78</v>
      </c>
      <c r="B18" s="50"/>
      <c r="C18" s="50"/>
      <c r="D18" s="50"/>
      <c r="E18" s="50"/>
      <c r="F18" s="51">
        <f>SUM(F7:F17)</f>
        <v>619999.80000000005</v>
      </c>
      <c r="G18" s="52">
        <f>IF(F18=0,"",H18/F18)</f>
        <v>0.71816125747137338</v>
      </c>
      <c r="H18" s="51">
        <f>SUM(H7:H17)</f>
        <v>445259.83600000001</v>
      </c>
      <c r="I18" s="51">
        <f>SUM(I7:I17)</f>
        <v>375559.86</v>
      </c>
      <c r="J18" s="51">
        <f>SUM(J7:J17)</f>
        <v>69699.975999999995</v>
      </c>
      <c r="K18" s="51">
        <f>SUM(K7:K17)</f>
        <v>174739.96400000001</v>
      </c>
    </row>
  </sheetData>
  <mergeCells count="2">
    <mergeCell ref="A2:I2"/>
    <mergeCell ref="A3:K3"/>
  </mergeCells>
  <conditionalFormatting sqref="G7:G17">
    <cfRule type="dataBar" priority="2">
      <dataBar>
        <cfvo type="num" val="0"/>
        <cfvo type="num" val="1"/>
        <color rgb="FF1D6FA3"/>
      </dataBar>
      <extLst>
        <ext xmlns:x14="http://schemas.microsoft.com/office/spreadsheetml/2009/9/main" uri="{B025F937-C7B1-47D3-B67F-A62EFF666E3E}">
          <x14:id>{2980BD97-F4B4-4AF3-90E9-ACDB60144094}</x14:id>
        </ext>
      </extLst>
    </cfRule>
  </conditionalFormatting>
  <dataValidations count="2">
    <dataValidation type="decimal" operator="greaterThanOrEqual" allowBlank="1" sqref="D7:E17 I7:I17" xr:uid="{00000000-0002-0000-0100-000000000000}">
      <formula1>0</formula1>
      <formula2>0</formula2>
    </dataValidation>
    <dataValidation type="decimal" allowBlank="1" error="Avancement entre 0 % et 100 %." sqref="G7:G17" xr:uid="{00000000-0002-0000-0100-000001000000}">
      <formula1>0</formula1>
      <formula2>1</formula2>
    </dataValidation>
  </dataValidations>
  <pageMargins left="0.75" right="0.75" top="1" bottom="1" header="0.511811023622047" footer="0.511811023622047"/>
  <pageSetup fitToHeight="0" orientation="landscape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980BD97-F4B4-4AF3-90E9-ACDB60144094}">
            <x14:dataBar axisPosition="none">
              <x14:cfvo type="num">
                <xm:f>0</xm:f>
              </x14:cfvo>
              <x14:cfvo type="num">
                <xm:f>1</xm:f>
              </x14:cfvo>
              <x14:negativeFillColor rgb="FF1D6FA3"/>
            </x14:dataBar>
          </x14:cfRule>
          <xm:sqref>G7:G17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D6FA3"/>
    <pageSetUpPr fitToPage="1"/>
  </sheetPr>
  <dimension ref="A1:J19"/>
  <sheetViews>
    <sheetView showGridLines="0" zoomScaleNormal="100" workbookViewId="0"/>
  </sheetViews>
  <sheetFormatPr baseColWidth="10" defaultColWidth="8.7109375" defaultRowHeight="15" x14ac:dyDescent="0.25"/>
  <cols>
    <col min="1" max="1" width="2" customWidth="1"/>
    <col min="2" max="2" width="8" customWidth="1"/>
    <col min="3" max="3" width="15" customWidth="1"/>
    <col min="4" max="4" width="13" customWidth="1"/>
    <col min="5" max="5" width="16" customWidth="1"/>
    <col min="6" max="6" width="12" customWidth="1"/>
    <col min="7" max="7" width="15" customWidth="1"/>
    <col min="8" max="9" width="13" customWidth="1"/>
    <col min="10" max="10" width="2" customWidth="1"/>
  </cols>
  <sheetData>
    <row r="1" spans="1:10" ht="6" customHeight="1" x14ac:dyDescent="0.25"/>
    <row r="2" spans="1:10" ht="43.5" customHeight="1" x14ac:dyDescent="0.25">
      <c r="A2" s="14" t="s">
        <v>79</v>
      </c>
      <c r="B2" s="14"/>
      <c r="C2" s="14"/>
      <c r="D2" s="14"/>
      <c r="E2" s="14"/>
      <c r="F2" s="14"/>
      <c r="G2" s="14"/>
      <c r="H2" s="14"/>
      <c r="I2" s="17"/>
      <c r="J2" s="17"/>
    </row>
    <row r="3" spans="1:10" ht="15.75" customHeight="1" x14ac:dyDescent="0.25">
      <c r="A3" s="13" t="s">
        <v>80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ht="3" customHeight="1" x14ac:dyDescent="0.25">
      <c r="A4" s="18"/>
      <c r="B4" s="18"/>
      <c r="C4" s="18"/>
      <c r="D4" s="18"/>
      <c r="E4" s="18"/>
      <c r="F4" s="18"/>
      <c r="G4" s="18"/>
      <c r="H4" s="18"/>
      <c r="I4" s="18"/>
      <c r="J4" s="18"/>
    </row>
    <row r="6" spans="1:10" ht="15.75" customHeight="1" x14ac:dyDescent="0.25">
      <c r="B6" s="78" t="s">
        <v>81</v>
      </c>
      <c r="C6" s="78"/>
      <c r="D6" s="78" t="s">
        <v>82</v>
      </c>
      <c r="E6" s="78"/>
      <c r="F6" s="78" t="s">
        <v>83</v>
      </c>
      <c r="G6" s="78"/>
      <c r="H6" s="78" t="s">
        <v>84</v>
      </c>
      <c r="I6" s="78"/>
    </row>
    <row r="7" spans="1:10" x14ac:dyDescent="0.25">
      <c r="B7" s="79">
        <f>Situation!$F$18</f>
        <v>619999.80000000005</v>
      </c>
      <c r="C7" s="79"/>
      <c r="D7" s="79">
        <f>Situation!$H$18</f>
        <v>445259.83600000001</v>
      </c>
      <c r="E7" s="79"/>
      <c r="F7" s="80">
        <f>IF(Situation!$F$18=0,"",Situation!$H$18/Situation!$F$18)</f>
        <v>0.71816125747137338</v>
      </c>
      <c r="G7" s="80"/>
      <c r="H7" s="81">
        <f>SUM(G11:G16)</f>
        <v>527870.48213618284</v>
      </c>
      <c r="I7" s="81"/>
    </row>
    <row r="8" spans="1:10" x14ac:dyDescent="0.25">
      <c r="B8" s="79"/>
      <c r="C8" s="79"/>
      <c r="D8" s="79"/>
      <c r="E8" s="79"/>
      <c r="F8" s="80"/>
      <c r="G8" s="80"/>
      <c r="H8" s="81"/>
      <c r="I8" s="81"/>
    </row>
    <row r="9" spans="1:10" ht="19.5" customHeight="1" x14ac:dyDescent="0.25">
      <c r="B9" s="12" t="s">
        <v>85</v>
      </c>
      <c r="C9" s="12"/>
      <c r="D9" s="12"/>
      <c r="E9" s="12"/>
      <c r="F9" s="12"/>
      <c r="G9" s="12"/>
      <c r="H9" s="12"/>
    </row>
    <row r="10" spans="1:10" ht="25.5" customHeight="1" x14ac:dyDescent="0.25">
      <c r="B10" s="31" t="s">
        <v>52</v>
      </c>
      <c r="C10" s="31" t="s">
        <v>6</v>
      </c>
      <c r="D10" s="31" t="s">
        <v>86</v>
      </c>
      <c r="E10" s="31" t="s">
        <v>87</v>
      </c>
      <c r="F10" s="31" t="s">
        <v>58</v>
      </c>
      <c r="G10" s="31" t="s">
        <v>88</v>
      </c>
      <c r="H10" s="31" t="s">
        <v>89</v>
      </c>
    </row>
    <row r="11" spans="1:10" ht="15.75" customHeight="1" x14ac:dyDescent="0.25">
      <c r="B11" s="53">
        <v>1</v>
      </c>
      <c r="C11" s="32" t="s">
        <v>90</v>
      </c>
      <c r="D11" s="54">
        <v>46418</v>
      </c>
      <c r="E11" s="55">
        <v>62000</v>
      </c>
      <c r="F11" s="56">
        <f>IF(Situation!$F$18=0,"",$E11/Situation!$F$18)</f>
        <v>0.10000003225807491</v>
      </c>
      <c r="G11" s="55">
        <v>79980</v>
      </c>
      <c r="H11" s="57" t="s">
        <v>91</v>
      </c>
    </row>
    <row r="12" spans="1:10" ht="15.75" customHeight="1" x14ac:dyDescent="0.25">
      <c r="B12" s="58">
        <v>2</v>
      </c>
      <c r="C12" s="59" t="s">
        <v>92</v>
      </c>
      <c r="D12" s="60">
        <v>46446</v>
      </c>
      <c r="E12" s="61">
        <v>155000</v>
      </c>
      <c r="F12" s="62">
        <f>IF(Situation!$F$18=0,"",$E12/Situation!$F$18)</f>
        <v>0.25000008064518731</v>
      </c>
      <c r="G12" s="61">
        <v>113460</v>
      </c>
      <c r="H12" s="63" t="s">
        <v>91</v>
      </c>
    </row>
    <row r="13" spans="1:10" ht="15.75" customHeight="1" x14ac:dyDescent="0.25">
      <c r="B13" s="53">
        <v>3</v>
      </c>
      <c r="C13" s="32" t="s">
        <v>93</v>
      </c>
      <c r="D13" s="54">
        <v>46477</v>
      </c>
      <c r="E13" s="55">
        <v>248000</v>
      </c>
      <c r="F13" s="56">
        <f>IF(Situation!$F$18=0,"",$E13/Situation!$F$18)</f>
        <v>0.40000012903229965</v>
      </c>
      <c r="G13" s="55">
        <v>113460</v>
      </c>
      <c r="H13" s="57" t="s">
        <v>91</v>
      </c>
    </row>
    <row r="14" spans="1:10" ht="15.75" customHeight="1" x14ac:dyDescent="0.25">
      <c r="B14" s="58">
        <v>4</v>
      </c>
      <c r="C14" s="59" t="s">
        <v>94</v>
      </c>
      <c r="D14" s="60">
        <v>46507</v>
      </c>
      <c r="E14" s="61">
        <v>310000</v>
      </c>
      <c r="F14" s="62">
        <f>IF(Situation!$F$18=0,"",$E14/Situation!$F$18)</f>
        <v>0.50000016129037461</v>
      </c>
      <c r="G14" s="61">
        <v>75640</v>
      </c>
      <c r="H14" s="63" t="s">
        <v>91</v>
      </c>
    </row>
    <row r="15" spans="1:10" ht="15.75" customHeight="1" x14ac:dyDescent="0.25">
      <c r="B15" s="53">
        <v>5</v>
      </c>
      <c r="C15" s="32" t="s">
        <v>95</v>
      </c>
      <c r="D15" s="54">
        <v>46538</v>
      </c>
      <c r="E15" s="55">
        <v>375560</v>
      </c>
      <c r="F15" s="56">
        <f>IF(Situation!$F$18=0,"",$E15/Situation!$F$18)</f>
        <v>0.60574213088455831</v>
      </c>
      <c r="G15" s="55">
        <v>79940</v>
      </c>
      <c r="H15" s="57" t="s">
        <v>91</v>
      </c>
    </row>
    <row r="16" spans="1:10" ht="15.75" customHeight="1" x14ac:dyDescent="0.25">
      <c r="B16" s="64" t="str">
        <f>'État d''acompte'!$C$7</f>
        <v>2026-T02-087</v>
      </c>
      <c r="C16" s="65" t="str">
        <f>'État d''acompte'!$C$8</f>
        <v>Juin 2027</v>
      </c>
      <c r="D16" s="66">
        <f>'État d''acompte'!$E$8</f>
        <v>46568</v>
      </c>
      <c r="E16" s="67">
        <f>Situation!$H$18</f>
        <v>445259.83600000001</v>
      </c>
      <c r="F16" s="68">
        <f>IF(Situation!$F$18=0,"",$E16/Situation!$F$18)</f>
        <v>0.71816125747137338</v>
      </c>
      <c r="G16" s="69">
        <f>'État d''acompte'!$E$41</f>
        <v>65390.482136182865</v>
      </c>
      <c r="H16" s="70" t="s">
        <v>96</v>
      </c>
    </row>
    <row r="17" spans="2:9" ht="19.5" customHeight="1" x14ac:dyDescent="0.25">
      <c r="B17" s="82" t="s">
        <v>97</v>
      </c>
      <c r="C17" s="82"/>
      <c r="D17" s="82"/>
      <c r="E17" s="82"/>
      <c r="F17" s="82"/>
      <c r="G17" s="71">
        <f>SUM(G11:G16)</f>
        <v>527870.48213618284</v>
      </c>
      <c r="H17" s="50"/>
    </row>
    <row r="19" spans="2:9" ht="19.5" customHeight="1" x14ac:dyDescent="0.25">
      <c r="B19" s="12" t="s">
        <v>98</v>
      </c>
      <c r="C19" s="12"/>
      <c r="D19" s="12"/>
      <c r="E19" s="12"/>
      <c r="F19" s="12" t="s">
        <v>99</v>
      </c>
      <c r="G19" s="12"/>
      <c r="H19" s="12"/>
      <c r="I19" s="12"/>
    </row>
  </sheetData>
  <mergeCells count="14">
    <mergeCell ref="B17:F17"/>
    <mergeCell ref="B19:E19"/>
    <mergeCell ref="F19:I19"/>
    <mergeCell ref="B7:C8"/>
    <mergeCell ref="D7:E8"/>
    <mergeCell ref="F7:G8"/>
    <mergeCell ref="H7:I8"/>
    <mergeCell ref="B9:H9"/>
    <mergeCell ref="A2:H2"/>
    <mergeCell ref="A3:J3"/>
    <mergeCell ref="B6:C6"/>
    <mergeCell ref="D6:E6"/>
    <mergeCell ref="F6:G6"/>
    <mergeCell ref="H6:I6"/>
  </mergeCells>
  <conditionalFormatting sqref="H11:H16">
    <cfRule type="expression" dxfId="1" priority="2">
      <formula>$H11="Payé"</formula>
    </cfRule>
    <cfRule type="expression" dxfId="0" priority="3">
      <formula>$H11="En cours"</formula>
    </cfRule>
  </conditionalFormatting>
  <dataValidations count="1">
    <dataValidation type="list" allowBlank="1" sqref="H11:H16" xr:uid="{00000000-0002-0000-0200-000000000000}">
      <formula1>"Payé,Mandaté,En attente,En cours"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5B6472"/>
  </sheetPr>
  <dimension ref="A1:C25"/>
  <sheetViews>
    <sheetView showGridLines="0" zoomScaleNormal="100" workbookViewId="0"/>
  </sheetViews>
  <sheetFormatPr baseColWidth="10" defaultColWidth="8.7109375" defaultRowHeight="15" x14ac:dyDescent="0.25"/>
  <cols>
    <col min="1" max="1" width="2" customWidth="1"/>
    <col min="2" max="2" width="66" customWidth="1"/>
    <col min="3" max="3" width="4" customWidth="1"/>
  </cols>
  <sheetData>
    <row r="1" spans="1:3" ht="6" customHeight="1" x14ac:dyDescent="0.25"/>
    <row r="2" spans="1:3" ht="43.5" customHeight="1" x14ac:dyDescent="0.25">
      <c r="A2" s="15" t="s">
        <v>100</v>
      </c>
      <c r="B2" s="17"/>
      <c r="C2" s="17"/>
    </row>
    <row r="3" spans="1:3" ht="15.75" customHeight="1" x14ac:dyDescent="0.25">
      <c r="A3" s="13" t="s">
        <v>101</v>
      </c>
      <c r="B3" s="13"/>
      <c r="C3" s="13"/>
    </row>
    <row r="4" spans="1:3" ht="3" customHeight="1" x14ac:dyDescent="0.25">
      <c r="A4" s="18"/>
      <c r="B4" s="18"/>
      <c r="C4" s="18"/>
    </row>
    <row r="6" spans="1:3" ht="19.5" customHeight="1" x14ac:dyDescent="0.25">
      <c r="B6" s="72" t="s">
        <v>102</v>
      </c>
    </row>
    <row r="7" spans="1:3" ht="51.75" customHeight="1" x14ac:dyDescent="0.25">
      <c r="B7" s="73" t="s">
        <v>103</v>
      </c>
    </row>
    <row r="8" spans="1:3" ht="19.5" customHeight="1" x14ac:dyDescent="0.25">
      <c r="B8" s="72" t="s">
        <v>104</v>
      </c>
    </row>
    <row r="9" spans="1:3" ht="51.75" customHeight="1" x14ac:dyDescent="0.25">
      <c r="B9" s="73" t="s">
        <v>105</v>
      </c>
    </row>
    <row r="10" spans="1:3" ht="19.5" customHeight="1" x14ac:dyDescent="0.25">
      <c r="B10" s="72" t="s">
        <v>106</v>
      </c>
    </row>
    <row r="11" spans="1:3" ht="51.75" customHeight="1" x14ac:dyDescent="0.25">
      <c r="B11" s="73" t="s">
        <v>107</v>
      </c>
    </row>
    <row r="12" spans="1:3" ht="19.5" customHeight="1" x14ac:dyDescent="0.25">
      <c r="B12" s="72" t="s">
        <v>108</v>
      </c>
    </row>
    <row r="13" spans="1:3" ht="51.75" customHeight="1" x14ac:dyDescent="0.25">
      <c r="B13" s="73" t="s">
        <v>109</v>
      </c>
    </row>
    <row r="14" spans="1:3" ht="19.5" customHeight="1" x14ac:dyDescent="0.25">
      <c r="B14" s="72" t="s">
        <v>110</v>
      </c>
    </row>
    <row r="15" spans="1:3" ht="51.75" customHeight="1" x14ac:dyDescent="0.25">
      <c r="B15" s="73" t="s">
        <v>111</v>
      </c>
    </row>
    <row r="17" spans="2:3" ht="19.5" customHeight="1" x14ac:dyDescent="0.25">
      <c r="B17" s="72" t="s">
        <v>112</v>
      </c>
    </row>
    <row r="18" spans="2:3" ht="18" customHeight="1" x14ac:dyDescent="0.25">
      <c r="B18" s="32" t="s">
        <v>113</v>
      </c>
      <c r="C18" s="74"/>
    </row>
    <row r="19" spans="2:3" ht="18" customHeight="1" x14ac:dyDescent="0.25">
      <c r="B19" s="32" t="s">
        <v>114</v>
      </c>
      <c r="C19" s="75"/>
    </row>
    <row r="20" spans="2:3" ht="18" customHeight="1" x14ac:dyDescent="0.25">
      <c r="B20" s="32" t="s">
        <v>115</v>
      </c>
      <c r="C20" s="76"/>
    </row>
    <row r="21" spans="2:3" ht="18" customHeight="1" x14ac:dyDescent="0.25">
      <c r="B21" s="32" t="s">
        <v>116</v>
      </c>
      <c r="C21" s="77"/>
    </row>
    <row r="23" spans="2:3" ht="15" customHeight="1" x14ac:dyDescent="0.25">
      <c r="B23" s="83" t="s">
        <v>117</v>
      </c>
    </row>
    <row r="24" spans="2:3" x14ac:dyDescent="0.25">
      <c r="B24" s="83"/>
    </row>
    <row r="25" spans="2:3" x14ac:dyDescent="0.25">
      <c r="B25" s="83"/>
    </row>
  </sheetData>
  <mergeCells count="2">
    <mergeCell ref="A3:C3"/>
    <mergeCell ref="B23:B25"/>
  </mergeCells>
  <pageMargins left="0.75" right="0.75" top="1" bottom="1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État d'acompte</vt:lpstr>
      <vt:lpstr>Situation</vt:lpstr>
      <vt:lpstr>Suivi &amp; pilotage</vt:lpstr>
      <vt:lpstr>Mode d'emploi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2</cp:revision>
  <dcterms:created xsi:type="dcterms:W3CDTF">2026-09-24T08:15:15Z</dcterms:created>
  <dcterms:modified xsi:type="dcterms:W3CDTF">2026-09-27T16:39:22Z</dcterms:modified>
  <dc:language>en-US</dc:language>
</cp:coreProperties>
</file>