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C2E4ED6D-8896-4C2B-A5D4-55D255A11C42}" xr6:coauthVersionLast="47" xr6:coauthVersionMax="47" xr10:uidLastSave="{00000000-0000-0000-0000-000000000000}"/>
  <bookViews>
    <workbookView xWindow="1035" yWindow="1035" windowWidth="25500" windowHeight="13500" xr2:uid="{00000000-000D-0000-FFFF-FFFF00000000}"/>
  </bookViews>
  <sheets>
    <sheet name="Tableau de bord" sheetId="1" r:id="rId1"/>
    <sheet name="État d'acompte" sheetId="2" r:id="rId2"/>
    <sheet name="Situations" sheetId="3" r:id="rId3"/>
    <sheet name="Avancement" sheetId="4" r:id="rId4"/>
    <sheet name="Révision des prix" sheetId="5" r:id="rId5"/>
    <sheet name="Marché" sheetId="6" r:id="rId6"/>
    <sheet name="Mode d'emploi" sheetId="7" r:id="rId7"/>
  </sheets>
  <definedNames>
    <definedName name="Acheteur">Marché!$J$10</definedName>
    <definedName name="AssietteRG">Marché!$D$37</definedName>
    <definedName name="AvanceOui">Marché!$J$22</definedName>
    <definedName name="CCAG">Marché!$D$14</definedName>
    <definedName name="CoefActu">Marché!$J$37</definedName>
    <definedName name="Comptable">Marché!$J$16</definedName>
    <definedName name="DateFin">Marché!$D$19</definedName>
    <definedName name="DateNotif">Marché!$D$16</definedName>
    <definedName name="DateOS">Marché!$D$17</definedName>
    <definedName name="DateSituation">Marché!$J$46</definedName>
    <definedName name="DebutRemb">Marché!$J$27</definedName>
    <definedName name="DelaiPaiement">Marché!$J$41</definedName>
    <definedName name="_xlnm.Print_Area" localSheetId="3">Avancement!$A$1:$AG$53</definedName>
    <definedName name="_xlnm.Print_Area" localSheetId="1">'État d''acompte'!$A$1:$G$61</definedName>
    <definedName name="_xlnm.Print_Area" localSheetId="5">Marché!$A$1:$M$53</definedName>
    <definedName name="_xlnm.Print_Area" localSheetId="6">'Mode d''emploi'!$A$1:$E$52</definedName>
    <definedName name="_xlnm.Print_Area" localSheetId="4">'Révision des prix'!$A$1:$H$57</definedName>
    <definedName name="_xlnm.Print_Area" localSheetId="2">Situations!$A$1:$AG$34</definedName>
    <definedName name="_xlnm.Print_Area" localSheetId="0">'Tableau de bord'!$A$1:$N$60</definedName>
    <definedName name="_xlnm.Print_Titles" localSheetId="3">Avancement!$9:$10</definedName>
    <definedName name="_xlnm.Print_Titles" localSheetId="4">'Révision des prix'!$9:$9</definedName>
    <definedName name="_xlnm.Print_Titles" localSheetId="2">Situations!$8:$9</definedName>
    <definedName name="DureeMois">Marché!$D$18</definedName>
    <definedName name="EtatChoisi">'État d''acompte'!$H$6</definedName>
    <definedName name="ExoPen">Marché!$D$43</definedName>
    <definedName name="FinRemb">Marché!$J$28</definedName>
    <definedName name="FormePrix">Marché!$D$15</definedName>
    <definedName name="IndCoef">'Révision des prix'!$F$10:$F$57</definedName>
    <definedName name="IndemniteForf">Marché!$J$45</definedName>
    <definedName name="IndiceZero">Marché!$J$35</definedName>
    <definedName name="IndMois">'Révision des prix'!$B$10:$B$57</definedName>
    <definedName name="IndStatut">'Révision des prix'!$E$10:$E$57</definedName>
    <definedName name="ListeAssietteRG">OFFSET(Marché!$R$11,0,0,MAX(1,COUNTIF(Marché!$R$11:$R$18,"?*")),1)</definedName>
    <definedName name="ListeCCAG">OFFSET(Marché!$P$11,0,0,MAX(1,COUNTIF(Marché!$P$11:$P$18,"?*")),1)</definedName>
    <definedName name="ListeEtats">OFFSET(Situations!$B$10,0,0,MAX(1,COUNT(Situations!$C$10:$C$33)),1)</definedName>
    <definedName name="ListeFormePrix">OFFSET(Marché!$Q$11,0,0,MAX(1,COUNTIF(Marché!$Q$11:$Q$18,"?*")),1)</definedName>
    <definedName name="ListeOrigines">OFFSET(Marché!$S$11,0,0,MAX(1,COUNTIF(Marché!$S$11:$S$14,"?*")),1)</definedName>
    <definedName name="ListeProcedures">OFFSET(Marché!$O$11,0,0,MAX(1,COUNTIF(Marché!$O$11:$O$18,"?*")),1)</definedName>
    <definedName name="Lot">Marché!$D$12</definedName>
    <definedName name="MaitreOeuvre">Marché!$J$12</definedName>
    <definedName name="MoisZero">Marché!$J$34</definedName>
    <definedName name="MontantAvance">Marché!$J$25</definedName>
    <definedName name="MontantAvenants">Marché!$D$23</definedName>
    <definedName name="MontantHT">Marché!$D$24</definedName>
    <definedName name="MontantInitial">Marché!$D$22</definedName>
    <definedName name="MontantTTC">Marché!$D$26</definedName>
    <definedName name="NbSit">COUNT(Situations!$C$10:$C$33)</definedName>
    <definedName name="NumEJ">Marché!$J$17</definedName>
    <definedName name="NumMarche">Marché!$D$10</definedName>
    <definedName name="ObjetMarche">Marché!$D$11</definedName>
    <definedName name="PartieFixe">Marché!$J$36</definedName>
    <definedName name="PenDenom">Marché!$D$40</definedName>
    <definedName name="PenJour">Marché!$D$41</definedName>
    <definedName name="PlafondPen">Marché!$D$42</definedName>
    <definedName name="Representant">Marché!$J$11</definedName>
    <definedName name="RGGarantie">Marché!$D$36</definedName>
    <definedName name="SiretTitulaire">Marché!$J$14</definedName>
    <definedName name="ST1Autoliq">Marché!$F$51</definedName>
    <definedName name="ST1Direct">Marché!$E$51</definedName>
    <definedName name="ST1Nom">Marché!$C$51</definedName>
    <definedName name="ST2Autoliq">Marché!$F$52</definedName>
    <definedName name="ST2Direct">Marché!$E$52</definedName>
    <definedName name="ST2Nom">Marché!$C$52</definedName>
    <definedName name="ST3Autoliq">Marché!$F$53</definedName>
    <definedName name="ST3Direct">Marché!$E$53</definedName>
    <definedName name="ST3Nom">Marché!$C$53</definedName>
    <definedName name="TauxAvance">Marché!$J$23</definedName>
    <definedName name="TauxIM">Marché!$J$44</definedName>
    <definedName name="TauxRG">Marché!$D$35</definedName>
    <definedName name="TauxTVA">Marché!$D$25</definedName>
    <definedName name="Titulaire">Marché!$J$13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6" l="1"/>
  <c r="K53" i="6"/>
  <c r="J53" i="6"/>
  <c r="L52" i="6"/>
  <c r="K52" i="6"/>
  <c r="J52" i="6"/>
  <c r="J51" i="6"/>
  <c r="L51" i="6" s="1"/>
  <c r="J46" i="6"/>
  <c r="I3" i="1" s="1"/>
  <c r="J44" i="6"/>
  <c r="J37" i="6"/>
  <c r="J35" i="6"/>
  <c r="F26" i="5" s="1"/>
  <c r="H14" i="3" s="1"/>
  <c r="E32" i="6"/>
  <c r="E31" i="6"/>
  <c r="E30" i="6"/>
  <c r="D22" i="6"/>
  <c r="J24" i="6" s="1"/>
  <c r="J25" i="6" s="1"/>
  <c r="D19" i="6"/>
  <c r="S14" i="6"/>
  <c r="S13" i="6"/>
  <c r="S12" i="6"/>
  <c r="L3" i="6"/>
  <c r="L2" i="6"/>
  <c r="D28" i="5"/>
  <c r="D29" i="5" s="1"/>
  <c r="E27" i="5"/>
  <c r="D27" i="5"/>
  <c r="F27" i="5" s="1"/>
  <c r="H15" i="3" s="1"/>
  <c r="E26" i="5"/>
  <c r="D26" i="5"/>
  <c r="D25" i="5"/>
  <c r="F25" i="5" s="1"/>
  <c r="H13" i="3" s="1"/>
  <c r="D24" i="5"/>
  <c r="E24" i="5" s="1"/>
  <c r="I12" i="3" s="1"/>
  <c r="D23" i="5"/>
  <c r="E23" i="5" s="1"/>
  <c r="I11" i="3" s="1"/>
  <c r="D22" i="5"/>
  <c r="F22" i="5" s="1"/>
  <c r="H10" i="3" s="1"/>
  <c r="F21" i="5"/>
  <c r="E21" i="5"/>
  <c r="D21" i="5"/>
  <c r="D20" i="5"/>
  <c r="F20" i="5" s="1"/>
  <c r="E19" i="5"/>
  <c r="D19" i="5"/>
  <c r="E18" i="5"/>
  <c r="D18" i="5"/>
  <c r="F18" i="5" s="1"/>
  <c r="D17" i="5"/>
  <c r="E17" i="5" s="1"/>
  <c r="D16" i="5"/>
  <c r="F16" i="5" s="1"/>
  <c r="D15" i="5"/>
  <c r="F14" i="5"/>
  <c r="D14" i="5"/>
  <c r="E14" i="5" s="1"/>
  <c r="E13" i="5"/>
  <c r="D13" i="5"/>
  <c r="F13" i="5" s="1"/>
  <c r="E12" i="5"/>
  <c r="D12" i="5"/>
  <c r="D11" i="5"/>
  <c r="F11" i="5" s="1"/>
  <c r="D10" i="5"/>
  <c r="E10" i="5" s="1"/>
  <c r="AF53" i="4"/>
  <c r="AE53" i="4"/>
  <c r="AD53" i="4"/>
  <c r="AC53" i="4"/>
  <c r="AB53" i="4"/>
  <c r="AA53" i="4"/>
  <c r="AF52" i="4"/>
  <c r="AE52" i="4"/>
  <c r="T52" i="4"/>
  <c r="S52" i="4"/>
  <c r="R52" i="4"/>
  <c r="Q52" i="4"/>
  <c r="U51" i="4"/>
  <c r="T51" i="4"/>
  <c r="S51" i="4"/>
  <c r="R51" i="4"/>
  <c r="Q51" i="4"/>
  <c r="P51" i="4"/>
  <c r="O51" i="4"/>
  <c r="E51" i="4"/>
  <c r="H50" i="4"/>
  <c r="G50" i="4"/>
  <c r="F50" i="4"/>
  <c r="H49" i="4"/>
  <c r="G49" i="4"/>
  <c r="F49" i="4"/>
  <c r="H48" i="4"/>
  <c r="G48" i="4"/>
  <c r="F48" i="4"/>
  <c r="H47" i="4"/>
  <c r="G47" i="4"/>
  <c r="F47" i="4"/>
  <c r="H46" i="4"/>
  <c r="G46" i="4"/>
  <c r="F46" i="4"/>
  <c r="H45" i="4"/>
  <c r="G45" i="4"/>
  <c r="F45" i="4"/>
  <c r="H44" i="4"/>
  <c r="G44" i="4"/>
  <c r="F44" i="4"/>
  <c r="H43" i="4"/>
  <c r="G43" i="4"/>
  <c r="F43" i="4"/>
  <c r="H42" i="4"/>
  <c r="G42" i="4"/>
  <c r="F42" i="4"/>
  <c r="H41" i="4"/>
  <c r="G41" i="4"/>
  <c r="F41" i="4"/>
  <c r="H40" i="4"/>
  <c r="G40" i="4"/>
  <c r="F40" i="4"/>
  <c r="H39" i="4"/>
  <c r="G39" i="4"/>
  <c r="F39" i="4"/>
  <c r="H38" i="4"/>
  <c r="G38" i="4"/>
  <c r="F38" i="4"/>
  <c r="H37" i="4"/>
  <c r="G37" i="4"/>
  <c r="F37" i="4"/>
  <c r="H36" i="4"/>
  <c r="G36" i="4"/>
  <c r="F36" i="4"/>
  <c r="H35" i="4"/>
  <c r="G35" i="4"/>
  <c r="F35" i="4"/>
  <c r="H34" i="4"/>
  <c r="G34" i="4"/>
  <c r="F34" i="4"/>
  <c r="H33" i="4"/>
  <c r="G33" i="4"/>
  <c r="F33" i="4"/>
  <c r="H32" i="4"/>
  <c r="G32" i="4"/>
  <c r="F32" i="4"/>
  <c r="H31" i="4"/>
  <c r="G31" i="4"/>
  <c r="F31" i="4"/>
  <c r="H30" i="4"/>
  <c r="G30" i="4"/>
  <c r="F30" i="4"/>
  <c r="H29" i="4"/>
  <c r="G29" i="4"/>
  <c r="F29" i="4"/>
  <c r="H28" i="4"/>
  <c r="G28" i="4"/>
  <c r="F28" i="4"/>
  <c r="H27" i="4"/>
  <c r="G27" i="4"/>
  <c r="F27" i="4"/>
  <c r="H26" i="4"/>
  <c r="G26" i="4"/>
  <c r="F26" i="4"/>
  <c r="H25" i="4"/>
  <c r="G25" i="4"/>
  <c r="F25" i="4"/>
  <c r="H24" i="4"/>
  <c r="G24" i="4"/>
  <c r="F24" i="4"/>
  <c r="H23" i="4"/>
  <c r="G23" i="4"/>
  <c r="F23" i="4"/>
  <c r="F22" i="4"/>
  <c r="G22" i="4" s="1"/>
  <c r="H22" i="4" s="1"/>
  <c r="G21" i="4"/>
  <c r="H21" i="4" s="1"/>
  <c r="F21" i="4"/>
  <c r="F20" i="4"/>
  <c r="G20" i="4" s="1"/>
  <c r="H20" i="4" s="1"/>
  <c r="H19" i="4"/>
  <c r="G19" i="4"/>
  <c r="F19" i="4"/>
  <c r="F18" i="4"/>
  <c r="G18" i="4" s="1"/>
  <c r="H18" i="4" s="1"/>
  <c r="F17" i="4"/>
  <c r="G17" i="4" s="1"/>
  <c r="H17" i="4" s="1"/>
  <c r="F16" i="4"/>
  <c r="G16" i="4" s="1"/>
  <c r="H16" i="4" s="1"/>
  <c r="F15" i="4"/>
  <c r="G15" i="4" s="1"/>
  <c r="H15" i="4" s="1"/>
  <c r="G14" i="4"/>
  <c r="H14" i="4" s="1"/>
  <c r="F14" i="4"/>
  <c r="F13" i="4"/>
  <c r="G13" i="4" s="1"/>
  <c r="H13" i="4" s="1"/>
  <c r="F12" i="4"/>
  <c r="G12" i="4" s="1"/>
  <c r="H12" i="4" s="1"/>
  <c r="G11" i="4"/>
  <c r="F11" i="4"/>
  <c r="AF10" i="4"/>
  <c r="AF51" i="4" s="1"/>
  <c r="AE10" i="4"/>
  <c r="AE51" i="4" s="1"/>
  <c r="AD10" i="4"/>
  <c r="AD52" i="4" s="1"/>
  <c r="AC10" i="4"/>
  <c r="AC52" i="4" s="1"/>
  <c r="AB10" i="4"/>
  <c r="AB52" i="4" s="1"/>
  <c r="AA10" i="4"/>
  <c r="AA52" i="4" s="1"/>
  <c r="Z10" i="4"/>
  <c r="Z53" i="4" s="1"/>
  <c r="Y10" i="4"/>
  <c r="X10" i="4"/>
  <c r="W10" i="4"/>
  <c r="V10" i="4"/>
  <c r="U10" i="4"/>
  <c r="U53" i="4" s="1"/>
  <c r="T10" i="4"/>
  <c r="T53" i="4" s="1"/>
  <c r="S10" i="4"/>
  <c r="S53" i="4" s="1"/>
  <c r="R10" i="4"/>
  <c r="R53" i="4" s="1"/>
  <c r="Q10" i="4"/>
  <c r="Q53" i="4" s="1"/>
  <c r="P10" i="4"/>
  <c r="O10" i="4"/>
  <c r="N10" i="4"/>
  <c r="N51" i="4" s="1"/>
  <c r="N53" i="4" s="1"/>
  <c r="M10" i="4"/>
  <c r="M51" i="4" s="1"/>
  <c r="L10" i="4"/>
  <c r="L51" i="4" s="1"/>
  <c r="K10" i="4"/>
  <c r="K51" i="4" s="1"/>
  <c r="J10" i="4"/>
  <c r="I10" i="4"/>
  <c r="H3" i="4"/>
  <c r="H2" i="4"/>
  <c r="Y34" i="3"/>
  <c r="X34" i="3"/>
  <c r="W34" i="3"/>
  <c r="V34" i="3"/>
  <c r="AI33" i="3"/>
  <c r="AH33" i="3"/>
  <c r="AF33" i="3"/>
  <c r="AB33" i="3"/>
  <c r="AD33" i="3" s="1"/>
  <c r="AE33" i="3" s="1"/>
  <c r="Z33" i="3"/>
  <c r="Y33" i="3"/>
  <c r="U33" i="3"/>
  <c r="T33" i="3"/>
  <c r="S33" i="3"/>
  <c r="P33" i="3"/>
  <c r="O33" i="3"/>
  <c r="N33" i="3"/>
  <c r="M33" i="3"/>
  <c r="L33" i="3"/>
  <c r="K33" i="3"/>
  <c r="J33" i="3"/>
  <c r="I33" i="3"/>
  <c r="H33" i="3"/>
  <c r="G33" i="3"/>
  <c r="E33" i="3"/>
  <c r="D33" i="3"/>
  <c r="AI32" i="3"/>
  <c r="AH32" i="3"/>
  <c r="AF32" i="3"/>
  <c r="AB32" i="3"/>
  <c r="AD32" i="3" s="1"/>
  <c r="AE32" i="3" s="1"/>
  <c r="Z32" i="3"/>
  <c r="Y32" i="3"/>
  <c r="U32" i="3"/>
  <c r="T32" i="3"/>
  <c r="S32" i="3"/>
  <c r="P32" i="3"/>
  <c r="O32" i="3"/>
  <c r="N32" i="3"/>
  <c r="M32" i="3"/>
  <c r="L32" i="3"/>
  <c r="K32" i="3"/>
  <c r="J32" i="3"/>
  <c r="I32" i="3"/>
  <c r="H32" i="3"/>
  <c r="G32" i="3"/>
  <c r="E32" i="3"/>
  <c r="D32" i="3"/>
  <c r="AI31" i="3"/>
  <c r="AH31" i="3"/>
  <c r="AF31" i="3"/>
  <c r="AB31" i="3"/>
  <c r="AD31" i="3" s="1"/>
  <c r="AE31" i="3" s="1"/>
  <c r="Z31" i="3"/>
  <c r="Y31" i="3"/>
  <c r="U31" i="3"/>
  <c r="T31" i="3"/>
  <c r="S31" i="3"/>
  <c r="P31" i="3"/>
  <c r="O31" i="3"/>
  <c r="N31" i="3"/>
  <c r="M31" i="3"/>
  <c r="L31" i="3"/>
  <c r="K31" i="3"/>
  <c r="J31" i="3"/>
  <c r="I31" i="3"/>
  <c r="H31" i="3"/>
  <c r="G31" i="3"/>
  <c r="E31" i="3"/>
  <c r="D31" i="3"/>
  <c r="AI30" i="3"/>
  <c r="AH30" i="3"/>
  <c r="AF30" i="3"/>
  <c r="AE30" i="3"/>
  <c r="AD30" i="3"/>
  <c r="AB30" i="3"/>
  <c r="Z30" i="3"/>
  <c r="Y30" i="3"/>
  <c r="U30" i="3"/>
  <c r="T30" i="3"/>
  <c r="S30" i="3"/>
  <c r="P30" i="3"/>
  <c r="O30" i="3"/>
  <c r="N30" i="3"/>
  <c r="M30" i="3"/>
  <c r="L30" i="3"/>
  <c r="K30" i="3"/>
  <c r="J30" i="3"/>
  <c r="I30" i="3"/>
  <c r="H30" i="3"/>
  <c r="G30" i="3"/>
  <c r="E30" i="3"/>
  <c r="D30" i="3"/>
  <c r="AI29" i="3"/>
  <c r="AH29" i="3"/>
  <c r="AF29" i="3"/>
  <c r="AB29" i="3"/>
  <c r="AD29" i="3" s="1"/>
  <c r="AE29" i="3" s="1"/>
  <c r="Z29" i="3"/>
  <c r="Y29" i="3"/>
  <c r="U29" i="3"/>
  <c r="T29" i="3"/>
  <c r="S29" i="3"/>
  <c r="P29" i="3"/>
  <c r="O29" i="3"/>
  <c r="N29" i="3"/>
  <c r="M29" i="3"/>
  <c r="L29" i="3"/>
  <c r="K29" i="3"/>
  <c r="J29" i="3"/>
  <c r="I29" i="3"/>
  <c r="H29" i="3"/>
  <c r="G29" i="3"/>
  <c r="E29" i="3"/>
  <c r="D29" i="3"/>
  <c r="AI28" i="3"/>
  <c r="AH28" i="3"/>
  <c r="AF28" i="3"/>
  <c r="AE28" i="3"/>
  <c r="AD28" i="3"/>
  <c r="AB28" i="3"/>
  <c r="Z28" i="3"/>
  <c r="Y28" i="3"/>
  <c r="U28" i="3"/>
  <c r="T28" i="3"/>
  <c r="S28" i="3"/>
  <c r="P28" i="3"/>
  <c r="O28" i="3"/>
  <c r="N28" i="3"/>
  <c r="M28" i="3"/>
  <c r="L28" i="3"/>
  <c r="K28" i="3"/>
  <c r="J28" i="3"/>
  <c r="I28" i="3"/>
  <c r="H28" i="3"/>
  <c r="G28" i="3"/>
  <c r="E28" i="3"/>
  <c r="D28" i="3"/>
  <c r="AI27" i="3"/>
  <c r="AH27" i="3"/>
  <c r="AF27" i="3"/>
  <c r="AB27" i="3"/>
  <c r="AD27" i="3" s="1"/>
  <c r="AE27" i="3" s="1"/>
  <c r="Z27" i="3"/>
  <c r="Y27" i="3"/>
  <c r="U27" i="3"/>
  <c r="T27" i="3"/>
  <c r="S27" i="3"/>
  <c r="P27" i="3"/>
  <c r="O27" i="3"/>
  <c r="N27" i="3"/>
  <c r="M27" i="3"/>
  <c r="L27" i="3"/>
  <c r="K27" i="3"/>
  <c r="J27" i="3"/>
  <c r="I27" i="3"/>
  <c r="H27" i="3"/>
  <c r="G27" i="3"/>
  <c r="E27" i="3"/>
  <c r="D27" i="3"/>
  <c r="AI26" i="3"/>
  <c r="AH26" i="3"/>
  <c r="AF26" i="3"/>
  <c r="AB26" i="3"/>
  <c r="AD26" i="3" s="1"/>
  <c r="AE26" i="3" s="1"/>
  <c r="Z26" i="3"/>
  <c r="Y26" i="3"/>
  <c r="U26" i="3"/>
  <c r="T26" i="3"/>
  <c r="S26" i="3"/>
  <c r="P26" i="3"/>
  <c r="O26" i="3"/>
  <c r="N26" i="3"/>
  <c r="M26" i="3"/>
  <c r="L26" i="3"/>
  <c r="K26" i="3"/>
  <c r="J26" i="3"/>
  <c r="I26" i="3"/>
  <c r="H26" i="3"/>
  <c r="G26" i="3"/>
  <c r="E26" i="3"/>
  <c r="D26" i="3"/>
  <c r="AI25" i="3"/>
  <c r="AH25" i="3"/>
  <c r="AF25" i="3"/>
  <c r="AB25" i="3"/>
  <c r="AD25" i="3" s="1"/>
  <c r="AE25" i="3" s="1"/>
  <c r="Z25" i="3"/>
  <c r="Y25" i="3"/>
  <c r="U25" i="3"/>
  <c r="T25" i="3"/>
  <c r="S25" i="3"/>
  <c r="P25" i="3"/>
  <c r="O25" i="3"/>
  <c r="N25" i="3"/>
  <c r="M25" i="3"/>
  <c r="L25" i="3"/>
  <c r="K25" i="3"/>
  <c r="J25" i="3"/>
  <c r="I25" i="3"/>
  <c r="H25" i="3"/>
  <c r="G25" i="3"/>
  <c r="E25" i="3"/>
  <c r="D25" i="3"/>
  <c r="AI24" i="3"/>
  <c r="AH24" i="3"/>
  <c r="AF24" i="3"/>
  <c r="AB24" i="3"/>
  <c r="AD24" i="3" s="1"/>
  <c r="AE24" i="3" s="1"/>
  <c r="Z24" i="3"/>
  <c r="Y24" i="3"/>
  <c r="U24" i="3"/>
  <c r="T24" i="3"/>
  <c r="S24" i="3"/>
  <c r="P24" i="3"/>
  <c r="O24" i="3"/>
  <c r="N24" i="3"/>
  <c r="M24" i="3"/>
  <c r="L24" i="3"/>
  <c r="K24" i="3"/>
  <c r="J24" i="3"/>
  <c r="I24" i="3"/>
  <c r="H24" i="3"/>
  <c r="G24" i="3"/>
  <c r="E24" i="3"/>
  <c r="D24" i="3"/>
  <c r="AI23" i="3"/>
  <c r="AH23" i="3"/>
  <c r="AF23" i="3"/>
  <c r="AB23" i="3"/>
  <c r="AD23" i="3" s="1"/>
  <c r="AE23" i="3" s="1"/>
  <c r="Z23" i="3"/>
  <c r="Y23" i="3"/>
  <c r="U23" i="3"/>
  <c r="T23" i="3"/>
  <c r="S23" i="3"/>
  <c r="P23" i="3"/>
  <c r="O23" i="3"/>
  <c r="N23" i="3"/>
  <c r="M23" i="3"/>
  <c r="L23" i="3"/>
  <c r="K23" i="3"/>
  <c r="J23" i="3"/>
  <c r="I23" i="3"/>
  <c r="H23" i="3"/>
  <c r="G23" i="3"/>
  <c r="E23" i="3"/>
  <c r="D23" i="3"/>
  <c r="AI22" i="3"/>
  <c r="AH22" i="3"/>
  <c r="AF22" i="3"/>
  <c r="AB22" i="3"/>
  <c r="AD22" i="3" s="1"/>
  <c r="AE22" i="3" s="1"/>
  <c r="Z22" i="3"/>
  <c r="Y22" i="3"/>
  <c r="U22" i="3"/>
  <c r="T22" i="3"/>
  <c r="S22" i="3"/>
  <c r="P22" i="3"/>
  <c r="O22" i="3"/>
  <c r="N22" i="3"/>
  <c r="M22" i="3"/>
  <c r="L22" i="3"/>
  <c r="K22" i="3"/>
  <c r="J22" i="3"/>
  <c r="I22" i="3"/>
  <c r="H22" i="3"/>
  <c r="G22" i="3"/>
  <c r="E22" i="3"/>
  <c r="D22" i="3"/>
  <c r="AI21" i="3"/>
  <c r="AH21" i="3"/>
  <c r="AF21" i="3"/>
  <c r="AB21" i="3"/>
  <c r="AD21" i="3" s="1"/>
  <c r="AE21" i="3" s="1"/>
  <c r="Z21" i="3"/>
  <c r="Y21" i="3"/>
  <c r="U21" i="3"/>
  <c r="T21" i="3"/>
  <c r="S21" i="3"/>
  <c r="P21" i="3"/>
  <c r="O21" i="3"/>
  <c r="N21" i="3"/>
  <c r="M21" i="3"/>
  <c r="L21" i="3"/>
  <c r="K21" i="3"/>
  <c r="J21" i="3"/>
  <c r="I21" i="3"/>
  <c r="H21" i="3"/>
  <c r="G21" i="3"/>
  <c r="E21" i="3"/>
  <c r="D21" i="3"/>
  <c r="AI20" i="3"/>
  <c r="AH20" i="3"/>
  <c r="AF20" i="3"/>
  <c r="AD20" i="3"/>
  <c r="AE20" i="3" s="1"/>
  <c r="AB20" i="3"/>
  <c r="Z20" i="3"/>
  <c r="Y20" i="3"/>
  <c r="U20" i="3"/>
  <c r="T20" i="3"/>
  <c r="S20" i="3"/>
  <c r="P20" i="3"/>
  <c r="O20" i="3"/>
  <c r="N20" i="3"/>
  <c r="M20" i="3"/>
  <c r="L20" i="3"/>
  <c r="K20" i="3"/>
  <c r="J20" i="3"/>
  <c r="I20" i="3"/>
  <c r="H20" i="3"/>
  <c r="G20" i="3"/>
  <c r="E20" i="3"/>
  <c r="D20" i="3"/>
  <c r="AI19" i="3"/>
  <c r="AH19" i="3"/>
  <c r="AF19" i="3"/>
  <c r="AB19" i="3"/>
  <c r="AD19" i="3" s="1"/>
  <c r="AE19" i="3" s="1"/>
  <c r="Z19" i="3"/>
  <c r="Y19" i="3"/>
  <c r="U19" i="3"/>
  <c r="T19" i="3"/>
  <c r="S19" i="3"/>
  <c r="P19" i="3"/>
  <c r="O19" i="3"/>
  <c r="N19" i="3"/>
  <c r="M19" i="3"/>
  <c r="L19" i="3"/>
  <c r="K19" i="3"/>
  <c r="J19" i="3"/>
  <c r="I19" i="3"/>
  <c r="H19" i="3"/>
  <c r="G19" i="3"/>
  <c r="E19" i="3"/>
  <c r="D19" i="3"/>
  <c r="AI18" i="3"/>
  <c r="AH18" i="3"/>
  <c r="AF18" i="3"/>
  <c r="AB18" i="3"/>
  <c r="AD18" i="3" s="1"/>
  <c r="AE18" i="3" s="1"/>
  <c r="Z18" i="3"/>
  <c r="Y18" i="3"/>
  <c r="U18" i="3"/>
  <c r="T18" i="3"/>
  <c r="S18" i="3"/>
  <c r="P18" i="3"/>
  <c r="O18" i="3"/>
  <c r="N18" i="3"/>
  <c r="M18" i="3"/>
  <c r="L18" i="3"/>
  <c r="K18" i="3"/>
  <c r="J18" i="3"/>
  <c r="I18" i="3"/>
  <c r="H18" i="3"/>
  <c r="G18" i="3"/>
  <c r="E18" i="3"/>
  <c r="D18" i="3"/>
  <c r="AB17" i="3"/>
  <c r="Y17" i="3"/>
  <c r="D17" i="3"/>
  <c r="D3" i="2" s="1"/>
  <c r="AD16" i="3"/>
  <c r="AE16" i="3" s="1"/>
  <c r="AB16" i="3"/>
  <c r="Y16" i="3"/>
  <c r="E16" i="3"/>
  <c r="D16" i="3"/>
  <c r="AD15" i="3"/>
  <c r="AF15" i="3" s="1"/>
  <c r="AB15" i="3"/>
  <c r="K40" i="1" s="1"/>
  <c r="Y15" i="3"/>
  <c r="I15" i="3"/>
  <c r="E15" i="3"/>
  <c r="D15" i="3"/>
  <c r="AD14" i="3"/>
  <c r="AF14" i="3" s="1"/>
  <c r="M39" i="1" s="1"/>
  <c r="AB14" i="3"/>
  <c r="Y14" i="3"/>
  <c r="I14" i="3"/>
  <c r="D14" i="3"/>
  <c r="AB13" i="3"/>
  <c r="K38" i="1" s="1"/>
  <c r="Y13" i="3"/>
  <c r="H38" i="1" s="1"/>
  <c r="H59" i="1" s="1"/>
  <c r="D13" i="3"/>
  <c r="AB12" i="3"/>
  <c r="AD12" i="3" s="1"/>
  <c r="Y12" i="3"/>
  <c r="D12" i="3"/>
  <c r="AB11" i="3"/>
  <c r="AD11" i="3" s="1"/>
  <c r="Y11" i="3"/>
  <c r="H36" i="1" s="1"/>
  <c r="D11" i="3"/>
  <c r="AD10" i="3"/>
  <c r="AE10" i="3" s="1"/>
  <c r="AB10" i="3"/>
  <c r="K35" i="1" s="1"/>
  <c r="Y10" i="3"/>
  <c r="D10" i="3"/>
  <c r="X9" i="3"/>
  <c r="W9" i="3"/>
  <c r="V9" i="3"/>
  <c r="AF3" i="3"/>
  <c r="AF2" i="3"/>
  <c r="E40" i="2"/>
  <c r="D40" i="2"/>
  <c r="F40" i="2" s="1"/>
  <c r="C40" i="2"/>
  <c r="E39" i="2"/>
  <c r="C39" i="2"/>
  <c r="C38" i="2"/>
  <c r="C28" i="2"/>
  <c r="C24" i="2"/>
  <c r="E21" i="2"/>
  <c r="D16" i="2"/>
  <c r="D15" i="2"/>
  <c r="D13" i="2"/>
  <c r="D12" i="2"/>
  <c r="D11" i="2"/>
  <c r="D10" i="2"/>
  <c r="D9" i="2"/>
  <c r="H6" i="2"/>
  <c r="D39" i="2" s="1"/>
  <c r="F39" i="2" s="1"/>
  <c r="B3" i="2"/>
  <c r="D2" i="2"/>
  <c r="M58" i="1"/>
  <c r="L58" i="1"/>
  <c r="K58" i="1"/>
  <c r="J58" i="1"/>
  <c r="I58" i="1"/>
  <c r="H58" i="1"/>
  <c r="G58" i="1"/>
  <c r="F58" i="1"/>
  <c r="E58" i="1"/>
  <c r="D58" i="1"/>
  <c r="C58" i="1"/>
  <c r="B58" i="1"/>
  <c r="M57" i="1"/>
  <c r="L57" i="1"/>
  <c r="K57" i="1"/>
  <c r="J57" i="1"/>
  <c r="I57" i="1"/>
  <c r="H57" i="1"/>
  <c r="G57" i="1"/>
  <c r="F57" i="1"/>
  <c r="E57" i="1"/>
  <c r="D57" i="1"/>
  <c r="C57" i="1"/>
  <c r="B57" i="1"/>
  <c r="M56" i="1"/>
  <c r="L56" i="1"/>
  <c r="K56" i="1"/>
  <c r="J56" i="1"/>
  <c r="I56" i="1"/>
  <c r="H56" i="1"/>
  <c r="G56" i="1"/>
  <c r="F56" i="1"/>
  <c r="E56" i="1"/>
  <c r="D56" i="1"/>
  <c r="C56" i="1"/>
  <c r="B56" i="1"/>
  <c r="M55" i="1"/>
  <c r="L55" i="1"/>
  <c r="K55" i="1"/>
  <c r="J55" i="1"/>
  <c r="I55" i="1"/>
  <c r="H55" i="1"/>
  <c r="G55" i="1"/>
  <c r="F55" i="1"/>
  <c r="E55" i="1"/>
  <c r="D55" i="1"/>
  <c r="C55" i="1"/>
  <c r="B55" i="1"/>
  <c r="M54" i="1"/>
  <c r="L54" i="1"/>
  <c r="K54" i="1"/>
  <c r="J54" i="1"/>
  <c r="I54" i="1"/>
  <c r="H54" i="1"/>
  <c r="G54" i="1"/>
  <c r="F54" i="1"/>
  <c r="E54" i="1"/>
  <c r="D54" i="1"/>
  <c r="C54" i="1"/>
  <c r="B54" i="1"/>
  <c r="M53" i="1"/>
  <c r="L53" i="1"/>
  <c r="K53" i="1"/>
  <c r="J53" i="1"/>
  <c r="I53" i="1"/>
  <c r="H53" i="1"/>
  <c r="G53" i="1"/>
  <c r="F53" i="1"/>
  <c r="E53" i="1"/>
  <c r="D53" i="1"/>
  <c r="C53" i="1"/>
  <c r="B53" i="1"/>
  <c r="M52" i="1"/>
  <c r="L52" i="1"/>
  <c r="K52" i="1"/>
  <c r="J52" i="1"/>
  <c r="I52" i="1"/>
  <c r="H52" i="1"/>
  <c r="G52" i="1"/>
  <c r="F52" i="1"/>
  <c r="E52" i="1"/>
  <c r="D52" i="1"/>
  <c r="C52" i="1"/>
  <c r="B52" i="1"/>
  <c r="M51" i="1"/>
  <c r="L51" i="1"/>
  <c r="K51" i="1"/>
  <c r="J51" i="1"/>
  <c r="I51" i="1"/>
  <c r="H51" i="1"/>
  <c r="G51" i="1"/>
  <c r="F51" i="1"/>
  <c r="E51" i="1"/>
  <c r="D51" i="1"/>
  <c r="C51" i="1"/>
  <c r="B51" i="1"/>
  <c r="M50" i="1"/>
  <c r="L50" i="1"/>
  <c r="K50" i="1"/>
  <c r="J50" i="1"/>
  <c r="I50" i="1"/>
  <c r="H50" i="1"/>
  <c r="G50" i="1"/>
  <c r="F50" i="1"/>
  <c r="E50" i="1"/>
  <c r="D50" i="1"/>
  <c r="C50" i="1"/>
  <c r="B50" i="1"/>
  <c r="M49" i="1"/>
  <c r="L49" i="1"/>
  <c r="K49" i="1"/>
  <c r="J49" i="1"/>
  <c r="I49" i="1"/>
  <c r="H49" i="1"/>
  <c r="G49" i="1"/>
  <c r="F49" i="1"/>
  <c r="E49" i="1"/>
  <c r="D49" i="1"/>
  <c r="C49" i="1"/>
  <c r="B49" i="1"/>
  <c r="M48" i="1"/>
  <c r="L48" i="1"/>
  <c r="K48" i="1"/>
  <c r="J48" i="1"/>
  <c r="I48" i="1"/>
  <c r="H48" i="1"/>
  <c r="G48" i="1"/>
  <c r="F48" i="1"/>
  <c r="E48" i="1"/>
  <c r="D48" i="1"/>
  <c r="C48" i="1"/>
  <c r="B48" i="1"/>
  <c r="M47" i="1"/>
  <c r="L47" i="1"/>
  <c r="K47" i="1"/>
  <c r="J47" i="1"/>
  <c r="I47" i="1"/>
  <c r="H47" i="1"/>
  <c r="G47" i="1"/>
  <c r="F47" i="1"/>
  <c r="E47" i="1"/>
  <c r="D47" i="1"/>
  <c r="C47" i="1"/>
  <c r="B47" i="1"/>
  <c r="M46" i="1"/>
  <c r="L46" i="1"/>
  <c r="K46" i="1"/>
  <c r="J46" i="1"/>
  <c r="I46" i="1"/>
  <c r="H46" i="1"/>
  <c r="G46" i="1"/>
  <c r="F46" i="1"/>
  <c r="E46" i="1"/>
  <c r="D46" i="1"/>
  <c r="C46" i="1"/>
  <c r="B46" i="1"/>
  <c r="M45" i="1"/>
  <c r="L45" i="1"/>
  <c r="K45" i="1"/>
  <c r="J45" i="1"/>
  <c r="I45" i="1"/>
  <c r="H45" i="1"/>
  <c r="G45" i="1"/>
  <c r="F45" i="1"/>
  <c r="E45" i="1"/>
  <c r="D45" i="1"/>
  <c r="C45" i="1"/>
  <c r="B45" i="1"/>
  <c r="M44" i="1"/>
  <c r="L44" i="1"/>
  <c r="K44" i="1"/>
  <c r="J44" i="1"/>
  <c r="I44" i="1"/>
  <c r="H44" i="1"/>
  <c r="G44" i="1"/>
  <c r="F44" i="1"/>
  <c r="E44" i="1"/>
  <c r="D44" i="1"/>
  <c r="C44" i="1"/>
  <c r="B44" i="1"/>
  <c r="M43" i="1"/>
  <c r="L43" i="1"/>
  <c r="K43" i="1"/>
  <c r="J43" i="1"/>
  <c r="I43" i="1"/>
  <c r="H43" i="1"/>
  <c r="G43" i="1"/>
  <c r="F43" i="1"/>
  <c r="E43" i="1"/>
  <c r="D43" i="1"/>
  <c r="C43" i="1"/>
  <c r="B43" i="1"/>
  <c r="L42" i="1"/>
  <c r="K42" i="1"/>
  <c r="J42" i="1"/>
  <c r="H42" i="1"/>
  <c r="C42" i="1"/>
  <c r="B42" i="1"/>
  <c r="L41" i="1"/>
  <c r="K41" i="1"/>
  <c r="J41" i="1"/>
  <c r="H41" i="1"/>
  <c r="C41" i="1"/>
  <c r="B41" i="1"/>
  <c r="M40" i="1"/>
  <c r="L40" i="1"/>
  <c r="J40" i="1"/>
  <c r="H40" i="1"/>
  <c r="C40" i="1"/>
  <c r="B40" i="1"/>
  <c r="L39" i="1"/>
  <c r="K39" i="1"/>
  <c r="J39" i="1"/>
  <c r="H39" i="1"/>
  <c r="C39" i="1"/>
  <c r="B39" i="1"/>
  <c r="L38" i="1"/>
  <c r="J38" i="1"/>
  <c r="C38" i="1"/>
  <c r="B38" i="1"/>
  <c r="L37" i="1"/>
  <c r="K37" i="1"/>
  <c r="J37" i="1"/>
  <c r="H37" i="1"/>
  <c r="C37" i="1"/>
  <c r="B37" i="1"/>
  <c r="L36" i="1"/>
  <c r="J36" i="1"/>
  <c r="C36" i="1"/>
  <c r="B36" i="1"/>
  <c r="L35" i="1"/>
  <c r="J35" i="1"/>
  <c r="H35" i="1"/>
  <c r="C35" i="1"/>
  <c r="B35" i="1"/>
  <c r="S27" i="1"/>
  <c r="R27" i="1"/>
  <c r="Q27" i="1"/>
  <c r="P27" i="1"/>
  <c r="S26" i="1"/>
  <c r="R26" i="1" s="1"/>
  <c r="S25" i="1"/>
  <c r="P25" i="1" s="1"/>
  <c r="R25" i="1"/>
  <c r="Q25" i="1"/>
  <c r="M25" i="1"/>
  <c r="S24" i="1"/>
  <c r="R24" i="1"/>
  <c r="Q24" i="1"/>
  <c r="P24" i="1"/>
  <c r="S23" i="1"/>
  <c r="P23" i="1"/>
  <c r="S22" i="1"/>
  <c r="S21" i="1"/>
  <c r="P21" i="1"/>
  <c r="S20" i="1"/>
  <c r="S19" i="1"/>
  <c r="S18" i="1"/>
  <c r="P18" i="1"/>
  <c r="S17" i="1"/>
  <c r="P17" i="1" s="1"/>
  <c r="M17" i="1"/>
  <c r="L17" i="1"/>
  <c r="S16" i="1"/>
  <c r="Q16" i="1"/>
  <c r="P16" i="1"/>
  <c r="M16" i="1"/>
  <c r="L16" i="1"/>
  <c r="E12" i="1"/>
  <c r="K8" i="1"/>
  <c r="B3" i="1"/>
  <c r="I2" i="1"/>
  <c r="AF17" i="3" l="1"/>
  <c r="M42" i="1" s="1"/>
  <c r="B12" i="1"/>
  <c r="D45" i="2"/>
  <c r="E15" i="5"/>
  <c r="F15" i="5"/>
  <c r="E28" i="5"/>
  <c r="I16" i="3" s="1"/>
  <c r="F28" i="5"/>
  <c r="H16" i="3" s="1"/>
  <c r="AF16" i="3"/>
  <c r="M41" i="1" s="1"/>
  <c r="E12" i="3"/>
  <c r="AF11" i="3"/>
  <c r="M36" i="1" s="1"/>
  <c r="AE11" i="3"/>
  <c r="E13" i="3"/>
  <c r="L53" i="4"/>
  <c r="E14" i="3"/>
  <c r="M53" i="4"/>
  <c r="G51" i="4"/>
  <c r="F51" i="4" s="1"/>
  <c r="Y53" i="4"/>
  <c r="Y52" i="4"/>
  <c r="Y51" i="4"/>
  <c r="G16" i="3"/>
  <c r="R22" i="1" s="1"/>
  <c r="P16" i="3"/>
  <c r="E28" i="2" s="1"/>
  <c r="P20" i="1"/>
  <c r="P26" i="1"/>
  <c r="Q26" i="1"/>
  <c r="P15" i="3"/>
  <c r="AD17" i="3"/>
  <c r="AE17" i="3" s="1"/>
  <c r="F48" i="2" s="1"/>
  <c r="O53" i="4"/>
  <c r="V53" i="4"/>
  <c r="V52" i="4"/>
  <c r="V51" i="4"/>
  <c r="M19" i="1"/>
  <c r="L19" i="1"/>
  <c r="AE12" i="3"/>
  <c r="AF12" i="3"/>
  <c r="M37" i="1" s="1"/>
  <c r="W53" i="4"/>
  <c r="W52" i="4"/>
  <c r="W51" i="4"/>
  <c r="L23" i="1"/>
  <c r="AF10" i="3"/>
  <c r="D30" i="5"/>
  <c r="F29" i="5"/>
  <c r="H17" i="3" s="1"/>
  <c r="E29" i="5"/>
  <c r="I17" i="3" s="1"/>
  <c r="P53" i="4"/>
  <c r="E17" i="3"/>
  <c r="Q23" i="1"/>
  <c r="X53" i="4"/>
  <c r="X52" i="4"/>
  <c r="X51" i="4"/>
  <c r="E22" i="5"/>
  <c r="I10" i="3" s="1"/>
  <c r="F10" i="5"/>
  <c r="K36" i="1"/>
  <c r="AD13" i="3"/>
  <c r="M23" i="1" s="1"/>
  <c r="U52" i="4"/>
  <c r="E11" i="5"/>
  <c r="F24" i="5"/>
  <c r="H12" i="3" s="1"/>
  <c r="F23" i="5"/>
  <c r="H11" i="3" s="1"/>
  <c r="F17" i="5"/>
  <c r="Z51" i="4"/>
  <c r="P19" i="1"/>
  <c r="H11" i="4"/>
  <c r="H51" i="4" s="1"/>
  <c r="AA51" i="4"/>
  <c r="E25" i="5"/>
  <c r="I13" i="3" s="1"/>
  <c r="K51" i="6"/>
  <c r="AB51" i="4"/>
  <c r="E16" i="5"/>
  <c r="P22" i="1"/>
  <c r="Q22" i="1"/>
  <c r="D38" i="2"/>
  <c r="D47" i="2"/>
  <c r="AE14" i="3"/>
  <c r="I51" i="4"/>
  <c r="AC51" i="4"/>
  <c r="F12" i="5"/>
  <c r="D20" i="2"/>
  <c r="E38" i="2"/>
  <c r="F47" i="2"/>
  <c r="J51" i="4"/>
  <c r="K53" i="4" s="1"/>
  <c r="AD51" i="4"/>
  <c r="Z52" i="4"/>
  <c r="F19" i="5"/>
  <c r="AE15" i="3"/>
  <c r="E20" i="5"/>
  <c r="D23" i="6"/>
  <c r="E20" i="2"/>
  <c r="D21" i="2"/>
  <c r="F21" i="2" s="1"/>
  <c r="D48" i="2" l="1"/>
  <c r="P13" i="3"/>
  <c r="G13" i="3"/>
  <c r="F20" i="2"/>
  <c r="Q19" i="1"/>
  <c r="P12" i="3"/>
  <c r="B8" i="1"/>
  <c r="D27" i="6"/>
  <c r="D24" i="6"/>
  <c r="F30" i="5"/>
  <c r="E30" i="5"/>
  <c r="D31" i="5"/>
  <c r="Q20" i="1"/>
  <c r="E11" i="3"/>
  <c r="J53" i="4"/>
  <c r="G14" i="3"/>
  <c r="Q21" i="1"/>
  <c r="P14" i="3"/>
  <c r="P17" i="3"/>
  <c r="E7" i="1"/>
  <c r="G17" i="3"/>
  <c r="G15" i="3"/>
  <c r="E10" i="3"/>
  <c r="I53" i="4"/>
  <c r="L25" i="1"/>
  <c r="L24" i="1"/>
  <c r="M35" i="1"/>
  <c r="AF13" i="3"/>
  <c r="M38" i="1" s="1"/>
  <c r="J16" i="3"/>
  <c r="D41" i="1"/>
  <c r="M20" i="1"/>
  <c r="L20" i="1"/>
  <c r="C22" i="2"/>
  <c r="F38" i="2"/>
  <c r="K12" i="1"/>
  <c r="P11" i="3" l="1"/>
  <c r="Q18" i="1"/>
  <c r="G11" i="3"/>
  <c r="P10" i="3"/>
  <c r="G10" i="3"/>
  <c r="Q17" i="1"/>
  <c r="J15" i="3"/>
  <c r="D40" i="1"/>
  <c r="R21" i="1"/>
  <c r="G12" i="3"/>
  <c r="J14" i="3"/>
  <c r="D39" i="1"/>
  <c r="R20" i="1"/>
  <c r="T25" i="1"/>
  <c r="E8" i="1"/>
  <c r="T19" i="1"/>
  <c r="AI14" i="3"/>
  <c r="O14" i="3" s="1"/>
  <c r="T22" i="1"/>
  <c r="K7" i="1"/>
  <c r="AI11" i="3"/>
  <c r="O11" i="3" s="1"/>
  <c r="T27" i="1"/>
  <c r="T23" i="1"/>
  <c r="T20" i="1"/>
  <c r="T16" i="1"/>
  <c r="B7" i="1"/>
  <c r="M18" i="1"/>
  <c r="N52" i="4"/>
  <c r="AI13" i="3"/>
  <c r="O13" i="3" s="1"/>
  <c r="P52" i="4"/>
  <c r="D41" i="6"/>
  <c r="AI12" i="3"/>
  <c r="O12" i="3" s="1"/>
  <c r="T24" i="1"/>
  <c r="F44" i="2"/>
  <c r="T18" i="1"/>
  <c r="AI17" i="3"/>
  <c r="AI10" i="3"/>
  <c r="O10" i="3" s="1"/>
  <c r="T21" i="1"/>
  <c r="O52" i="4"/>
  <c r="AI16" i="3"/>
  <c r="O16" i="3" s="1"/>
  <c r="T26" i="1"/>
  <c r="K52" i="4"/>
  <c r="AI15" i="3"/>
  <c r="O15" i="3" s="1"/>
  <c r="T17" i="1"/>
  <c r="M52" i="4"/>
  <c r="D26" i="6"/>
  <c r="D14" i="2" s="1"/>
  <c r="L52" i="4"/>
  <c r="I52" i="4"/>
  <c r="J52" i="4"/>
  <c r="D42" i="1"/>
  <c r="J17" i="3"/>
  <c r="R23" i="1"/>
  <c r="E11" i="1"/>
  <c r="D28" i="2"/>
  <c r="F28" i="2" s="1"/>
  <c r="D46" i="2"/>
  <c r="J13" i="3"/>
  <c r="D38" i="1"/>
  <c r="R19" i="1"/>
  <c r="E41" i="1"/>
  <c r="D32" i="5"/>
  <c r="F31" i="5"/>
  <c r="E31" i="5"/>
  <c r="M24" i="1"/>
  <c r="AH10" i="3" l="1"/>
  <c r="S10" i="3" s="1"/>
  <c r="F35" i="1" s="1"/>
  <c r="E39" i="1"/>
  <c r="D37" i="1"/>
  <c r="J12" i="3"/>
  <c r="R18" i="1"/>
  <c r="E38" i="1"/>
  <c r="E42" i="1"/>
  <c r="J11" i="3"/>
  <c r="D36" i="1"/>
  <c r="R17" i="1"/>
  <c r="E40" i="1"/>
  <c r="D33" i="5"/>
  <c r="F32" i="5"/>
  <c r="E32" i="5"/>
  <c r="L18" i="1"/>
  <c r="D44" i="2"/>
  <c r="O17" i="3"/>
  <c r="M22" i="1" s="1"/>
  <c r="G34" i="3"/>
  <c r="R16" i="1"/>
  <c r="D35" i="1"/>
  <c r="D59" i="1" s="1"/>
  <c r="J10" i="3"/>
  <c r="E27" i="2"/>
  <c r="J34" i="3" l="1"/>
  <c r="E35" i="1"/>
  <c r="K10" i="3"/>
  <c r="L10" i="3" s="1"/>
  <c r="F45" i="2"/>
  <c r="D27" i="2"/>
  <c r="L22" i="1"/>
  <c r="B11" i="1"/>
  <c r="E37" i="1"/>
  <c r="D34" i="5"/>
  <c r="E33" i="5"/>
  <c r="F33" i="5"/>
  <c r="AH11" i="3"/>
  <c r="K11" i="3"/>
  <c r="L11" i="3" s="1"/>
  <c r="E36" i="1"/>
  <c r="M11" i="3" l="1"/>
  <c r="N11" i="3" s="1"/>
  <c r="T11" i="3" s="1"/>
  <c r="K12" i="3"/>
  <c r="E34" i="5"/>
  <c r="F34" i="5"/>
  <c r="D35" i="5"/>
  <c r="S11" i="3"/>
  <c r="F36" i="1" s="1"/>
  <c r="AH12" i="3"/>
  <c r="F27" i="2"/>
  <c r="M10" i="3"/>
  <c r="N10" i="3" s="1"/>
  <c r="T10" i="3" s="1"/>
  <c r="U10" i="3" s="1"/>
  <c r="E59" i="1"/>
  <c r="G35" i="1" l="1"/>
  <c r="Z10" i="3"/>
  <c r="U11" i="3"/>
  <c r="L12" i="3"/>
  <c r="K13" i="3"/>
  <c r="S12" i="3"/>
  <c r="F37" i="1" s="1"/>
  <c r="AH13" i="3"/>
  <c r="F35" i="5"/>
  <c r="D36" i="5"/>
  <c r="E35" i="5"/>
  <c r="D37" i="5" l="1"/>
  <c r="E36" i="5"/>
  <c r="F36" i="5"/>
  <c r="S13" i="3"/>
  <c r="F38" i="1" s="1"/>
  <c r="AH14" i="3"/>
  <c r="L13" i="3"/>
  <c r="K14" i="3"/>
  <c r="M12" i="3"/>
  <c r="N12" i="3" s="1"/>
  <c r="T12" i="3" s="1"/>
  <c r="U12" i="3" s="1"/>
  <c r="G36" i="1"/>
  <c r="Z11" i="3"/>
  <c r="I36" i="1" s="1"/>
  <c r="I35" i="1"/>
  <c r="G37" i="1" l="1"/>
  <c r="Z12" i="3"/>
  <c r="M13" i="3"/>
  <c r="N13" i="3" s="1"/>
  <c r="T13" i="3" s="1"/>
  <c r="U13" i="3" s="1"/>
  <c r="S14" i="3"/>
  <c r="F39" i="1" s="1"/>
  <c r="AH15" i="3"/>
  <c r="L14" i="3"/>
  <c r="K15" i="3"/>
  <c r="E37" i="5"/>
  <c r="F37" i="5"/>
  <c r="D38" i="5"/>
  <c r="Z13" i="3" l="1"/>
  <c r="I38" i="1" s="1"/>
  <c r="G38" i="1"/>
  <c r="AE13" i="3"/>
  <c r="D39" i="5"/>
  <c r="F38" i="5"/>
  <c r="E38" i="5"/>
  <c r="L15" i="3"/>
  <c r="K16" i="3"/>
  <c r="M14" i="3"/>
  <c r="N14" i="3" s="1"/>
  <c r="T14" i="3" s="1"/>
  <c r="U14" i="3" s="1"/>
  <c r="I37" i="1"/>
  <c r="S15" i="3"/>
  <c r="F40" i="1" s="1"/>
  <c r="AH16" i="3"/>
  <c r="Z14" i="3" l="1"/>
  <c r="G39" i="1"/>
  <c r="M15" i="3"/>
  <c r="N15" i="3" s="1"/>
  <c r="T15" i="3" s="1"/>
  <c r="U15" i="3" s="1"/>
  <c r="S16" i="3"/>
  <c r="AH17" i="3"/>
  <c r="E22" i="2"/>
  <c r="L16" i="3"/>
  <c r="K17" i="3"/>
  <c r="D40" i="5"/>
  <c r="F39" i="5"/>
  <c r="E39" i="5"/>
  <c r="K11" i="1"/>
  <c r="AE34" i="3"/>
  <c r="Z15" i="3" l="1"/>
  <c r="I40" i="1" s="1"/>
  <c r="G40" i="1"/>
  <c r="D22" i="2"/>
  <c r="F22" i="2" s="1"/>
  <c r="L17" i="3"/>
  <c r="D41" i="5"/>
  <c r="F40" i="5"/>
  <c r="E40" i="5"/>
  <c r="E23" i="2"/>
  <c r="M16" i="3"/>
  <c r="E24" i="2" s="1"/>
  <c r="N16" i="3"/>
  <c r="S17" i="3"/>
  <c r="M21" i="1"/>
  <c r="L21" i="1"/>
  <c r="F46" i="2"/>
  <c r="H12" i="1"/>
  <c r="E29" i="2"/>
  <c r="E30" i="2" s="1"/>
  <c r="F41" i="1"/>
  <c r="I39" i="1"/>
  <c r="T16" i="3" l="1"/>
  <c r="E25" i="2"/>
  <c r="D42" i="5"/>
  <c r="F41" i="5"/>
  <c r="E41" i="5"/>
  <c r="D23" i="2"/>
  <c r="F23" i="2" s="1"/>
  <c r="M17" i="3"/>
  <c r="D24" i="2" s="1"/>
  <c r="F24" i="2" s="1"/>
  <c r="H11" i="1"/>
  <c r="D29" i="2"/>
  <c r="F42" i="1"/>
  <c r="F59" i="1" s="1"/>
  <c r="F29" i="2" l="1"/>
  <c r="F30" i="2" s="1"/>
  <c r="D30" i="2"/>
  <c r="N17" i="3"/>
  <c r="D43" i="5"/>
  <c r="F42" i="5"/>
  <c r="E42" i="5"/>
  <c r="U16" i="3"/>
  <c r="E31" i="2"/>
  <c r="E41" i="2" s="1"/>
  <c r="Z16" i="3" l="1"/>
  <c r="G41" i="1"/>
  <c r="E43" i="5"/>
  <c r="D44" i="5"/>
  <c r="F43" i="5"/>
  <c r="T17" i="3"/>
  <c r="D25" i="2"/>
  <c r="F25" i="2" s="1"/>
  <c r="U17" i="3" l="1"/>
  <c r="D31" i="2"/>
  <c r="D45" i="5"/>
  <c r="E44" i="5"/>
  <c r="F44" i="5"/>
  <c r="I41" i="1"/>
  <c r="D46" i="5" l="1"/>
  <c r="F45" i="5"/>
  <c r="E45" i="5"/>
  <c r="D41" i="2"/>
  <c r="F31" i="2"/>
  <c r="G42" i="1"/>
  <c r="G59" i="1" s="1"/>
  <c r="Z17" i="3"/>
  <c r="H7" i="1"/>
  <c r="U34" i="3"/>
  <c r="H8" i="1"/>
  <c r="F41" i="2" l="1"/>
  <c r="C34" i="2"/>
  <c r="D33" i="2"/>
  <c r="I42" i="1"/>
  <c r="I59" i="1" s="1"/>
  <c r="Z34" i="3"/>
  <c r="F46" i="5"/>
  <c r="D47" i="5"/>
  <c r="E46" i="5"/>
  <c r="F47" i="5" l="1"/>
  <c r="E47" i="5"/>
  <c r="D48" i="5"/>
  <c r="D49" i="5" l="1"/>
  <c r="F48" i="5"/>
  <c r="E48" i="5"/>
  <c r="D50" i="5" l="1"/>
  <c r="F49" i="5"/>
  <c r="E49" i="5"/>
  <c r="F50" i="5" l="1"/>
  <c r="D51" i="5"/>
  <c r="E50" i="5"/>
  <c r="D52" i="5" l="1"/>
  <c r="F51" i="5"/>
  <c r="E51" i="5"/>
  <c r="D53" i="5" l="1"/>
  <c r="F52" i="5"/>
  <c r="E52" i="5"/>
  <c r="D54" i="5" l="1"/>
  <c r="E53" i="5"/>
  <c r="F53" i="5"/>
  <c r="E54" i="5" l="1"/>
  <c r="F54" i="5"/>
  <c r="D55" i="5"/>
  <c r="F55" i="5" l="1"/>
  <c r="D56" i="5"/>
  <c r="E55" i="5"/>
  <c r="D57" i="5" l="1"/>
  <c r="E56" i="5"/>
  <c r="F56" i="5"/>
  <c r="F57" i="5" l="1"/>
  <c r="E57" i="5"/>
</calcChain>
</file>

<file path=xl/sharedStrings.xml><?xml version="1.0" encoding="utf-8"?>
<sst xmlns="http://schemas.openxmlformats.org/spreadsheetml/2006/main" count="455" uniqueCount="379">
  <si>
    <t>SUIVI FINANCIER DU MARCHÉ</t>
  </si>
  <si>
    <t>MONTANT DU MARCHÉ HT</t>
  </si>
  <si>
    <t>TRAVAUX EXÉCUTÉS HT</t>
  </si>
  <si>
    <t>ACOMPTES ÉTABLIS TTC</t>
  </si>
  <si>
    <t>RESTE À RÉALISER HT</t>
  </si>
  <si>
    <t>AVANCE RESTANT À REMBOURSER</t>
  </si>
  <si>
    <t>RETENUE DE GARANTIE CUMULÉE</t>
  </si>
  <si>
    <t>PÉNALITÉS RETENUES</t>
  </si>
  <si>
    <t>INTÉRÊTS MORATOIRES DUS</t>
  </si>
  <si>
    <t>Avancement financier par situation (HT, prix de base)</t>
  </si>
  <si>
    <t>Points de contrôle</t>
  </si>
  <si>
    <t>CONTRÔLE</t>
  </si>
  <si>
    <t>CONSTAT</t>
  </si>
  <si>
    <t>STATUT</t>
  </si>
  <si>
    <t>Situation</t>
  </si>
  <si>
    <t>Cumul des situations précédentes</t>
  </si>
  <si>
    <t>Travaux de la période</t>
  </si>
  <si>
    <t>N°</t>
  </si>
  <si>
    <t>Montant du marché</t>
  </si>
  <si>
    <t>Avancement des postes ≤ 100 %</t>
  </si>
  <si>
    <t>Avancement cumulé jamais en baisse</t>
  </si>
  <si>
    <t>Travaux exécutés ≤ montant du marché</t>
  </si>
  <si>
    <t>Sous-traitance dans la limite des actes spéciaux</t>
  </si>
  <si>
    <t>Révision : indices définitifs</t>
  </si>
  <si>
    <t>Pénalités : exonération et plafond</t>
  </si>
  <si>
    <t>Remboursement de l'avance</t>
  </si>
  <si>
    <t>Paiements dans le délai global</t>
  </si>
  <si>
    <t>Acomptes échus non payés</t>
  </si>
  <si>
    <t>Demandes en attente ou à transmettre</t>
  </si>
  <si>
    <t>Les contrôles portent sur l'ensemble des situations saisies. Détail des calculs : onglet Situations ; document à transmettre : onglet État d'acompte.</t>
  </si>
  <si>
    <t>Récapitulatif des états d'acompte</t>
  </si>
  <si>
    <t>Mois</t>
  </si>
  <si>
    <t>Travaux de la
période HT</t>
  </si>
  <si>
    <t>Révision de la
période HT</t>
  </si>
  <si>
    <t>Déductions de
la période</t>
  </si>
  <si>
    <t>ACOMPTE TTC</t>
  </si>
  <si>
    <t>dont paiement
direct</t>
  </si>
  <si>
    <t>Part du
titulaire</t>
  </si>
  <si>
    <t>Demande
reçue le</t>
  </si>
  <si>
    <t>Paiement
avant le</t>
  </si>
  <si>
    <t>Payé le</t>
  </si>
  <si>
    <t>Statut</t>
  </si>
  <si>
    <t>Total</t>
  </si>
  <si>
    <t>Ligne surlignée : état d'acompte actuellement affiché dans l'onglet État d'acompte.</t>
  </si>
  <si>
    <t>ÉTAT D'ACOMPTE MENSUEL</t>
  </si>
  <si>
    <t>Numéro de l'état d'acompte à éditer</t>
  </si>
  <si>
    <t>◄ tout le document se met à jour</t>
  </si>
  <si>
    <t>A</t>
  </si>
  <si>
    <t>IDENTIFICATION</t>
  </si>
  <si>
    <t>Acheteur (pouvoir adjudicateur)</t>
  </si>
  <si>
    <t>Maître d'œuvre</t>
  </si>
  <si>
    <t>Titulaire</t>
  </si>
  <si>
    <t>Marché</t>
  </si>
  <si>
    <t>Objet</t>
  </si>
  <si>
    <t>Forme des prix</t>
  </si>
  <si>
    <t>Engagement juridique · comptable</t>
  </si>
  <si>
    <t>B</t>
  </si>
  <si>
    <t>DÉCOMPTE</t>
  </si>
  <si>
    <t>Désignation</t>
  </si>
  <si>
    <t>Cumul à ce jour</t>
  </si>
  <si>
    <t>Cumul précédent</t>
  </si>
  <si>
    <t>Présent état</t>
  </si>
  <si>
    <t>1 · Travaux exécutés au prix de base (HT)</t>
  </si>
  <si>
    <t>2 · Approvisionnements (HT)</t>
  </si>
  <si>
    <t>4 · Montant hors taxes (1 + 2 + 3)</t>
  </si>
  <si>
    <t>6 · Montant TTC (4 + 5)</t>
  </si>
  <si>
    <t>Déductions</t>
  </si>
  <si>
    <t>7 · Remboursement de l'avance</t>
  </si>
  <si>
    <t>9 · Pénalités (hors champ de la TVA)</t>
  </si>
  <si>
    <t>10 · Total des déductions (7 + 8 + 9)</t>
  </si>
  <si>
    <t>11 · Montant TTC dû (6 – 10)</t>
  </si>
  <si>
    <t>MONTANT DU PRÉSENT ACOMPTE TTC</t>
  </si>
  <si>
    <t>C</t>
  </si>
  <si>
    <t>RÉPARTITION DU PAIEMENT</t>
  </si>
  <si>
    <t>Bénéficiaire</t>
  </si>
  <si>
    <t>Part revenant au titulaire</t>
  </si>
  <si>
    <t>D</t>
  </si>
  <si>
    <t>SUIVI DU MARCHÉ À LA FIN DE LA PÉRIODE</t>
  </si>
  <si>
    <t>Avancement des travaux (prix de base)</t>
  </si>
  <si>
    <t>Reste à réaliser HT</t>
  </si>
  <si>
    <t>Avance versée TTC</t>
  </si>
  <si>
    <t>Avance restant due</t>
  </si>
  <si>
    <t>Retenue de garantie cumulée</t>
  </si>
  <si>
    <t>Pénalités brutes</t>
  </si>
  <si>
    <t>Demande de paiement reçue le</t>
  </si>
  <si>
    <t>Paiement avant le</t>
  </si>
  <si>
    <t>Situation du paiement</t>
  </si>
  <si>
    <t>Intérêts moratoires</t>
  </si>
  <si>
    <t>E</t>
  </si>
  <si>
    <t>VISAS</t>
  </si>
  <si>
    <t>Le titulaire – demande de paiement</t>
  </si>
  <si>
    <t>Le maître d'œuvre – état vérifié et proposé</t>
  </si>
  <si>
    <t>Date :</t>
  </si>
  <si>
    <t>Le représentant de l'acheteur – arrêté et certifié</t>
  </si>
  <si>
    <t>Observations</t>
  </si>
  <si>
    <t>SITUATIONS MENSUELLES</t>
  </si>
  <si>
    <t>Calcul cumulé de chaque état d'acompte : révision, déductions, sous-traitance et paiement</t>
  </si>
  <si>
    <t>Une ligne par mois d'exécution. Les travaux proviennent de l'onglet Avancement ; saisissez les approvisionnements, les pénalités, la sous-traitance et les dates de paiement.</t>
  </si>
  <si>
    <t>Saisie</t>
  </si>
  <si>
    <t>Calcul automatique</t>
  </si>
  <si>
    <t>PÉRIODE</t>
  </si>
  <si>
    <t>TRAVAUX (PRIX DE BASE)</t>
  </si>
  <si>
    <t>RÉVISION DES PRIX</t>
  </si>
  <si>
    <t>MONTANTS CUMULÉS</t>
  </si>
  <si>
    <t>DÉDUCTIONS CUMULÉES</t>
  </si>
  <si>
    <t>ACOMPTE</t>
  </si>
  <si>
    <t>SOUS-TRAITANCE (PAIEMENT DIRECT)</t>
  </si>
  <si>
    <t>PAIEMENT</t>
  </si>
  <si>
    <t>Mois
d'exécution</t>
  </si>
  <si>
    <t>Fin de
période</t>
  </si>
  <si>
    <t>Travaux
cumulés HT</t>
  </si>
  <si>
    <t>Approvision-
nements HT</t>
  </si>
  <si>
    <t>Coef.
Cn</t>
  </si>
  <si>
    <t>Indice</t>
  </si>
  <si>
    <t>Révision
cumulée HT</t>
  </si>
  <si>
    <t>Montant HT
cumulé</t>
  </si>
  <si>
    <t>TVA
cumulée</t>
  </si>
  <si>
    <t>Montant TTC
cumulé</t>
  </si>
  <si>
    <t>Rembours.
de l'avance</t>
  </si>
  <si>
    <t>Retenue de
garantie</t>
  </si>
  <si>
    <t>Jours de
retard</t>
  </si>
  <si>
    <t>Autres
pénalités</t>
  </si>
  <si>
    <t>Pénalités
retenues</t>
  </si>
  <si>
    <t>Net cumulé
dû TTC</t>
  </si>
  <si>
    <t>ACOMPTE
TTC</t>
  </si>
  <si>
    <t>Paiement
direct TTC</t>
  </si>
  <si>
    <t>Part du
titulaire TTC</t>
  </si>
  <si>
    <t>Retard
(jours)</t>
  </si>
  <si>
    <t>Intérêts
moratoires</t>
  </si>
  <si>
    <t>Pénalités
brutes</t>
  </si>
  <si>
    <t>Exécution
(% HT)</t>
  </si>
  <si>
    <t>Totaux</t>
  </si>
  <si>
    <t>AVANCEMENT DES TRAVAUX</t>
  </si>
  <si>
    <t>Décomposition du prix et pourcentage d'avancement cumulé de chaque poste, situation par situation</t>
  </si>
  <si>
    <t>Une colonne par situation : saisissez l'avancement cumulé de chaque poste à la fin du mois (jamais en baisse).</t>
  </si>
  <si>
    <t>DÉCOMPOSITION DU PRIX GLOBAL ET FORFAITAIRE</t>
  </si>
  <si>
    <t>AVANCEMENT CUMULÉ À LA FIN DE CHAQUE SITUATION</t>
  </si>
  <si>
    <t>Code</t>
  </si>
  <si>
    <t>Désignation du poste</t>
  </si>
  <si>
    <t>Origine</t>
  </si>
  <si>
    <t>Montant HT</t>
  </si>
  <si>
    <t>Avancement
actuel</t>
  </si>
  <si>
    <t>Réalisé HT</t>
  </si>
  <si>
    <t>Reste à
réaliser HT</t>
  </si>
  <si>
    <t>N° 1</t>
  </si>
  <si>
    <t>N° 2</t>
  </si>
  <si>
    <t>N° 3</t>
  </si>
  <si>
    <t>N° 4</t>
  </si>
  <si>
    <t>N° 5</t>
  </si>
  <si>
    <t>N° 6</t>
  </si>
  <si>
    <t>N° 7</t>
  </si>
  <si>
    <t>N° 8</t>
  </si>
  <si>
    <t>N° 9</t>
  </si>
  <si>
    <t>N° 10</t>
  </si>
  <si>
    <t>N° 11</t>
  </si>
  <si>
    <t>N° 12</t>
  </si>
  <si>
    <t>N° 13</t>
  </si>
  <si>
    <t>N° 14</t>
  </si>
  <si>
    <t>N° 15</t>
  </si>
  <si>
    <t>N° 16</t>
  </si>
  <si>
    <t>N° 17</t>
  </si>
  <si>
    <t>N° 18</t>
  </si>
  <si>
    <t>N° 19</t>
  </si>
  <si>
    <t>N° 20</t>
  </si>
  <si>
    <t>N° 21</t>
  </si>
  <si>
    <t>N° 22</t>
  </si>
  <si>
    <t>N° 23</t>
  </si>
  <si>
    <t>N° 24</t>
  </si>
  <si>
    <t>Mois de la situation  ›</t>
  </si>
  <si>
    <t>01</t>
  </si>
  <si>
    <t>Installation et repli de chantier</t>
  </si>
  <si>
    <t>Marché initial</t>
  </si>
  <si>
    <t>02</t>
  </si>
  <si>
    <t>Dépose des menuiseries existantes</t>
  </si>
  <si>
    <t>03</t>
  </si>
  <si>
    <t>Fenêtres aluminium – bâtiment A</t>
  </si>
  <si>
    <t>04</t>
  </si>
  <si>
    <t>Fenêtres aluminium – bâtiment B</t>
  </si>
  <si>
    <t>05</t>
  </si>
  <si>
    <t>Portes-fenêtres et châssis fixes</t>
  </si>
  <si>
    <t>06</t>
  </si>
  <si>
    <t>Portes d'entrée et sas</t>
  </si>
  <si>
    <t>07</t>
  </si>
  <si>
    <t>Occultations – volets roulants</t>
  </si>
  <si>
    <t>08</t>
  </si>
  <si>
    <t>Habillages et étanchéité périphérique</t>
  </si>
  <si>
    <t>09</t>
  </si>
  <si>
    <t>Garde-corps et protections</t>
  </si>
  <si>
    <t>10</t>
  </si>
  <si>
    <t>Réglages, essais et dossier des ouvrages exécutés</t>
  </si>
  <si>
    <t>11</t>
  </si>
  <si>
    <t>Châssis de désenfumage de la cage d'escalier</t>
  </si>
  <si>
    <t>Avenant n° 1</t>
  </si>
  <si>
    <t>12</t>
  </si>
  <si>
    <t>Menuiseries du préau</t>
  </si>
  <si>
    <t>Travaux exécutés cumulés HT</t>
  </si>
  <si>
    <t>Part du montant total HT</t>
  </si>
  <si>
    <t>Travaux de la période HT</t>
  </si>
  <si>
    <t>Valeurs mensuelles de l'indice et coefficient de révision Cn</t>
  </si>
  <si>
    <t>Saisissez l'indice dès sa publication : les révisions provisoires deviennent définitives automatiquement.</t>
  </si>
  <si>
    <t>SAISIE</t>
  </si>
  <si>
    <t>CALCUL</t>
  </si>
  <si>
    <t>Indice publié</t>
  </si>
  <si>
    <t>Indice retenu</t>
  </si>
  <si>
    <t>Coefficient Cn</t>
  </si>
  <si>
    <t>Mois zéro du marché</t>
  </si>
  <si>
    <t>DONNÉES DU MARCHÉ</t>
  </si>
  <si>
    <t>Identification, montants, avance, retenue de garantie, révision, pénalités et paiement</t>
  </si>
  <si>
    <t>À renseigner une fois à partir de l'acte d'engagement et du CCAP : ces paramètres alimentent tous les calculs.</t>
  </si>
  <si>
    <t>IDENTIFICATION DU MARCHÉ</t>
  </si>
  <si>
    <t>PARTIES AU MARCHÉ</t>
  </si>
  <si>
    <t>LISTES DÉROULANTES</t>
  </si>
  <si>
    <t>N° du marché</t>
  </si>
  <si>
    <t>2026-TRX-014</t>
  </si>
  <si>
    <t>Commune de Val-Fleuri</t>
  </si>
  <si>
    <t>Procédures</t>
  </si>
  <si>
    <t>CCAG</t>
  </si>
  <si>
    <t>Forme des prix *</t>
  </si>
  <si>
    <t>Assiette de la retenue *</t>
  </si>
  <si>
    <t>Origine des postes *</t>
  </si>
  <si>
    <t>Objet du marché</t>
  </si>
  <si>
    <t>Réhabilitation énergétique du groupe scolaire des Tilleuls</t>
  </si>
  <si>
    <t>Représentant de l'acheteur</t>
  </si>
  <si>
    <t>Le Maire, par délégation</t>
  </si>
  <si>
    <t>Procédure adaptée</t>
  </si>
  <si>
    <t>CCAG Travaux 2021</t>
  </si>
  <si>
    <t>Prix fermes</t>
  </si>
  <si>
    <t>TTC hors révision</t>
  </si>
  <si>
    <t>Lot</t>
  </si>
  <si>
    <t>Lot 03 – Menuiseries extérieures</t>
  </si>
  <si>
    <t>Atelier Lignes &amp; Volumes – architectes</t>
  </si>
  <si>
    <t>Appel d'offres ouvert</t>
  </si>
  <si>
    <t>CCAG Fournitures courantes et services 2021</t>
  </si>
  <si>
    <t>Prix fermes actualisables</t>
  </si>
  <si>
    <t>TTC révision comprise</t>
  </si>
  <si>
    <t>Procédure de passation</t>
  </si>
  <si>
    <t>Titulaire (ou mandataire du groupement)</t>
  </si>
  <si>
    <t>Menuiseries Durand &amp; Associés SAS</t>
  </si>
  <si>
    <t>Appel d'offres restreint</t>
  </si>
  <si>
    <t>CCAG Techniques de l'information 2021</t>
  </si>
  <si>
    <t>Prix révisables</t>
  </si>
  <si>
    <t>CCAG de référence</t>
  </si>
  <si>
    <t>N° SIRET du titulaire</t>
  </si>
  <si>
    <t>999 111 333 00045</t>
  </si>
  <si>
    <t>Procédure avec négociation</t>
  </si>
  <si>
    <t>CCAG Maîtrise d'œuvre 2021</t>
  </si>
  <si>
    <t>Adresse du titulaire</t>
  </si>
  <si>
    <t>8 rue des Artisans – 00000 Val-Fleuri</t>
  </si>
  <si>
    <t>Marché sans publicité ni mise en concurrence</t>
  </si>
  <si>
    <t>CCAG Marchés industriels 2021</t>
  </si>
  <si>
    <t>Date de notification</t>
  </si>
  <si>
    <t>Comptable assignataire</t>
  </si>
  <si>
    <t>Service de gestion comptable de Val-Fleuri</t>
  </si>
  <si>
    <t>Date de l'ordre de service de démarrage</t>
  </si>
  <si>
    <t>N° d'engagement juridique</t>
  </si>
  <si>
    <t>EJ-2027-00458</t>
  </si>
  <si>
    <t>Délai d'exécution (mois)</t>
  </si>
  <si>
    <t>Code service (facturation électronique)</t>
  </si>
  <si>
    <t>SERV-TRAVAUX</t>
  </si>
  <si>
    <t>Date contractuelle d'achèvement</t>
  </si>
  <si>
    <t>* Valeurs utilisées par les calculs : ne pas les renommer.</t>
  </si>
  <si>
    <t>MONTANTS DU MARCHÉ</t>
  </si>
  <si>
    <t>AVANCE</t>
  </si>
  <si>
    <t>Montant initial HT</t>
  </si>
  <si>
    <t>Avance accordée</t>
  </si>
  <si>
    <t>Oui</t>
  </si>
  <si>
    <t>Montant des avenants HT</t>
  </si>
  <si>
    <t>Taux de l'avance</t>
  </si>
  <si>
    <t>Montant total HT (marché + avenants)</t>
  </si>
  <si>
    <t>Assiette de l'avance TTC</t>
  </si>
  <si>
    <t>Taux de TVA</t>
  </si>
  <si>
    <t>Montant de l'avance TTC</t>
  </si>
  <si>
    <t>Montant total TTC</t>
  </si>
  <si>
    <t>Date de versement de l'avance</t>
  </si>
  <si>
    <t>Poids des avenants / montant initial</t>
  </si>
  <si>
    <t>Début du remboursement (% exécuté)</t>
  </si>
  <si>
    <t>Fin du remboursement (% exécuté)</t>
  </si>
  <si>
    <t>Avenant</t>
  </si>
  <si>
    <t>Notifié le</t>
  </si>
  <si>
    <t>Montant HT (Avancement)</t>
  </si>
  <si>
    <t>Assiette : montant initial TTC, ou 12 fois ce montant divisé par la durée en mois si le marché dépasse 12 mois. Remboursement linéaire entre les deux seuils ; au-delà de 30 % d'avance, indiquez 0 % en début.</t>
  </si>
  <si>
    <t>Avenant n° 2</t>
  </si>
  <si>
    <t>Avenant n° 3</t>
  </si>
  <si>
    <t>F</t>
  </si>
  <si>
    <t>Indice de référence</t>
  </si>
  <si>
    <t>Indice BT (valeurs fictives)</t>
  </si>
  <si>
    <t>RETENUE DE GARANTIE</t>
  </si>
  <si>
    <t>Mois zéro (mois d'établissement des prix)</t>
  </si>
  <si>
    <t>Taux de la retenue de garantie</t>
  </si>
  <si>
    <t>Valeur de l'indice au mois zéro</t>
  </si>
  <si>
    <t>Remplacée par une garantie à première demande ou une caution</t>
  </si>
  <si>
    <t>Non</t>
  </si>
  <si>
    <t>Partie fixe de la formule</t>
  </si>
  <si>
    <t>Assiette de la retenue</t>
  </si>
  <si>
    <t>Coefficient d'actualisation (prix actualisables)</t>
  </si>
  <si>
    <t>Cn = partie fixe + (1 – partie fixe) × In / I0, arrondi au millième supérieur.</t>
  </si>
  <si>
    <t>G</t>
  </si>
  <si>
    <t>PÉNALITÉS DE RETARD</t>
  </si>
  <si>
    <t>Pénalité journalière : 1 / …</t>
  </si>
  <si>
    <t>H</t>
  </si>
  <si>
    <t>DÉLAI DE PAIEMENT ET INTÉRÊTS MORATOIRES</t>
  </si>
  <si>
    <t>Montant d'un jour de retard</t>
  </si>
  <si>
    <t>Délai global de paiement (jours)</t>
  </si>
  <si>
    <t>Plafond (% du montant total HT)</t>
  </si>
  <si>
    <t>Taux directeur BCE retenu</t>
  </si>
  <si>
    <t>Exonération si le total ne dépasse pas</t>
  </si>
  <si>
    <t>Majoration (points)</t>
  </si>
  <si>
    <t>Taux des intérêts moratoires</t>
  </si>
  <si>
    <t>Indemnité forfaitaire de recouvrement</t>
  </si>
  <si>
    <t>Date de situation</t>
  </si>
  <si>
    <t>Date de situation : date du jour, ou dernière date saisie dans les situations si elle est postérieure.</t>
  </si>
  <si>
    <t>I</t>
  </si>
  <si>
    <t>SOUS-TRAITANTS ACCEPTÉS</t>
  </si>
  <si>
    <t>Raison sociale</t>
  </si>
  <si>
    <t>Montant maximal HT
(acte spécial)</t>
  </si>
  <si>
    <t>Paiement
direct</t>
  </si>
  <si>
    <t>Autoliquidation
de la TVA</t>
  </si>
  <si>
    <t>Nature des prestations sous-traitées</t>
  </si>
  <si>
    <t>Payé HT
(cumul)</t>
  </si>
  <si>
    <t>Reste HT</t>
  </si>
  <si>
    <t>Contrôle</t>
  </si>
  <si>
    <t>Stores &amp; Fermetures du Val</t>
  </si>
  <si>
    <t>Fourniture et pose des volets roulants</t>
  </si>
  <si>
    <t>Métallerie Aubrac</t>
  </si>
  <si>
    <t>MODE D'EMPLOI</t>
  </si>
  <si>
    <t>Préparer, contrôler et éditer les états d'acompte d'un marché public de travaux</t>
  </si>
  <si>
    <t>À QUOI SERT CE CLASSEUR</t>
  </si>
  <si>
    <t>Il produit chaque mois l'état d'acompte d'un marché public de travaux à partir de l'avancement des postes : travaux au prix de base, approvisionnements, révision des prix, TVA, remboursement de l'avance, retenue de garantie, pénalités, paiement direct des sous-traitants et part du titulaire. Tous les montants sont calculés en cumul, puis par différence avec l'état précédent, jusqu'au décompte général.</t>
  </si>
  <si>
    <t>MISE EN PLACE – UNE FOIS PAR MARCHÉ</t>
  </si>
  <si>
    <t>Identification, parties, TVA, avance, retenue de garantie, forme des prix, pénalités, délai de paiement et sous-traitants acceptés (montant de l'acte spécial, paiement direct, autoliquidation).</t>
  </si>
  <si>
    <t>Avancement</t>
  </si>
  <si>
    <t>Décomposition du prix : un poste par ligne avec son montant HT et son origine (marché initial ou avenant). Le montant du marché se calcule à partir de ces lignes.</t>
  </si>
  <si>
    <t>Révision des prix</t>
  </si>
  <si>
    <t>Pour des prix révisables : valeurs mensuelles de l'indice, mois zéro et partie fixe dans l'onglet Marché.</t>
  </si>
  <si>
    <t>CHAQUE MOIS</t>
  </si>
  <si>
    <t>Renseignez, dans la colonne de la situation, le pourcentage d'avancement cumulé de chaque poste.</t>
  </si>
  <si>
    <t>Situations</t>
  </si>
  <si>
    <t>Ajoutez la ligne du mois : approvisionnements, jours de retard, montants des sous-traitants, puis date de réception de la demande et date de paiement.</t>
  </si>
  <si>
    <t>État d'acompte</t>
  </si>
  <si>
    <t>Choisissez le numéro de l'état : le document se met à jour ; imprimez-le ou enregistrez-le en PDF pour le joindre à la demande de paiement.</t>
  </si>
  <si>
    <t>Tableau de bord</t>
  </si>
  <si>
    <t>Vérifiez les points de contrôle et le suivi des paiements.</t>
  </si>
  <si>
    <t>LOGIQUE DE CALCUL</t>
  </si>
  <si>
    <t>Travaux exécutés</t>
  </si>
  <si>
    <t>Somme des montants HT des postes × pourcentage d'avancement cumulé.</t>
  </si>
  <si>
    <t>Travaux de la période × (Cn – 1). Cn = partie fixe + (1 – partie fixe) × In / I0, arrondi au millième supérieur. Indice non publié : dernier indice connu, révision provisoire.</t>
  </si>
  <si>
    <t>Progressif entre les seuils de début et de fin (en % du montant exécuté), jusqu'au montant total de l'avance.</t>
  </si>
  <si>
    <t>Retenue de garantie</t>
  </si>
  <si>
    <t>Taux × montant TTC des travaux et approvisionnements (révision comprise ou non selon l'assiette choisie). Nulle si une garantie à première demande ou une caution la remplace.</t>
  </si>
  <si>
    <t>Pénalités</t>
  </si>
  <si>
    <t>Jours de retard × montant total HT / dénominateur, plus les autres pénalités ; aucune retenue tant que le total reste sous le seuil d'exonération, plafond en % du montant HT.</t>
  </si>
  <si>
    <t>Paiement direct</t>
  </si>
  <si>
    <t>Montant HT du sous-traitant, TVA ajoutée sauf autoliquidation ; déduit de la part du titulaire.</t>
  </si>
  <si>
    <t>Acompte × (taux BCE + majoration) × jours de retard / 365, plus l'indemnité forfaitaire.</t>
  </si>
  <si>
    <t>CODES COULEUR</t>
  </si>
  <si>
    <t>Cellule à renseigner (valeur libre ou liste déroulante).</t>
  </si>
  <si>
    <t>Calcul</t>
  </si>
  <si>
    <t>Calcul automatique : ne pas modifier.</t>
  </si>
  <si>
    <t>Conforme · Payé</t>
  </si>
  <si>
    <t>Aucun point relevé.</t>
  </si>
  <si>
    <t>À vérifier · En attente</t>
  </si>
  <si>
    <t>Information à compléter, indice provisoire, paiement attendu ou effectué hors délai.</t>
  </si>
  <si>
    <t>Non conforme · Échu</t>
  </si>
  <si>
    <t>Incohérence à corriger ou acompte échu non payé.</t>
  </si>
  <si>
    <t>État sélectionné</t>
  </si>
  <si>
    <t>Situation affichée dans l'état d'acompte.</t>
  </si>
  <si>
    <t>REPÈRES RÉGLEMENTAIRES (À ADAPTER AU CCAP)</t>
  </si>
  <si>
    <t>›</t>
  </si>
  <si>
    <t>La retenue de garantie ne peut excéder 5 % du montant du marché ; elle peut être remplacée par une garantie à première demande ou, si l'acheteur l'accepte, par une caution.</t>
  </si>
  <si>
    <t>Avance jusqu'à 30 % : le remboursement débute quand les prestations exécutées atteignent 65 % du montant TTC ; au-delà de 30 %, dès la première demande de paiement. Suivez d'abord les clauses de votre marché.</t>
  </si>
  <si>
    <t>CCAG Travaux 2021 : pénalité journalière de 1/3 000 du montant HT sauf stipulation contraire, exonération si le total ne dépasse pas 1 000 € et plafond de 10 % du montant HT.</t>
  </si>
  <si>
    <t>Délai global de paiement de 30 jours pour la plupart des acheteurs publics ; tout retard ouvre droit à des intérêts moratoires et à l'indemnité forfaitaire de 40 €.</t>
  </si>
  <si>
    <t>Les pénalités sont des indemnités : elles se déduisent du montant TTC sans TVA.</t>
  </si>
  <si>
    <t>Taux BCE, indices et dates de paiement sont à actualiser : les valeurs fournies sont des exemples fictifs.</t>
  </si>
  <si>
    <t>BONNES PRATIQUES</t>
  </si>
  <si>
    <t>Saisissez les mois dans l'ordre, sans ligne vide : chaque état se calcule par différence avec le précédent.</t>
  </si>
  <si>
    <t>Ne modifiez jamais un état déjà payé : corrigez les écarts sur l'état suivant, qui les reprend automatiquement.</t>
  </si>
  <si>
    <t>Nouveau marché : enregistrez une copie du fichier, remplacez les données de l'onglet Marché, les postes de l'onglet Avancement et effacez les cellules blanches des onglets Situations et Révision des prix.</t>
  </si>
  <si>
    <t>Capacité : 40 postes, 24 états d'acompte, 3 sous-traitants et 48 mois d'indices.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</si>
</sst>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0&quot; €&quot;"/>
    <numFmt numFmtId="165" formatCode="0.0\ %"/>
    <numFmt numFmtId="166" formatCode="#,##0.00&quot; €&quot;;\-#,##0.00&quot; €&quot;;&quot;–&quot;"/>
    <numFmt numFmtId="167" formatCode="0\ %"/>
    <numFmt numFmtId="168" formatCode="[$-40C]mmmm\ yyyy"/>
    <numFmt numFmtId="169" formatCode="0.0"/>
    <numFmt numFmtId="170" formatCode="0.000"/>
    <numFmt numFmtId="171" formatCode="#,##0&quot; €&quot;"/>
    <numFmt numFmtId="172" formatCode="0.00\ %"/>
    <numFmt numFmtId="173" formatCode="[$-40C]mmm\ yy"/>
    <numFmt numFmtId="174" formatCode="#,##0;\-#,##0;&quot;–&quot;"/>
    <numFmt numFmtId="175" formatCode="0;\-0;&quot;–&quot;"/>
  </numFmts>
  <fonts count="49" x14ac:knownFonts="1">
    <font>
      <sz val="11"/>
      <color theme="1"/>
      <name val="Calibri"/>
      <family val="2"/>
      <scheme val="minor"/>
    </font>
    <font>
      <b/>
      <sz val="17"/>
      <color rgb="FF283276"/>
      <name val="Calibri"/>
    </font>
    <font>
      <sz val="9.5"/>
      <color rgb="FF8A91A0"/>
      <name val="Calibri"/>
    </font>
    <font>
      <b/>
      <sz val="10.5"/>
      <color rgb="FF283276"/>
      <name val="Calibri"/>
    </font>
    <font>
      <sz val="9.5"/>
      <color rgb="FF4B5563"/>
      <name val="Calibri"/>
    </font>
    <font>
      <i/>
      <sz val="9"/>
      <color rgb="FF8A91A0"/>
      <name val="Calibri"/>
    </font>
    <font>
      <sz val="8"/>
      <color rgb="FF1F2430"/>
      <name val="Calibri"/>
    </font>
    <font>
      <sz val="8"/>
      <color rgb="FF4B5563"/>
      <name val="Calibri"/>
    </font>
    <font>
      <b/>
      <sz val="11"/>
      <color rgb="FFFFFFFF"/>
      <name val="Calibri"/>
    </font>
    <font>
      <sz val="10"/>
      <color rgb="FF4B5563"/>
      <name val="Calibri"/>
    </font>
    <font>
      <sz val="10"/>
      <color rgb="FF1F2430"/>
      <name val="Calibri"/>
    </font>
    <font>
      <b/>
      <sz val="10"/>
      <color rgb="FF4B5563"/>
      <name val="Calibri"/>
    </font>
    <font>
      <b/>
      <sz val="11"/>
      <color rgb="FF283276"/>
      <name val="Calibri"/>
    </font>
    <font>
      <b/>
      <sz val="8.5"/>
      <color rgb="FF283276"/>
      <name val="Calibri"/>
    </font>
    <font>
      <i/>
      <sz val="8.5"/>
      <color rgb="FF8A91A0"/>
      <name val="Calibri"/>
    </font>
    <font>
      <b/>
      <sz val="9"/>
      <color rgb="FFFFFFFF"/>
      <name val="Calibri"/>
    </font>
    <font>
      <b/>
      <sz val="8"/>
      <color rgb="FF283276"/>
      <name val="Calibri"/>
    </font>
    <font>
      <sz val="9.5"/>
      <color rgb="FF1F2430"/>
      <name val="Calibri"/>
    </font>
    <font>
      <b/>
      <sz val="10"/>
      <color rgb="FFFFFFFF"/>
      <name val="Calibri"/>
    </font>
    <font>
      <b/>
      <sz val="10"/>
      <color rgb="FF283276"/>
      <name val="Calibri"/>
    </font>
    <font>
      <b/>
      <sz val="8.5"/>
      <color rgb="FFFFFFFF"/>
      <name val="Calibri"/>
    </font>
    <font>
      <b/>
      <sz val="8"/>
      <color rgb="FFFFFFFF"/>
      <name val="Calibri"/>
    </font>
    <font>
      <b/>
      <sz val="10"/>
      <color rgb="FFB8512F"/>
      <name val="Calibri"/>
    </font>
    <font>
      <b/>
      <sz val="9"/>
      <color rgb="FF4B5563"/>
      <name val="Calibri"/>
    </font>
    <font>
      <sz val="8.5"/>
      <color rgb="FF8A91A0"/>
      <name val="Calibri"/>
    </font>
    <font>
      <b/>
      <sz val="18"/>
      <color rgb="FF283276"/>
      <name val="Calibri"/>
    </font>
    <font>
      <b/>
      <sz val="16"/>
      <color rgb="FFB8512F"/>
      <name val="Calibri"/>
    </font>
    <font>
      <b/>
      <sz val="14"/>
      <color rgb="FFB8512F"/>
      <name val="Calibri"/>
    </font>
    <font>
      <sz val="8"/>
      <color rgb="FF8A91A0"/>
      <name val="Calibri"/>
    </font>
    <font>
      <b/>
      <sz val="10"/>
      <color rgb="FF1F2430"/>
      <name val="Calibri"/>
    </font>
    <font>
      <b/>
      <sz val="9"/>
      <color rgb="FF283276"/>
      <name val="Calibri"/>
    </font>
    <font>
      <b/>
      <i/>
      <sz val="9"/>
      <color rgb="FF8A91A0"/>
      <name val="Calibri"/>
    </font>
    <font>
      <b/>
      <sz val="12"/>
      <color rgb="FFFFFFFF"/>
      <name val="Calibri"/>
    </font>
    <font>
      <b/>
      <sz val="16"/>
      <color rgb="FFFFFFFF"/>
      <name val="Calibri"/>
    </font>
    <font>
      <b/>
      <sz val="9.5"/>
      <color rgb="FF1F2430"/>
      <name val="Calibri"/>
    </font>
    <font>
      <sz val="9"/>
      <color rgb="FF8A91A0"/>
      <name val="Calibri"/>
    </font>
    <font>
      <b/>
      <sz val="9.5"/>
      <color rgb="FF4B5563"/>
      <name val="Calibri"/>
    </font>
    <font>
      <b/>
      <sz val="19"/>
      <color rgb="FF283276"/>
      <name val="Calibri"/>
    </font>
    <font>
      <b/>
      <sz val="19"/>
      <color rgb="FFB8512F"/>
      <name val="Calibri"/>
    </font>
    <font>
      <b/>
      <sz val="7.5"/>
      <color rgb="FF8A91A0"/>
      <name val="Calibri"/>
    </font>
    <font>
      <sz val="9"/>
      <color rgb="FF4B5563"/>
      <name val="Calibri"/>
    </font>
    <font>
      <b/>
      <sz val="8.5"/>
      <color rgb="FF59606E"/>
      <name val="Calibri"/>
    </font>
    <font>
      <b/>
      <sz val="8"/>
      <color rgb="FF8A91A0"/>
      <name val="Calibri"/>
    </font>
    <font>
      <b/>
      <sz val="9.5"/>
      <color rgb="FFB8512F"/>
      <name val="Calibri"/>
    </font>
    <font>
      <b/>
      <u/>
      <sz val="10.5"/>
      <color rgb="FF283276"/>
      <name val="Calibri"/>
    </font>
    <font>
      <b/>
      <sz val="10"/>
      <color rgb="FF1D6B3A"/>
      <name val="Calibri"/>
    </font>
    <font>
      <b/>
      <sz val="10"/>
      <color rgb="FF8A5D00"/>
      <name val="Calibri"/>
    </font>
    <font>
      <b/>
      <sz val="10"/>
      <color rgb="FFA1261D"/>
      <name val="Calibri"/>
    </font>
    <font>
      <b/>
      <sz val="12"/>
      <color rgb="FFB8512F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83276"/>
        <bgColor rgb="FF283276"/>
      </patternFill>
    </fill>
    <fill>
      <patternFill patternType="solid">
        <fgColor rgb="FFFFFFFF"/>
        <bgColor rgb="FFFFFFFF"/>
      </patternFill>
    </fill>
    <fill>
      <patternFill patternType="solid">
        <fgColor rgb="FFEEF0F7"/>
        <bgColor rgb="FFEEF0F7"/>
      </patternFill>
    </fill>
    <fill>
      <patternFill patternType="solid">
        <fgColor rgb="FFE6E8F4"/>
        <bgColor rgb="FFE6E8F4"/>
      </patternFill>
    </fill>
    <fill>
      <patternFill patternType="solid">
        <fgColor rgb="FF6B7385"/>
        <bgColor rgb="FF6B7385"/>
      </patternFill>
    </fill>
    <fill>
      <patternFill patternType="solid">
        <fgColor rgb="FFB7BBC8"/>
        <bgColor rgb="FFB7BBC8"/>
      </patternFill>
    </fill>
    <fill>
      <patternFill patternType="solid">
        <fgColor rgb="FFFBECE6"/>
        <bgColor rgb="FFFBECE6"/>
      </patternFill>
    </fill>
    <fill>
      <patternFill patternType="solid">
        <fgColor rgb="FFF4F5FB"/>
        <bgColor rgb="FFF4F5FB"/>
      </patternFill>
    </fill>
    <fill>
      <patternFill patternType="solid">
        <fgColor rgb="FFB8512F"/>
        <bgColor rgb="FFB8512F"/>
      </patternFill>
    </fill>
    <fill>
      <patternFill patternType="solid">
        <fgColor rgb="FFE1F2E7"/>
        <bgColor rgb="FFE1F2E7"/>
      </patternFill>
    </fill>
    <fill>
      <patternFill patternType="solid">
        <fgColor rgb="FFFDF1D8"/>
        <bgColor rgb="FFFDF1D8"/>
      </patternFill>
    </fill>
    <fill>
      <patternFill patternType="solid">
        <fgColor rgb="FFF9DEDC"/>
        <bgColor rgb="FFF9DEDC"/>
      </patternFill>
    </fill>
  </fills>
  <borders count="51">
    <border>
      <left/>
      <right/>
      <top/>
      <bottom/>
      <diagonal/>
    </border>
    <border>
      <left/>
      <right/>
      <top/>
      <bottom style="medium">
        <color rgb="FF283276"/>
      </bottom>
      <diagonal/>
    </border>
    <border>
      <left style="thin">
        <color rgb="FFD7DAE5"/>
      </left>
      <right style="thin">
        <color rgb="FFD7DAE5"/>
      </right>
      <top style="thin">
        <color rgb="FFD7DAE5"/>
      </top>
      <bottom style="thin">
        <color rgb="FFD7DAE5"/>
      </bottom>
      <diagonal/>
    </border>
    <border>
      <left/>
      <right/>
      <top/>
      <bottom style="thin">
        <color rgb="FFD7DAE5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medium">
        <color rgb="FFB8512F"/>
      </bottom>
      <diagonal/>
    </border>
    <border>
      <left/>
      <right/>
      <top/>
      <bottom style="thin">
        <color rgb="FFFFFFFF"/>
      </bottom>
      <diagonal/>
    </border>
    <border>
      <left style="medium">
        <color rgb="FFB8512F"/>
      </left>
      <right style="medium">
        <color rgb="FFB8512F"/>
      </right>
      <top style="medium">
        <color rgb="FFB8512F"/>
      </top>
      <bottom style="medium">
        <color rgb="FFB8512F"/>
      </bottom>
      <diagonal/>
    </border>
    <border>
      <left/>
      <right/>
      <top/>
      <bottom style="thin">
        <color rgb="FFE6E8EF"/>
      </bottom>
      <diagonal/>
    </border>
    <border>
      <left/>
      <right/>
      <top style="thin">
        <color rgb="FF283276"/>
      </top>
      <bottom style="thin">
        <color rgb="FF283276"/>
      </bottom>
      <diagonal/>
    </border>
    <border>
      <left style="thin">
        <color rgb="FFB7BBC8"/>
      </left>
      <right style="thin">
        <color rgb="FFB7BBC8"/>
      </right>
      <top style="thin">
        <color rgb="FFB7BBC8"/>
      </top>
      <bottom/>
      <diagonal/>
    </border>
    <border>
      <left style="thin">
        <color rgb="FFB7BBC8"/>
      </left>
      <right style="thin">
        <color rgb="FFB7BBC8"/>
      </right>
      <top/>
      <bottom/>
      <diagonal/>
    </border>
    <border>
      <left style="thin">
        <color rgb="FFB7BBC8"/>
      </left>
      <right style="thin">
        <color rgb="FFB7BBC8"/>
      </right>
      <top/>
      <bottom style="thin">
        <color rgb="FFB7BBC8"/>
      </bottom>
      <diagonal/>
    </border>
    <border>
      <left style="thin">
        <color rgb="FFB7BBC8"/>
      </left>
      <right/>
      <top style="thin">
        <color rgb="FFB7BBC8"/>
      </top>
      <bottom/>
      <diagonal/>
    </border>
    <border>
      <left/>
      <right/>
      <top style="thin">
        <color rgb="FFB7BBC8"/>
      </top>
      <bottom/>
      <diagonal/>
    </border>
    <border>
      <left/>
      <right style="thin">
        <color rgb="FFB7BBC8"/>
      </right>
      <top style="thin">
        <color rgb="FFB7BBC8"/>
      </top>
      <bottom/>
      <diagonal/>
    </border>
    <border>
      <left style="thin">
        <color rgb="FFB7BBC8"/>
      </left>
      <right/>
      <top/>
      <bottom/>
      <diagonal/>
    </border>
    <border>
      <left/>
      <right/>
      <top/>
      <bottom/>
      <diagonal/>
    </border>
    <border>
      <left/>
      <right style="thin">
        <color rgb="FFB7BBC8"/>
      </right>
      <top/>
      <bottom/>
      <diagonal/>
    </border>
    <border>
      <left style="thin">
        <color rgb="FFB7BBC8"/>
      </left>
      <right/>
      <top/>
      <bottom style="thin">
        <color rgb="FFB7BBC8"/>
      </bottom>
      <diagonal/>
    </border>
    <border>
      <left/>
      <right/>
      <top/>
      <bottom style="thin">
        <color rgb="FFB7BBC8"/>
      </bottom>
      <diagonal/>
    </border>
    <border>
      <left/>
      <right style="thin">
        <color rgb="FFB7BBC8"/>
      </right>
      <top/>
      <bottom style="thin">
        <color rgb="FFB7BBC8"/>
      </bottom>
      <diagonal/>
    </border>
    <border>
      <left style="thin">
        <color rgb="FFD7DAE5"/>
      </left>
      <right/>
      <top style="thin">
        <color rgb="FFD7DAE5"/>
      </top>
      <bottom/>
      <diagonal/>
    </border>
    <border>
      <left/>
      <right/>
      <top style="thin">
        <color rgb="FFD7DAE5"/>
      </top>
      <bottom/>
      <diagonal/>
    </border>
    <border>
      <left/>
      <right style="thin">
        <color rgb="FFD7DAE5"/>
      </right>
      <top style="thin">
        <color rgb="FFD7DAE5"/>
      </top>
      <bottom/>
      <diagonal/>
    </border>
    <border>
      <left style="thin">
        <color rgb="FFD7DAE5"/>
      </left>
      <right/>
      <top/>
      <bottom/>
      <diagonal/>
    </border>
    <border>
      <left/>
      <right style="thin">
        <color rgb="FFD7DAE5"/>
      </right>
      <top/>
      <bottom/>
      <diagonal/>
    </border>
    <border>
      <left style="thin">
        <color rgb="FFD7DAE5"/>
      </left>
      <right/>
      <top/>
      <bottom style="thin">
        <color rgb="FFD7DAE5"/>
      </bottom>
      <diagonal/>
    </border>
    <border>
      <left/>
      <right/>
      <top/>
      <bottom style="thin">
        <color rgb="FFD7DAE5"/>
      </bottom>
      <diagonal/>
    </border>
    <border>
      <left/>
      <right style="thin">
        <color rgb="FFD7DAE5"/>
      </right>
      <top/>
      <bottom style="thin">
        <color rgb="FFD7DAE5"/>
      </bottom>
      <diagonal/>
    </border>
    <border>
      <left style="thin">
        <color rgb="FFB8512F"/>
      </left>
      <right/>
      <top style="thin">
        <color rgb="FFB8512F"/>
      </top>
      <bottom/>
      <diagonal/>
    </border>
    <border>
      <left/>
      <right/>
      <top style="thin">
        <color rgb="FFB8512F"/>
      </top>
      <bottom/>
      <diagonal/>
    </border>
    <border>
      <left/>
      <right style="thin">
        <color rgb="FFB8512F"/>
      </right>
      <top style="thin">
        <color rgb="FFB8512F"/>
      </top>
      <bottom/>
      <diagonal/>
    </border>
    <border>
      <left style="thin">
        <color rgb="FFB8512F"/>
      </left>
      <right/>
      <top/>
      <bottom/>
      <diagonal/>
    </border>
    <border>
      <left/>
      <right style="thin">
        <color rgb="FFB8512F"/>
      </right>
      <top/>
      <bottom/>
      <diagonal/>
    </border>
    <border>
      <left style="thin">
        <color rgb="FFB8512F"/>
      </left>
      <right/>
      <top/>
      <bottom style="thin">
        <color rgb="FFB8512F"/>
      </bottom>
      <diagonal/>
    </border>
    <border>
      <left/>
      <right/>
      <top/>
      <bottom style="thin">
        <color rgb="FFB8512F"/>
      </bottom>
      <diagonal/>
    </border>
    <border>
      <left/>
      <right style="thin">
        <color rgb="FFB8512F"/>
      </right>
      <top/>
      <bottom style="thin">
        <color rgb="FFB8512F"/>
      </bottom>
      <diagonal/>
    </border>
    <border>
      <left style="thin">
        <color rgb="FFD7DAE5"/>
      </left>
      <right/>
      <top/>
      <bottom style="thin">
        <color rgb="FFD7DAE5"/>
      </bottom>
      <diagonal/>
    </border>
    <border>
      <left/>
      <right/>
      <top/>
      <bottom style="thin">
        <color rgb="FFD7DAE5"/>
      </bottom>
      <diagonal/>
    </border>
    <border>
      <left/>
      <right style="thin">
        <color rgb="FFD7DAE5"/>
      </right>
      <top/>
      <bottom style="thin">
        <color rgb="FFD7DAE5"/>
      </bottom>
      <diagonal/>
    </border>
    <border>
      <left style="thin">
        <color rgb="FFD7DAE5"/>
      </left>
      <right/>
      <top/>
      <bottom style="thin">
        <color rgb="FFE8EAF0"/>
      </bottom>
      <diagonal/>
    </border>
    <border>
      <left/>
      <right/>
      <top/>
      <bottom style="thin">
        <color rgb="FFE8EAF0"/>
      </bottom>
      <diagonal/>
    </border>
    <border>
      <left/>
      <right style="thin">
        <color rgb="FFD7DAE5"/>
      </right>
      <top/>
      <bottom style="thin">
        <color rgb="FFE8EAF0"/>
      </bottom>
      <diagonal/>
    </border>
    <border>
      <left style="thin">
        <color rgb="FFD7DAE5"/>
      </left>
      <right style="thin">
        <color rgb="FFD7DAE5"/>
      </right>
      <top/>
      <bottom/>
      <diagonal/>
    </border>
    <border>
      <left style="thin">
        <color rgb="FFD7DAE5"/>
      </left>
      <right/>
      <top/>
      <bottom/>
      <diagonal/>
    </border>
    <border>
      <left/>
      <right style="thin">
        <color rgb="FFD7DAE5"/>
      </right>
      <top/>
      <bottom/>
      <diagonal/>
    </border>
    <border>
      <left style="thin">
        <color rgb="FFD7DAE5"/>
      </left>
      <right style="thin">
        <color rgb="FFD7DAE5"/>
      </right>
      <top/>
      <bottom style="thin">
        <color rgb="FFD7DAE5"/>
      </bottom>
      <diagonal/>
    </border>
    <border>
      <left/>
      <right/>
      <top/>
      <bottom style="thin">
        <color rgb="FFD7DAE5"/>
      </bottom>
      <diagonal/>
    </border>
    <border>
      <left/>
      <right style="thin">
        <color rgb="FFD7DAE5"/>
      </right>
      <top/>
      <bottom style="thin">
        <color rgb="FFD7DA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0" fillId="2" borderId="0" xfId="0" applyFill="1"/>
    <xf numFmtId="0" fontId="25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17" xfId="0" applyBorder="1"/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39" fillId="0" borderId="39" xfId="0" applyFont="1" applyBorder="1" applyAlignment="1">
      <alignment horizontal="center" vertical="center"/>
    </xf>
    <xf numFmtId="0" fontId="39" fillId="0" borderId="40" xfId="0" applyFont="1" applyBorder="1" applyAlignment="1">
      <alignment horizontal="center" vertical="center"/>
    </xf>
    <xf numFmtId="0" fontId="24" fillId="0" borderId="0" xfId="0" applyFont="1"/>
    <xf numFmtId="0" fontId="0" fillId="0" borderId="25" xfId="0" applyBorder="1"/>
    <xf numFmtId="0" fontId="40" fillId="0" borderId="42" xfId="0" applyFont="1" applyBorder="1" applyAlignment="1">
      <alignment horizontal="center" vertical="center" shrinkToFit="1"/>
    </xf>
    <xf numFmtId="0" fontId="41" fillId="0" borderId="43" xfId="0" applyFont="1" applyBorder="1" applyAlignment="1">
      <alignment horizontal="center" vertical="center" shrinkToFit="1"/>
    </xf>
    <xf numFmtId="0" fontId="0" fillId="0" borderId="27" xfId="0" applyBorder="1"/>
    <xf numFmtId="0" fontId="42" fillId="0" borderId="38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left" vertical="center" wrapText="1" indent="1"/>
    </xf>
    <xf numFmtId="0" fontId="42" fillId="0" borderId="39" xfId="0" applyFont="1" applyBorder="1" applyAlignment="1">
      <alignment horizontal="right" vertical="center" wrapText="1" indent="1"/>
    </xf>
    <xf numFmtId="0" fontId="42" fillId="0" borderId="39" xfId="0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1" fontId="34" fillId="0" borderId="25" xfId="0" applyNumberFormat="1" applyFont="1" applyBorder="1" applyAlignment="1">
      <alignment horizontal="center" vertical="center" shrinkToFit="1"/>
    </xf>
    <xf numFmtId="173" fontId="17" fillId="0" borderId="17" xfId="0" applyNumberFormat="1" applyFont="1" applyBorder="1" applyAlignment="1">
      <alignment horizontal="left" vertical="center" indent="1" shrinkToFit="1"/>
    </xf>
    <xf numFmtId="166" fontId="17" fillId="0" borderId="17" xfId="0" applyNumberFormat="1" applyFont="1" applyBorder="1" applyAlignment="1">
      <alignment horizontal="right" vertical="center" indent="1" shrinkToFit="1"/>
    </xf>
    <xf numFmtId="166" fontId="43" fillId="0" borderId="17" xfId="0" applyNumberFormat="1" applyFont="1" applyBorder="1" applyAlignment="1">
      <alignment horizontal="right" vertical="center" indent="1" shrinkToFit="1"/>
    </xf>
    <xf numFmtId="14" fontId="17" fillId="0" borderId="17" xfId="0" applyNumberFormat="1" applyFont="1" applyBorder="1" applyAlignment="1">
      <alignment horizontal="center" vertical="center" shrinkToFit="1"/>
    </xf>
    <xf numFmtId="0" fontId="17" fillId="0" borderId="26" xfId="0" applyFont="1" applyBorder="1" applyAlignment="1">
      <alignment horizontal="center" vertical="center" shrinkToFit="1"/>
    </xf>
    <xf numFmtId="0" fontId="18" fillId="2" borderId="0" xfId="0" applyFont="1" applyFill="1" applyAlignment="1">
      <alignment horizontal="right" vertical="center" indent="1"/>
    </xf>
    <xf numFmtId="166" fontId="18" fillId="2" borderId="17" xfId="0" applyNumberFormat="1" applyFont="1" applyFill="1" applyBorder="1" applyAlignment="1">
      <alignment horizontal="right" vertical="center" indent="1"/>
    </xf>
    <xf numFmtId="0" fontId="18" fillId="2" borderId="17" xfId="0" applyFont="1" applyFill="1" applyBorder="1" applyAlignment="1">
      <alignment horizontal="right" vertical="center" indent="1"/>
    </xf>
    <xf numFmtId="0" fontId="18" fillId="2" borderId="26" xfId="0" applyFont="1" applyFill="1" applyBorder="1" applyAlignment="1">
      <alignment horizontal="right" vertical="center" indent="1"/>
    </xf>
    <xf numFmtId="0" fontId="19" fillId="0" borderId="0" xfId="0" applyFont="1" applyAlignment="1">
      <alignment horizontal="right" vertical="center" indent="1"/>
    </xf>
    <xf numFmtId="0" fontId="27" fillId="8" borderId="7" xfId="0" applyFont="1" applyFill="1" applyBorder="1" applyAlignment="1">
      <alignment horizontal="center" vertical="center"/>
    </xf>
    <xf numFmtId="0" fontId="28" fillId="0" borderId="0" xfId="0" applyFont="1"/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30" fillId="5" borderId="0" xfId="0" applyFont="1" applyFill="1" applyAlignment="1">
      <alignment horizontal="left" vertical="center" indent="1"/>
    </xf>
    <xf numFmtId="0" fontId="30" fillId="5" borderId="0" xfId="0" applyFont="1" applyFill="1" applyAlignment="1">
      <alignment horizontal="center" vertical="center"/>
    </xf>
    <xf numFmtId="0" fontId="10" fillId="0" borderId="8" xfId="0" applyFont="1" applyBorder="1" applyAlignment="1">
      <alignment horizontal="left" vertical="center" indent="1" shrinkToFit="1"/>
    </xf>
    <xf numFmtId="166" fontId="10" fillId="0" borderId="8" xfId="0" applyNumberFormat="1" applyFont="1" applyBorder="1" applyAlignment="1">
      <alignment horizontal="right" vertical="center" indent="1"/>
    </xf>
    <xf numFmtId="166" fontId="29" fillId="0" borderId="8" xfId="0" applyNumberFormat="1" applyFont="1" applyBorder="1" applyAlignment="1">
      <alignment horizontal="right" vertical="center" indent="1"/>
    </xf>
    <xf numFmtId="0" fontId="19" fillId="9" borderId="9" xfId="0" applyFont="1" applyFill="1" applyBorder="1" applyAlignment="1">
      <alignment horizontal="left" vertical="center" indent="1" shrinkToFit="1"/>
    </xf>
    <xf numFmtId="166" fontId="19" fillId="9" borderId="9" xfId="0" applyNumberFormat="1" applyFont="1" applyFill="1" applyBorder="1" applyAlignment="1">
      <alignment horizontal="right" vertical="center" indent="1"/>
    </xf>
    <xf numFmtId="0" fontId="31" fillId="0" borderId="0" xfId="0" applyFont="1" applyAlignment="1">
      <alignment horizontal="left" vertical="center" indent="1"/>
    </xf>
    <xf numFmtId="0" fontId="19" fillId="9" borderId="9" xfId="0" applyFont="1" applyFill="1" applyBorder="1" applyAlignment="1">
      <alignment horizontal="left" vertical="center" indent="1"/>
    </xf>
    <xf numFmtId="0" fontId="19" fillId="5" borderId="9" xfId="0" applyFont="1" applyFill="1" applyBorder="1" applyAlignment="1">
      <alignment horizontal="left" vertical="center" indent="1" shrinkToFit="1"/>
    </xf>
    <xf numFmtId="166" fontId="19" fillId="5" borderId="9" xfId="0" applyNumberFormat="1" applyFont="1" applyFill="1" applyBorder="1" applyAlignment="1">
      <alignment horizontal="right" vertical="center" indent="1"/>
    </xf>
    <xf numFmtId="0" fontId="32" fillId="10" borderId="0" xfId="0" applyFont="1" applyFill="1" applyAlignment="1">
      <alignment horizontal="left" vertical="center" indent="1"/>
    </xf>
    <xf numFmtId="0" fontId="19" fillId="5" borderId="9" xfId="0" applyFont="1" applyFill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 shrinkToFit="1"/>
    </xf>
    <xf numFmtId="165" fontId="34" fillId="0" borderId="8" xfId="0" applyNumberFormat="1" applyFont="1" applyBorder="1" applyAlignment="1">
      <alignment horizontal="right" vertical="center" indent="1" shrinkToFit="1"/>
    </xf>
    <xf numFmtId="164" fontId="34" fillId="0" borderId="8" xfId="0" applyNumberFormat="1" applyFont="1" applyBorder="1" applyAlignment="1">
      <alignment horizontal="right" vertical="center" indent="1" shrinkToFit="1"/>
    </xf>
    <xf numFmtId="14" fontId="34" fillId="0" borderId="8" xfId="0" applyNumberFormat="1" applyFont="1" applyBorder="1" applyAlignment="1">
      <alignment horizontal="right" vertical="center" indent="1" shrinkToFit="1"/>
    </xf>
    <xf numFmtId="0" fontId="34" fillId="0" borderId="8" xfId="0" applyFont="1" applyBorder="1" applyAlignment="1">
      <alignment horizontal="center" vertical="center" shrinkToFit="1"/>
    </xf>
    <xf numFmtId="166" fontId="34" fillId="0" borderId="8" xfId="0" applyNumberFormat="1" applyFont="1" applyBorder="1" applyAlignment="1">
      <alignment horizontal="right" vertical="center" indent="1" shrinkToFit="1"/>
    </xf>
    <xf numFmtId="0" fontId="30" fillId="0" borderId="0" xfId="0" applyFont="1" applyAlignment="1">
      <alignment horizontal="left" vertical="center" indent="1"/>
    </xf>
    <xf numFmtId="0" fontId="1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1" fontId="9" fillId="4" borderId="2" xfId="0" applyNumberFormat="1" applyFont="1" applyFill="1" applyBorder="1" applyAlignment="1">
      <alignment horizontal="center" vertical="center"/>
    </xf>
    <xf numFmtId="168" fontId="10" fillId="3" borderId="2" xfId="0" applyNumberFormat="1" applyFont="1" applyFill="1" applyBorder="1" applyAlignment="1">
      <alignment horizontal="left" vertical="center" indent="1"/>
    </xf>
    <xf numFmtId="14" fontId="9" fillId="4" borderId="2" xfId="0" applyNumberFormat="1" applyFont="1" applyFill="1" applyBorder="1" applyAlignment="1">
      <alignment horizontal="center" vertical="center"/>
    </xf>
    <xf numFmtId="166" fontId="9" fillId="4" borderId="2" xfId="0" applyNumberFormat="1" applyFont="1" applyFill="1" applyBorder="1" applyAlignment="1">
      <alignment horizontal="right" vertical="center" indent="1"/>
    </xf>
    <xf numFmtId="166" fontId="10" fillId="3" borderId="2" xfId="0" applyNumberFormat="1" applyFont="1" applyFill="1" applyBorder="1" applyAlignment="1">
      <alignment horizontal="right" vertical="center" indent="1"/>
    </xf>
    <xf numFmtId="170" fontId="9" fillId="4" borderId="2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1" fontId="10" fillId="3" borderId="2" xfId="0" applyNumberFormat="1" applyFont="1" applyFill="1" applyBorder="1" applyAlignment="1">
      <alignment horizontal="center" vertical="center"/>
    </xf>
    <xf numFmtId="166" fontId="11" fillId="4" borderId="2" xfId="0" applyNumberFormat="1" applyFont="1" applyFill="1" applyBorder="1" applyAlignment="1">
      <alignment horizontal="right" vertical="center" indent="1"/>
    </xf>
    <xf numFmtId="166" fontId="22" fillId="4" borderId="2" xfId="0" applyNumberFormat="1" applyFont="1" applyFill="1" applyBorder="1" applyAlignment="1">
      <alignment horizontal="right" vertical="center" indent="1"/>
    </xf>
    <xf numFmtId="14" fontId="10" fillId="3" borderId="2" xfId="0" applyNumberFormat="1" applyFont="1" applyFill="1" applyBorder="1" applyAlignment="1">
      <alignment horizontal="center" vertical="center"/>
    </xf>
    <xf numFmtId="175" fontId="9" fillId="4" borderId="2" xfId="0" applyNumberFormat="1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66" fontId="18" fillId="2" borderId="0" xfId="0" applyNumberFormat="1" applyFont="1" applyFill="1" applyAlignment="1">
      <alignment horizontal="right" vertical="center" indent="1"/>
    </xf>
    <xf numFmtId="173" fontId="16" fillId="5" borderId="0" xfId="0" applyNumberFormat="1" applyFont="1" applyFill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 indent="1"/>
    </xf>
    <xf numFmtId="164" fontId="10" fillId="3" borderId="2" xfId="0" applyNumberFormat="1" applyFont="1" applyFill="1" applyBorder="1" applyAlignment="1">
      <alignment horizontal="right" vertical="center" indent="1"/>
    </xf>
    <xf numFmtId="167" fontId="11" fillId="4" borderId="2" xfId="0" applyNumberFormat="1" applyFont="1" applyFill="1" applyBorder="1" applyAlignment="1">
      <alignment horizontal="center" vertical="center"/>
    </xf>
    <xf numFmtId="167" fontId="17" fillId="3" borderId="2" xfId="0" applyNumberFormat="1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right" vertical="center" indent="1"/>
    </xf>
    <xf numFmtId="165" fontId="18" fillId="2" borderId="6" xfId="0" applyNumberFormat="1" applyFont="1" applyFill="1" applyBorder="1" applyAlignment="1">
      <alignment horizontal="center" vertical="center"/>
    </xf>
    <xf numFmtId="174" fontId="20" fillId="2" borderId="6" xfId="0" applyNumberFormat="1" applyFont="1" applyFill="1" applyBorder="1" applyAlignment="1">
      <alignment horizontal="center" vertical="center" shrinkToFit="1"/>
    </xf>
    <xf numFmtId="0" fontId="0" fillId="5" borderId="6" xfId="0" applyFill="1" applyBorder="1"/>
    <xf numFmtId="167" fontId="13" fillId="5" borderId="6" xfId="0" applyNumberFormat="1" applyFont="1" applyFill="1" applyBorder="1" applyAlignment="1">
      <alignment horizontal="center" vertical="center" shrinkToFit="1"/>
    </xf>
    <xf numFmtId="174" fontId="13" fillId="5" borderId="6" xfId="0" applyNumberFormat="1" applyFont="1" applyFill="1" applyBorder="1" applyAlignment="1">
      <alignment horizontal="center" vertical="center" shrinkToFit="1"/>
    </xf>
    <xf numFmtId="169" fontId="10" fillId="3" borderId="2" xfId="0" applyNumberFormat="1" applyFont="1" applyFill="1" applyBorder="1" applyAlignment="1">
      <alignment horizontal="center" vertical="center"/>
    </xf>
    <xf numFmtId="169" fontId="9" fillId="4" borderId="2" xfId="0" applyNumberFormat="1" applyFont="1" applyFill="1" applyBorder="1" applyAlignment="1">
      <alignment horizontal="center" vertical="center"/>
    </xf>
    <xf numFmtId="170" fontId="11" fillId="4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indent="1"/>
    </xf>
    <xf numFmtId="0" fontId="14" fillId="0" borderId="0" xfId="0" applyFont="1"/>
    <xf numFmtId="0" fontId="13" fillId="5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0" fillId="9" borderId="3" xfId="0" applyFill="1" applyBorder="1"/>
    <xf numFmtId="0" fontId="44" fillId="0" borderId="3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wrapText="1" indent="1"/>
    </xf>
    <xf numFmtId="0" fontId="0" fillId="0" borderId="3" xfId="0" applyBorder="1"/>
    <xf numFmtId="0" fontId="11" fillId="0" borderId="3" xfId="0" applyFont="1" applyBorder="1" applyAlignment="1">
      <alignment horizontal="left" vertical="center" indent="1"/>
    </xf>
    <xf numFmtId="0" fontId="29" fillId="3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indent="1"/>
    </xf>
    <xf numFmtId="0" fontId="11" fillId="4" borderId="2" xfId="0" applyFont="1" applyFill="1" applyBorder="1" applyAlignment="1">
      <alignment horizontal="center" vertical="center"/>
    </xf>
    <xf numFmtId="0" fontId="45" fillId="11" borderId="50" xfId="0" applyFont="1" applyFill="1" applyBorder="1" applyAlignment="1">
      <alignment horizontal="center" vertical="center"/>
    </xf>
    <xf numFmtId="0" fontId="46" fillId="12" borderId="50" xfId="0" applyFont="1" applyFill="1" applyBorder="1" applyAlignment="1">
      <alignment horizontal="center" vertical="center"/>
    </xf>
    <xf numFmtId="0" fontId="47" fillId="13" borderId="50" xfId="0" applyFont="1" applyFill="1" applyBorder="1" applyAlignment="1">
      <alignment horizontal="center" vertical="center"/>
    </xf>
    <xf numFmtId="0" fontId="22" fillId="8" borderId="50" xfId="0" applyFont="1" applyFill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171" fontId="37" fillId="0" borderId="25" xfId="0" applyNumberFormat="1" applyFont="1" applyBorder="1" applyAlignment="1">
      <alignment horizontal="left" vertical="center" indent="1"/>
    </xf>
    <xf numFmtId="0" fontId="0" fillId="0" borderId="17" xfId="0" applyBorder="1"/>
    <xf numFmtId="0" fontId="0" fillId="0" borderId="26" xfId="0" applyBorder="1"/>
    <xf numFmtId="0" fontId="16" fillId="5" borderId="22" xfId="0" applyFont="1" applyFill="1" applyBorder="1" applyAlignment="1">
      <alignment horizontal="left" vertical="center" indent="1"/>
    </xf>
    <xf numFmtId="0" fontId="0" fillId="5" borderId="23" xfId="0" applyFill="1" applyBorder="1"/>
    <xf numFmtId="0" fontId="0" fillId="5" borderId="24" xfId="0" applyFill="1" applyBorder="1"/>
    <xf numFmtId="0" fontId="17" fillId="0" borderId="41" xfId="0" applyFont="1" applyBorder="1" applyAlignment="1">
      <alignment horizontal="left" vertical="center" indent="1"/>
    </xf>
    <xf numFmtId="0" fontId="0" fillId="0" borderId="42" xfId="0" applyBorder="1"/>
    <xf numFmtId="0" fontId="18" fillId="2" borderId="25" xfId="0" applyFont="1" applyFill="1" applyBorder="1" applyAlignment="1">
      <alignment horizontal="left" vertical="center" indent="1"/>
    </xf>
    <xf numFmtId="0" fontId="18" fillId="2" borderId="0" xfId="0" applyFont="1" applyFill="1" applyAlignment="1">
      <alignment horizontal="right" vertical="center" indent="1"/>
    </xf>
    <xf numFmtId="0" fontId="14" fillId="0" borderId="47" xfId="0" applyFont="1" applyBorder="1"/>
    <xf numFmtId="0" fontId="0" fillId="0" borderId="48" xfId="0" applyBorder="1"/>
    <xf numFmtId="0" fontId="0" fillId="0" borderId="49" xfId="0" applyBorder="1"/>
    <xf numFmtId="0" fontId="24" fillId="0" borderId="27" xfId="0" applyFont="1" applyBorder="1" applyAlignment="1">
      <alignment horizontal="left" vertical="top" indent="1"/>
    </xf>
    <xf numFmtId="0" fontId="0" fillId="0" borderId="28" xfId="0" applyBorder="1"/>
    <xf numFmtId="0" fontId="0" fillId="0" borderId="29" xfId="0" applyBorder="1"/>
    <xf numFmtId="0" fontId="12" fillId="0" borderId="0" xfId="0" applyFont="1" applyAlignment="1">
      <alignment horizontal="right"/>
    </xf>
    <xf numFmtId="0" fontId="0" fillId="0" borderId="0" xfId="0"/>
    <xf numFmtId="171" fontId="38" fillId="0" borderId="33" xfId="0" applyNumberFormat="1" applyFont="1" applyBorder="1" applyAlignment="1">
      <alignment horizontal="left" vertical="center" indent="1"/>
    </xf>
    <xf numFmtId="0" fontId="0" fillId="0" borderId="34" xfId="0" applyBorder="1"/>
    <xf numFmtId="0" fontId="2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left" vertical="center" indent="1"/>
    </xf>
    <xf numFmtId="0" fontId="0" fillId="0" borderId="1" xfId="0" applyBorder="1"/>
    <xf numFmtId="0" fontId="24" fillId="0" borderId="35" xfId="0" applyFont="1" applyBorder="1" applyAlignment="1">
      <alignment horizontal="left" vertical="top" indent="1"/>
    </xf>
    <xf numFmtId="0" fontId="0" fillId="0" borderId="36" xfId="0" applyBorder="1"/>
    <xf numFmtId="0" fontId="0" fillId="0" borderId="37" xfId="0" applyBorder="1"/>
    <xf numFmtId="0" fontId="39" fillId="0" borderId="38" xfId="0" applyFont="1" applyBorder="1" applyAlignment="1">
      <alignment horizontal="left" vertical="center" indent="1"/>
    </xf>
    <xf numFmtId="0" fontId="0" fillId="0" borderId="39" xfId="0" applyBorder="1"/>
    <xf numFmtId="0" fontId="14" fillId="0" borderId="44" xfId="0" applyFont="1" applyBorder="1" applyAlignment="1">
      <alignment horizontal="left" vertical="top" wrapText="1" indent="1"/>
    </xf>
    <xf numFmtId="0" fontId="0" fillId="0" borderId="46" xfId="0" applyBorder="1"/>
    <xf numFmtId="0" fontId="0" fillId="0" borderId="45" xfId="0" applyBorder="1"/>
    <xf numFmtId="164" fontId="37" fillId="0" borderId="25" xfId="0" applyNumberFormat="1" applyFont="1" applyBorder="1" applyAlignment="1">
      <alignment horizontal="left" vertical="center" indent="1"/>
    </xf>
    <xf numFmtId="0" fontId="21" fillId="10" borderId="30" xfId="0" applyFont="1" applyFill="1" applyBorder="1" applyAlignment="1">
      <alignment horizontal="left" vertical="center" indent="1"/>
    </xf>
    <xf numFmtId="0" fontId="0" fillId="10" borderId="31" xfId="0" applyFill="1" applyBorder="1"/>
    <xf numFmtId="0" fontId="0" fillId="10" borderId="32" xfId="0" applyFill="1" applyBorder="1"/>
    <xf numFmtId="0" fontId="26" fillId="0" borderId="0" xfId="0" applyFont="1" applyAlignment="1">
      <alignment horizontal="right"/>
    </xf>
    <xf numFmtId="0" fontId="29" fillId="0" borderId="8" xfId="0" applyFont="1" applyBorder="1" applyAlignment="1">
      <alignment horizontal="left" vertical="center" indent="1" shrinkToFit="1"/>
    </xf>
    <xf numFmtId="0" fontId="0" fillId="0" borderId="8" xfId="0" applyBorder="1"/>
    <xf numFmtId="0" fontId="35" fillId="0" borderId="13" xfId="0" applyFont="1" applyBorder="1" applyAlignment="1">
      <alignment horizontal="left" vertical="top" inden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5" fillId="0" borderId="10" xfId="0" applyFont="1" applyBorder="1" applyAlignment="1">
      <alignment horizontal="left" vertical="top" indent="1"/>
    </xf>
    <xf numFmtId="0" fontId="0" fillId="0" borderId="11" xfId="0" applyBorder="1"/>
    <xf numFmtId="0" fontId="0" fillId="0" borderId="12" xfId="0" applyBorder="1"/>
    <xf numFmtId="0" fontId="25" fillId="0" borderId="0" xfId="0" applyFont="1"/>
    <xf numFmtId="0" fontId="14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right" vertical="center"/>
    </xf>
    <xf numFmtId="164" fontId="33" fillId="10" borderId="0" xfId="0" applyNumberFormat="1" applyFont="1" applyFill="1" applyAlignment="1">
      <alignment horizontal="right" vertical="center" indent="1"/>
    </xf>
    <xf numFmtId="0" fontId="0" fillId="10" borderId="0" xfId="0" applyFill="1"/>
    <xf numFmtId="0" fontId="30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16" fillId="5" borderId="4" xfId="0" applyFont="1" applyFill="1" applyBorder="1" applyAlignment="1">
      <alignment horizontal="center" vertical="center"/>
    </xf>
    <xf numFmtId="0" fontId="0" fillId="5" borderId="4" xfId="0" applyFill="1" applyBorder="1"/>
    <xf numFmtId="0" fontId="6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18" fillId="2" borderId="0" xfId="0" applyFont="1" applyFill="1" applyAlignment="1">
      <alignment horizontal="left" vertical="center" indent="1"/>
    </xf>
    <xf numFmtId="0" fontId="19" fillId="5" borderId="6" xfId="0" applyFont="1" applyFill="1" applyBorder="1" applyAlignment="1">
      <alignment horizontal="left" vertical="center" indent="1"/>
    </xf>
    <xf numFmtId="0" fontId="0" fillId="5" borderId="6" xfId="0" applyFill="1" applyBorder="1"/>
    <xf numFmtId="0" fontId="13" fillId="0" borderId="0" xfId="0" applyFont="1" applyAlignment="1">
      <alignment horizontal="right" vertical="center" indent="1"/>
    </xf>
    <xf numFmtId="0" fontId="7" fillId="4" borderId="2" xfId="0" applyFont="1" applyFill="1" applyBorder="1" applyAlignment="1">
      <alignment horizontal="center" vertical="center"/>
    </xf>
    <xf numFmtId="0" fontId="0" fillId="4" borderId="2" xfId="0" applyFill="1" applyBorder="1"/>
    <xf numFmtId="0" fontId="18" fillId="2" borderId="6" xfId="0" applyFont="1" applyFill="1" applyBorder="1" applyAlignment="1">
      <alignment horizontal="left" vertical="center" indent="1"/>
    </xf>
    <xf numFmtId="0" fontId="0" fillId="2" borderId="6" xfId="0" applyFill="1" applyBorder="1"/>
    <xf numFmtId="164" fontId="11" fillId="4" borderId="2" xfId="0" applyNumberFormat="1" applyFont="1" applyFill="1" applyBorder="1" applyAlignment="1">
      <alignment horizontal="center" vertical="center"/>
    </xf>
    <xf numFmtId="164" fontId="9" fillId="4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 indent="1"/>
    </xf>
    <xf numFmtId="0" fontId="10" fillId="3" borderId="2" xfId="0" applyFont="1" applyFill="1" applyBorder="1" applyAlignment="1">
      <alignment horizontal="left" vertical="center" wrapText="1" indent="1"/>
    </xf>
    <xf numFmtId="165" fontId="11" fillId="4" borderId="2" xfId="0" applyNumberFormat="1" applyFont="1" applyFill="1" applyBorder="1" applyAlignment="1">
      <alignment horizontal="center" vertical="center"/>
    </xf>
    <xf numFmtId="165" fontId="9" fillId="4" borderId="2" xfId="0" applyNumberFormat="1" applyFont="1" applyFill="1" applyBorder="1" applyAlignment="1">
      <alignment horizontal="center" vertical="center"/>
    </xf>
    <xf numFmtId="170" fontId="10" fillId="3" borderId="2" xfId="0" applyNumberFormat="1" applyFont="1" applyFill="1" applyBorder="1" applyAlignment="1">
      <alignment horizontal="center" vertical="center"/>
    </xf>
    <xf numFmtId="167" fontId="10" fillId="3" borderId="2" xfId="0" applyNumberFormat="1" applyFont="1" applyFill="1" applyBorder="1" applyAlignment="1">
      <alignment horizontal="center" vertical="center"/>
    </xf>
    <xf numFmtId="171" fontId="10" fillId="3" borderId="2" xfId="0" applyNumberFormat="1" applyFont="1" applyFill="1" applyBorder="1" applyAlignment="1">
      <alignment horizontal="center" vertical="center"/>
    </xf>
    <xf numFmtId="0" fontId="14" fillId="0" borderId="0" xfId="0" applyFont="1"/>
    <xf numFmtId="14" fontId="10" fillId="3" borderId="2" xfId="0" applyNumberFormat="1" applyFont="1" applyFill="1" applyBorder="1" applyAlignment="1">
      <alignment horizontal="left" vertical="center" indent="1"/>
    </xf>
    <xf numFmtId="169" fontId="11" fillId="4" borderId="2" xfId="0" applyNumberFormat="1" applyFont="1" applyFill="1" applyBorder="1" applyAlignment="1">
      <alignment horizontal="center" vertical="center"/>
    </xf>
    <xf numFmtId="169" fontId="9" fillId="4" borderId="2" xfId="0" applyNumberFormat="1" applyFont="1" applyFill="1" applyBorder="1" applyAlignment="1">
      <alignment horizontal="center" vertical="center"/>
    </xf>
    <xf numFmtId="14" fontId="10" fillId="3" borderId="2" xfId="0" applyNumberFormat="1" applyFont="1" applyFill="1" applyBorder="1" applyAlignment="1">
      <alignment horizontal="center" vertical="center"/>
    </xf>
    <xf numFmtId="1" fontId="10" fillId="3" borderId="2" xfId="0" applyNumberFormat="1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1" fontId="10" fillId="3" borderId="2" xfId="0" applyNumberFormat="1" applyFont="1" applyFill="1" applyBorder="1" applyAlignment="1">
      <alignment horizontal="left" vertical="center" indent="1"/>
    </xf>
    <xf numFmtId="172" fontId="10" fillId="3" borderId="2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166" fontId="9" fillId="4" borderId="2" xfId="0" applyNumberFormat="1" applyFont="1" applyFill="1" applyBorder="1" applyAlignment="1">
      <alignment horizontal="right" vertical="center" indent="1"/>
    </xf>
    <xf numFmtId="164" fontId="12" fillId="4" borderId="2" xfId="0" applyNumberFormat="1" applyFont="1" applyFill="1" applyBorder="1" applyAlignment="1">
      <alignment horizontal="center" vertical="center"/>
    </xf>
    <xf numFmtId="14" fontId="11" fillId="4" borderId="2" xfId="0" applyNumberFormat="1" applyFont="1" applyFill="1" applyBorder="1" applyAlignment="1">
      <alignment horizontal="center" vertical="center"/>
    </xf>
    <xf numFmtId="14" fontId="9" fillId="4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top" wrapText="1" indent="1"/>
    </xf>
    <xf numFmtId="172" fontId="11" fillId="4" borderId="2" xfId="0" applyNumberFormat="1" applyFont="1" applyFill="1" applyBorder="1" applyAlignment="1">
      <alignment horizontal="center" vertical="center"/>
    </xf>
    <xf numFmtId="172" fontId="9" fillId="4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 indent="1"/>
    </xf>
    <xf numFmtId="170" fontId="11" fillId="4" borderId="2" xfId="0" applyNumberFormat="1" applyFont="1" applyFill="1" applyBorder="1" applyAlignment="1">
      <alignment horizontal="center" vertical="center"/>
    </xf>
    <xf numFmtId="170" fontId="9" fillId="4" borderId="2" xfId="0" applyNumberFormat="1" applyFont="1" applyFill="1" applyBorder="1" applyAlignment="1">
      <alignment horizontal="center" vertical="center"/>
    </xf>
    <xf numFmtId="3" fontId="10" fillId="3" borderId="2" xfId="0" applyNumberFormat="1" applyFont="1" applyFill="1" applyBorder="1" applyAlignment="1">
      <alignment horizontal="center" vertical="center"/>
    </xf>
    <xf numFmtId="168" fontId="10" fillId="3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top" wrapText="1" indent="1"/>
    </xf>
  </cellXfs>
  <cellStyles count="1">
    <cellStyle name="Standard" xfId="0" builtinId="0"/>
  </cellStyles>
  <dxfs count="34">
    <dxf>
      <font>
        <b/>
        <color rgb="FF1D6B3A"/>
      </font>
      <fill>
        <patternFill patternType="solid">
          <fgColor rgb="FFE1F2E7"/>
          <bgColor rgb="FFE1F2E7"/>
        </patternFill>
      </fill>
    </dxf>
    <dxf>
      <font>
        <b/>
        <color rgb="FFA1261D"/>
      </font>
      <fill>
        <patternFill patternType="solid">
          <fgColor rgb="FFF9DEDC"/>
          <bgColor rgb="FFF9DEDC"/>
        </patternFill>
      </fill>
    </dxf>
    <dxf>
      <font>
        <b/>
        <color rgb="FF1D6B3A"/>
      </font>
      <fill>
        <patternFill patternType="solid">
          <fgColor rgb="FFE1F2E7"/>
          <bgColor rgb="FFE1F2E7"/>
        </patternFill>
      </fill>
    </dxf>
    <dxf>
      <font>
        <b/>
        <color rgb="FF8A5D00"/>
      </font>
      <fill>
        <patternFill patternType="solid">
          <fgColor rgb="FFFDF1D8"/>
          <bgColor rgb="FFFDF1D8"/>
        </patternFill>
      </fill>
    </dxf>
    <dxf>
      <font>
        <b/>
        <color rgb="FFB8512F"/>
      </font>
      <fill>
        <patternFill patternType="solid">
          <fgColor rgb="FFFBECE6"/>
          <bgColor rgb="FFFBECE6"/>
        </patternFill>
      </fill>
    </dxf>
    <dxf>
      <font>
        <b/>
        <color rgb="FF8A5D00"/>
      </font>
      <fill>
        <patternFill patternType="solid">
          <fgColor rgb="FFFDF1D8"/>
          <bgColor rgb="FFFDF1D8"/>
        </patternFill>
      </fill>
    </dxf>
    <dxf>
      <font>
        <color rgb="FFB5B9C4"/>
      </font>
      <fill>
        <patternFill patternType="solid">
          <fgColor rgb="FFF6F6F9"/>
          <bgColor rgb="FFF6F6F9"/>
        </patternFill>
      </fill>
    </dxf>
    <dxf>
      <font>
        <b/>
        <color rgb="FF283276"/>
      </font>
      <fill>
        <patternFill patternType="solid">
          <fgColor rgb="FFE6E8F4"/>
          <bgColor rgb="FFE6E8F4"/>
        </patternFill>
      </fill>
    </dxf>
    <dxf>
      <font>
        <b/>
        <color rgb="FFA1261D"/>
      </font>
      <fill>
        <patternFill patternType="solid">
          <fgColor rgb="FFF9DEDC"/>
          <bgColor rgb="FFF9DEDC"/>
        </patternFill>
      </fill>
    </dxf>
    <dxf>
      <font>
        <b/>
        <color rgb="FF1D6B3A"/>
      </font>
      <fill>
        <patternFill patternType="solid">
          <fgColor rgb="FFE1F2E7"/>
          <bgColor rgb="FFE1F2E7"/>
        </patternFill>
      </fill>
    </dxf>
    <dxf>
      <font>
        <b/>
        <color rgb="FF8A5D00"/>
      </font>
      <fill>
        <patternFill patternType="solid">
          <fgColor rgb="FFFDF1D8"/>
          <bgColor rgb="FFFDF1D8"/>
        </patternFill>
      </fill>
    </dxf>
    <dxf>
      <font>
        <b/>
        <color rgb="FFA1261D"/>
      </font>
      <fill>
        <patternFill patternType="solid">
          <fgColor rgb="FFF9DEDC"/>
          <bgColor rgb="FFF9DEDC"/>
        </patternFill>
      </fill>
    </dxf>
    <dxf>
      <font>
        <b/>
        <color rgb="FFA1261D"/>
      </font>
    </dxf>
    <dxf>
      <font>
        <b/>
        <color rgb="FF59606E"/>
      </font>
      <fill>
        <patternFill patternType="solid">
          <fgColor rgb="FFECEDF2"/>
          <bgColor rgb="FFECEDF2"/>
        </patternFill>
      </fill>
    </dxf>
    <dxf>
      <font>
        <b/>
        <color rgb="FF1D6B3A"/>
      </font>
      <fill>
        <patternFill patternType="solid">
          <fgColor rgb="FFE1F2E7"/>
          <bgColor rgb="FFE1F2E7"/>
        </patternFill>
      </fill>
    </dxf>
    <dxf>
      <font>
        <b/>
        <color rgb="FF8A5D00"/>
      </font>
      <fill>
        <patternFill patternType="solid">
          <fgColor rgb="FFFDF1D8"/>
          <bgColor rgb="FFFDF1D8"/>
        </patternFill>
      </fill>
    </dxf>
    <dxf>
      <font>
        <b/>
        <color rgb="FFA1261D"/>
      </font>
      <fill>
        <patternFill patternType="solid">
          <fgColor rgb="FFF9DEDC"/>
          <bgColor rgb="FFF9DEDC"/>
        </patternFill>
      </fill>
    </dxf>
    <dxf>
      <fill>
        <patternFill patternType="solid">
          <fgColor rgb="FFFBECE6"/>
          <bgColor rgb="FFFBECE6"/>
        </patternFill>
      </fill>
    </dxf>
    <dxf>
      <font>
        <color rgb="FFC3C7D1"/>
      </font>
    </dxf>
    <dxf>
      <font>
        <b/>
        <color rgb="FFA1261D"/>
      </font>
    </dxf>
    <dxf>
      <font>
        <b/>
        <color rgb="FF1D6B3A"/>
      </font>
      <fill>
        <patternFill patternType="solid">
          <fgColor rgb="FFE1F2E7"/>
          <bgColor rgb="FFE1F2E7"/>
        </patternFill>
      </fill>
    </dxf>
    <dxf>
      <font>
        <b/>
        <color rgb="FF8A5D00"/>
      </font>
      <fill>
        <patternFill patternType="solid">
          <fgColor rgb="FFFDF1D8"/>
          <bgColor rgb="FFFDF1D8"/>
        </patternFill>
      </fill>
    </dxf>
    <dxf>
      <font>
        <b/>
        <color rgb="FFA1261D"/>
      </font>
      <fill>
        <patternFill patternType="solid">
          <fgColor rgb="FFF9DEDC"/>
          <bgColor rgb="FFF9DEDC"/>
        </patternFill>
      </fill>
    </dxf>
    <dxf>
      <font>
        <color rgb="FFB5B9C4"/>
      </font>
    </dxf>
    <dxf>
      <font>
        <b/>
        <color rgb="FF1D6B3A"/>
      </font>
      <fill>
        <patternFill patternType="solid">
          <fgColor rgb="FFE1F2E7"/>
          <bgColor rgb="FFE1F2E7"/>
        </patternFill>
      </fill>
    </dxf>
    <dxf>
      <font>
        <b/>
        <color rgb="FF8A5D00"/>
      </font>
      <fill>
        <patternFill patternType="solid">
          <fgColor rgb="FFFDF1D8"/>
          <bgColor rgb="FFFDF1D8"/>
        </patternFill>
      </fill>
    </dxf>
    <dxf>
      <font>
        <b/>
        <color rgb="FFA1261D"/>
      </font>
      <fill>
        <patternFill patternType="solid">
          <fgColor rgb="FFF9DEDC"/>
          <bgColor rgb="FFF9DEDC"/>
        </patternFill>
      </fill>
    </dxf>
    <dxf>
      <font>
        <b/>
        <color rgb="FF59606E"/>
      </font>
      <fill>
        <patternFill patternType="solid">
          <fgColor rgb="FFECEDF2"/>
          <bgColor rgb="FFECEDF2"/>
        </patternFill>
      </fill>
    </dxf>
    <dxf>
      <font>
        <b/>
        <color rgb="FF1D6B3A"/>
      </font>
      <fill>
        <patternFill patternType="solid">
          <fgColor rgb="FFE1F2E7"/>
          <bgColor rgb="FFE1F2E7"/>
        </patternFill>
      </fill>
    </dxf>
    <dxf>
      <font>
        <b/>
        <color rgb="FF8A5D00"/>
      </font>
      <fill>
        <patternFill patternType="solid">
          <fgColor rgb="FFFDF1D8"/>
          <bgColor rgb="FFFDF1D8"/>
        </patternFill>
      </fill>
    </dxf>
    <dxf>
      <font>
        <b/>
        <color rgb="FFA1261D"/>
      </font>
      <fill>
        <patternFill patternType="solid">
          <fgColor rgb="FFF9DEDC"/>
          <bgColor rgb="FFF9DEDC"/>
        </patternFill>
      </fill>
    </dxf>
    <dxf>
      <border>
        <bottom style="thin">
          <color rgb="FFE8EAF0"/>
        </bottom>
      </border>
    </dxf>
    <dxf>
      <fill>
        <patternFill patternType="solid">
          <fgColor rgb="FFF4F5FB"/>
          <bgColor rgb="FFF4F5FB"/>
        </patternFill>
      </fill>
    </dxf>
    <dxf>
      <fill>
        <patternFill patternType="solid">
          <fgColor rgb="FFFBECE6"/>
          <bgColor rgb="FFFBECE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'Tableau de bord'!$Q$15</c:f>
              <c:strCache>
                <c:ptCount val="1"/>
                <c:pt idx="0">
                  <c:v>Cumul des situations précédentes</c:v>
                </c:pt>
              </c:strCache>
            </c:strRef>
          </c:tx>
          <c:spPr>
            <a:solidFill>
              <a:srgbClr val="C5CAE6"/>
            </a:solidFill>
            <a:ln>
              <a:solidFill>
                <a:srgbClr val="C5CAE6"/>
              </a:solidFill>
              <a:prstDash val="solid"/>
            </a:ln>
          </c:spPr>
          <c:invertIfNegative val="1"/>
          <c:cat>
            <c:strRef>
              <c:f>'Tableau de bord'!$P$16:$P$27</c:f>
              <c:strCache>
                <c:ptCount val="8"/>
                <c:pt idx="0">
                  <c:v>N° 1 · janv.</c:v>
                </c:pt>
                <c:pt idx="1">
                  <c:v>N° 2 · févr.</c:v>
                </c:pt>
                <c:pt idx="2">
                  <c:v>N° 3 · mars</c:v>
                </c:pt>
                <c:pt idx="3">
                  <c:v>N° 4 · avr.</c:v>
                </c:pt>
                <c:pt idx="4">
                  <c:v>N° 5 · mai</c:v>
                </c:pt>
                <c:pt idx="5">
                  <c:v>N° 6 · juin</c:v>
                </c:pt>
                <c:pt idx="6">
                  <c:v>N° 7 · juil.</c:v>
                </c:pt>
                <c:pt idx="7">
                  <c:v>N° 8 · août</c:v>
                </c:pt>
              </c:strCache>
            </c:strRef>
          </c:cat>
          <c:val>
            <c:numRef>
              <c:f>'Tableau de bord'!$Q$16:$Q$27</c:f>
              <c:numCache>
                <c:formatCode>General</c:formatCode>
                <c:ptCount val="12"/>
                <c:pt idx="0">
                  <c:v>0</c:v>
                </c:pt>
                <c:pt idx="1">
                  <c:v>5390</c:v>
                </c:pt>
                <c:pt idx="2">
                  <c:v>21700</c:v>
                </c:pt>
                <c:pt idx="3">
                  <c:v>55910</c:v>
                </c:pt>
                <c:pt idx="4">
                  <c:v>108975</c:v>
                </c:pt>
                <c:pt idx="5">
                  <c:v>170970</c:v>
                </c:pt>
                <c:pt idx="6">
                  <c:v>245940</c:v>
                </c:pt>
                <c:pt idx="7">
                  <c:v>317257.5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C5CAE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B8F-4674-AA33-5F3E74A0E2DE}"/>
            </c:ext>
          </c:extLst>
        </c:ser>
        <c:ser>
          <c:idx val="1"/>
          <c:order val="1"/>
          <c:tx>
            <c:strRef>
              <c:f>'Tableau de bord'!$R$15</c:f>
              <c:strCache>
                <c:ptCount val="1"/>
                <c:pt idx="0">
                  <c:v>Travaux de la période</c:v>
                </c:pt>
              </c:strCache>
            </c:strRef>
          </c:tx>
          <c:spPr>
            <a:solidFill>
              <a:srgbClr val="3D4A9A"/>
            </a:solidFill>
            <a:ln>
              <a:solidFill>
                <a:srgbClr val="3D4A9A"/>
              </a:solidFill>
              <a:prstDash val="solid"/>
            </a:ln>
          </c:spPr>
          <c:invertIfNegative val="1"/>
          <c:cat>
            <c:strRef>
              <c:f>'Tableau de bord'!$P$16:$P$27</c:f>
              <c:strCache>
                <c:ptCount val="8"/>
                <c:pt idx="0">
                  <c:v>N° 1 · janv.</c:v>
                </c:pt>
                <c:pt idx="1">
                  <c:v>N° 2 · févr.</c:v>
                </c:pt>
                <c:pt idx="2">
                  <c:v>N° 3 · mars</c:v>
                </c:pt>
                <c:pt idx="3">
                  <c:v>N° 4 · avr.</c:v>
                </c:pt>
                <c:pt idx="4">
                  <c:v>N° 5 · mai</c:v>
                </c:pt>
                <c:pt idx="5">
                  <c:v>N° 6 · juin</c:v>
                </c:pt>
                <c:pt idx="6">
                  <c:v>N° 7 · juil.</c:v>
                </c:pt>
                <c:pt idx="7">
                  <c:v>N° 8 · août</c:v>
                </c:pt>
              </c:strCache>
            </c:strRef>
          </c:cat>
          <c:val>
            <c:numRef>
              <c:f>'Tableau de bord'!$R$16:$R$27</c:f>
              <c:numCache>
                <c:formatCode>General</c:formatCode>
                <c:ptCount val="12"/>
                <c:pt idx="0">
                  <c:v>5390</c:v>
                </c:pt>
                <c:pt idx="1">
                  <c:v>16310</c:v>
                </c:pt>
                <c:pt idx="2">
                  <c:v>34210</c:v>
                </c:pt>
                <c:pt idx="3">
                  <c:v>53065</c:v>
                </c:pt>
                <c:pt idx="4">
                  <c:v>61995</c:v>
                </c:pt>
                <c:pt idx="5">
                  <c:v>74970</c:v>
                </c:pt>
                <c:pt idx="6">
                  <c:v>71317.5</c:v>
                </c:pt>
                <c:pt idx="7">
                  <c:v>46100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3D4A9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B8F-4674-AA33-5F3E74A0E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strRef>
              <c:f>'Tableau de bord'!$T$15</c:f>
              <c:strCache>
                <c:ptCount val="1"/>
                <c:pt idx="0">
                  <c:v>Montant du marché</c:v>
                </c:pt>
              </c:strCache>
            </c:strRef>
          </c:tx>
          <c:spPr>
            <a:ln w="22000">
              <a:solidFill>
                <a:srgbClr val="B8512F"/>
              </a:solidFill>
              <a:prstDash val="dash"/>
            </a:ln>
          </c:spPr>
          <c:marker>
            <c:symbol val="none"/>
          </c:marker>
          <c:val>
            <c:numRef>
              <c:f>'Tableau de bord'!$T$16:$T$27</c:f>
              <c:numCache>
                <c:formatCode>General</c:formatCode>
                <c:ptCount val="12"/>
                <c:pt idx="0">
                  <c:v>406400</c:v>
                </c:pt>
                <c:pt idx="1">
                  <c:v>406400</c:v>
                </c:pt>
                <c:pt idx="2">
                  <c:v>406400</c:v>
                </c:pt>
                <c:pt idx="3">
                  <c:v>406400</c:v>
                </c:pt>
                <c:pt idx="4">
                  <c:v>406400</c:v>
                </c:pt>
                <c:pt idx="5">
                  <c:v>406400</c:v>
                </c:pt>
                <c:pt idx="6">
                  <c:v>406400</c:v>
                </c:pt>
                <c:pt idx="7">
                  <c:v>406400</c:v>
                </c:pt>
                <c:pt idx="8">
                  <c:v>406400</c:v>
                </c:pt>
                <c:pt idx="9">
                  <c:v>406400</c:v>
                </c:pt>
                <c:pt idx="10">
                  <c:v>406400</c:v>
                </c:pt>
                <c:pt idx="11">
                  <c:v>406400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B8F-4674-AA33-5F3E74A0E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C9CCD8"/>
            </a:solidFill>
            <a:prstDash val="solid"/>
          </a:ln>
        </c:spPr>
        <c:txPr>
          <a:bodyPr/>
          <a:lstStyle/>
          <a:p>
            <a:pPr>
              <a:defRPr sz="800">
                <a:solidFill>
                  <a:srgbClr val="8A91A0"/>
                </a:solidFill>
                <a:latin typeface="Calibri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6E8EF"/>
              </a:solidFill>
              <a:prstDash val="solid"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50">
                <a:solidFill>
                  <a:srgbClr val="8A91A0"/>
                </a:solidFill>
                <a:latin typeface="Calibri"/>
              </a:defRPr>
            </a:pPr>
            <a:endParaRPr lang="de-DE"/>
          </a:p>
        </c:txPr>
        <c:crossAx val="10"/>
        <c:crosses val="autoZero"/>
        <c:crossBetween val="between"/>
      </c:valAx>
    </c:plotArea>
    <c:legend>
      <c:legendPos val="t"/>
      <c:overlay val="1"/>
      <c:txPr>
        <a:bodyPr/>
        <a:lstStyle/>
        <a:p>
          <a:pPr>
            <a:defRPr sz="850">
              <a:solidFill>
                <a:srgbClr val="4B5563"/>
              </a:solidFill>
              <a:latin typeface="Calibri"/>
            </a:defRPr>
          </a:pPr>
          <a:endParaRPr lang="de-DE"/>
        </a:p>
      </c:txPr>
    </c:legend>
    <c:plotVisOnly val="0"/>
    <c:dispBlanksAs val="gap"/>
    <c:showDLblsOverMax val="1"/>
  </c:chart>
  <c:spPr>
    <a:solidFill>
      <a:schemeClr val="bg2"/>
    </a:solidFill>
    <a:ln>
      <a:noFill/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42334</xdr:colOff>
      <xdr:row>14</xdr:row>
      <xdr:rowOff>74084</xdr:rowOff>
    </xdr:from>
    <xdr:ext cx="5524499" cy="406399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83276"/>
    <pageSetUpPr fitToPage="1"/>
  </sheetPr>
  <dimension ref="A1:U60"/>
  <sheetViews>
    <sheetView showGridLines="0" tabSelected="1" zoomScale="90" workbookViewId="0">
      <selection activeCell="AB63" sqref="AB63"/>
    </sheetView>
  </sheetViews>
  <sheetFormatPr baseColWidth="10" defaultColWidth="9.140625" defaultRowHeight="15" outlineLevelCol="1" x14ac:dyDescent="0.25"/>
  <cols>
    <col min="1" max="1" width="2" customWidth="1"/>
    <col min="2" max="3" width="11.42578125" customWidth="1"/>
    <col min="4" max="4" width="14.42578125" bestFit="1" customWidth="1"/>
    <col min="5" max="6" width="11.42578125" customWidth="1"/>
    <col min="7" max="7" width="12.5703125" bestFit="1" customWidth="1"/>
    <col min="8" max="8" width="11.42578125" customWidth="1"/>
    <col min="9" max="9" width="12.5703125" bestFit="1" customWidth="1"/>
    <col min="10" max="13" width="11.42578125" customWidth="1"/>
    <col min="14" max="14" width="2" customWidth="1"/>
    <col min="15" max="20" width="3" hidden="1" customWidth="1" outlineLevel="1"/>
    <col min="21" max="21" width="9.140625" collapsed="1"/>
  </cols>
  <sheetData>
    <row r="1" spans="1:20" ht="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0" ht="30" customHeight="1" x14ac:dyDescent="0.35">
      <c r="B2" s="2" t="s">
        <v>0</v>
      </c>
      <c r="I2" s="137" t="str">
        <f>"Marché n° "&amp;NumMarche&amp;"   ·   "&amp;Lot</f>
        <v>Marché n° 2026-TRX-014   ·   Lot 03 – Menuiseries extérieures</v>
      </c>
      <c r="J2" s="138"/>
      <c r="K2" s="138"/>
      <c r="L2" s="138"/>
      <c r="M2" s="138"/>
    </row>
    <row r="3" spans="1:20" ht="20.100000000000001" customHeight="1" x14ac:dyDescent="0.25">
      <c r="B3" s="141" t="str">
        <f>ObjetMarche&amp;"   ·   "&amp;Titulaire</f>
        <v>Réhabilitation énergétique du groupe scolaire des Tilleuls   ·   Menuiseries Durand &amp; Associés SAS</v>
      </c>
      <c r="C3" s="138"/>
      <c r="D3" s="138"/>
      <c r="E3" s="138"/>
      <c r="F3" s="138"/>
      <c r="G3" s="138"/>
      <c r="H3" s="138"/>
      <c r="I3" s="142" t="str">
        <f ca="1">"Situation au "&amp;RIGHT("0"&amp;DAY(DateSituation),2)&amp;"/"&amp;RIGHT("0"&amp;MONTH(DateSituation),2)&amp;"/"&amp;YEAR(DateSituation)&amp;"   ·   "&amp;NbSit&amp;" état(s) d'acompte"</f>
        <v>Situation au 07/09/2027   ·   8 état(s) d'acompte</v>
      </c>
      <c r="J3" s="138"/>
      <c r="K3" s="138"/>
      <c r="L3" s="138"/>
      <c r="M3" s="138"/>
    </row>
    <row r="4" spans="1:20" ht="3.9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20" ht="9.9499999999999993" customHeight="1" x14ac:dyDescent="0.25"/>
    <row r="6" spans="1:20" ht="18" customHeight="1" x14ac:dyDescent="0.25">
      <c r="B6" s="124" t="s">
        <v>1</v>
      </c>
      <c r="C6" s="125"/>
      <c r="D6" s="126"/>
      <c r="E6" s="124" t="s">
        <v>2</v>
      </c>
      <c r="F6" s="125"/>
      <c r="G6" s="126"/>
      <c r="H6" s="154" t="s">
        <v>3</v>
      </c>
      <c r="I6" s="155"/>
      <c r="J6" s="156"/>
      <c r="K6" s="124" t="s">
        <v>4</v>
      </c>
      <c r="L6" s="125"/>
      <c r="M6" s="126"/>
    </row>
    <row r="7" spans="1:20" ht="30" customHeight="1" x14ac:dyDescent="0.25">
      <c r="B7" s="121">
        <f>MontantHT</f>
        <v>406400</v>
      </c>
      <c r="C7" s="122"/>
      <c r="D7" s="123"/>
      <c r="E7" s="121">
        <f>N(INDEX(Situations!$E$10:$E$33,MAX(1,NbSit)))</f>
        <v>363357.5</v>
      </c>
      <c r="F7" s="122"/>
      <c r="G7" s="123"/>
      <c r="H7" s="139">
        <f>SUM(Situations!$U$10:$U$33)</f>
        <v>373169.36999999994</v>
      </c>
      <c r="I7" s="122"/>
      <c r="J7" s="140"/>
      <c r="K7" s="121">
        <f>MontantHT-N(INDEX(Situations!$E$10:$E$33,MAX(1,NbSit)))</f>
        <v>43042.5</v>
      </c>
      <c r="L7" s="122"/>
      <c r="M7" s="123"/>
    </row>
    <row r="8" spans="1:20" ht="17.100000000000001" customHeight="1" x14ac:dyDescent="0.25">
      <c r="B8" s="134" t="str">
        <f>"dont avenants : "&amp;FIXED(MontantAvenants,0)&amp;" € ("&amp;FIXED(IF(MontantInitial=0,0,MontantAvenants/MontantInitial*100),1)&amp;" %)"</f>
        <v>dont avenants : 27.400 € (7,2 %)</v>
      </c>
      <c r="C8" s="135"/>
      <c r="D8" s="136"/>
      <c r="E8" s="134" t="str">
        <f>"soit "&amp;FIXED(IF(MontantHT=0,0,N(INDEX(Situations!$E$10:$E$33,MAX(1,NbSit)))/MontantHT*100),1)&amp;" % du marché au prix de base"</f>
        <v>soit 89,4 % du marché au prix de base</v>
      </c>
      <c r="F8" s="135"/>
      <c r="G8" s="136"/>
      <c r="H8" s="145" t="str">
        <f>"dont "&amp;FIXED(SUMIFS(Situations!$U$10:$U$33,Situations!$AC$10:$AC$33,"&gt;0"),0)&amp;" € déjà payés"</f>
        <v>dont 326.791 € déjà payés</v>
      </c>
      <c r="I8" s="146"/>
      <c r="J8" s="147"/>
      <c r="K8" s="134" t="str">
        <f>"achèvement contractuel : "&amp;RIGHT("0"&amp;DAY(DateFin),2)&amp;"/"&amp;RIGHT("0"&amp;MONTH(DateFin),2)&amp;"/"&amp;YEAR(DateFin)</f>
        <v>achèvement contractuel : 03/11/2027</v>
      </c>
      <c r="L8" s="135"/>
      <c r="M8" s="136"/>
    </row>
    <row r="9" spans="1:20" ht="9.9499999999999993" customHeight="1" x14ac:dyDescent="0.25"/>
    <row r="10" spans="1:20" ht="18" customHeight="1" x14ac:dyDescent="0.25">
      <c r="B10" s="124" t="s">
        <v>5</v>
      </c>
      <c r="C10" s="125"/>
      <c r="D10" s="126"/>
      <c r="E10" s="124" t="s">
        <v>6</v>
      </c>
      <c r="F10" s="125"/>
      <c r="G10" s="126"/>
      <c r="H10" s="124" t="s">
        <v>7</v>
      </c>
      <c r="I10" s="125"/>
      <c r="J10" s="126"/>
      <c r="K10" s="124" t="s">
        <v>8</v>
      </c>
      <c r="L10" s="125"/>
      <c r="M10" s="126"/>
    </row>
    <row r="11" spans="1:20" ht="30" customHeight="1" x14ac:dyDescent="0.25">
      <c r="B11" s="121">
        <f>MontantAvance-N(INDEX(Situations!$O$10:$O$33,MAX(1,NbSit)))</f>
        <v>0</v>
      </c>
      <c r="C11" s="122"/>
      <c r="D11" s="123"/>
      <c r="E11" s="121">
        <f>N(INDEX(Situations!$P$10:$P$33,MAX(1,NbSit)))</f>
        <v>21801.45</v>
      </c>
      <c r="F11" s="122"/>
      <c r="G11" s="123"/>
      <c r="H11" s="121">
        <f>N(INDEX(Situations!$S$10:$S$33,MAX(1,NbSit)))</f>
        <v>1083.76</v>
      </c>
      <c r="I11" s="122"/>
      <c r="J11" s="123"/>
      <c r="K11" s="153">
        <f ca="1">SUM(Situations!$AE$10:$AE$33)</f>
        <v>284.35000000000002</v>
      </c>
      <c r="L11" s="122"/>
      <c r="M11" s="123"/>
    </row>
    <row r="12" spans="1:20" ht="17.100000000000001" customHeight="1" x14ac:dyDescent="0.25">
      <c r="B12" s="134" t="str">
        <f>"sur "&amp;FIXED(MontantAvance,0)&amp;" € d'avance TTC"</f>
        <v>sur 45.480 € d'avance TTC</v>
      </c>
      <c r="C12" s="135"/>
      <c r="D12" s="136"/>
      <c r="E12" s="134" t="str">
        <f>IF(RGGarantie="Oui","remplacée par une garantie",FIXED(TauxRG*100,1)&amp;" % – libérée à la levée des réserves")</f>
        <v>5,0 % – libérée à la levée des réserves</v>
      </c>
      <c r="F12" s="135"/>
      <c r="G12" s="136"/>
      <c r="H12" s="134" t="str">
        <f>"brutes : "&amp;FIXED(N(INDEX(Situations!$AH$10:$AH$33,MAX(1,NbSit))),0)&amp;" € · plafond : "&amp;FIXED(PlafondPen*MontantHT,0)&amp;" €"</f>
        <v>brutes : 1.084 € · plafond : 40.640 €</v>
      </c>
      <c r="I12" s="135"/>
      <c r="J12" s="136"/>
      <c r="K12" s="134" t="str">
        <f ca="1">COUNTIF(Situations!$AD$10:$AD$33,"&gt;0")&amp;" paiement(s) hors délai de "&amp;DelaiPaiement&amp;" jours"</f>
        <v>1 paiement(s) hors délai de 30 jours</v>
      </c>
      <c r="L12" s="135"/>
      <c r="M12" s="136"/>
    </row>
    <row r="13" spans="1:20" ht="12" customHeight="1" x14ac:dyDescent="0.25"/>
    <row r="14" spans="1:20" ht="24" customHeight="1" x14ac:dyDescent="0.25">
      <c r="B14" s="143" t="s">
        <v>9</v>
      </c>
      <c r="C14" s="144"/>
      <c r="D14" s="144"/>
      <c r="E14" s="144"/>
      <c r="F14" s="144"/>
      <c r="G14" s="144"/>
      <c r="H14" s="144"/>
      <c r="I14" s="143" t="s">
        <v>10</v>
      </c>
      <c r="J14" s="144"/>
      <c r="K14" s="144"/>
      <c r="L14" s="144"/>
      <c r="M14" s="144"/>
    </row>
    <row r="15" spans="1:20" x14ac:dyDescent="0.25">
      <c r="B15" s="9"/>
      <c r="C15" s="10"/>
      <c r="D15" s="10"/>
      <c r="E15" s="10"/>
      <c r="F15" s="10"/>
      <c r="G15" s="10"/>
      <c r="H15" s="11"/>
      <c r="I15" s="148" t="s">
        <v>11</v>
      </c>
      <c r="J15" s="149"/>
      <c r="K15" s="149"/>
      <c r="L15" s="12" t="s">
        <v>12</v>
      </c>
      <c r="M15" s="13" t="s">
        <v>13</v>
      </c>
      <c r="P15" s="14" t="s">
        <v>14</v>
      </c>
      <c r="Q15" s="14" t="s">
        <v>15</v>
      </c>
      <c r="R15" s="14" t="s">
        <v>16</v>
      </c>
      <c r="S15" s="14" t="s">
        <v>17</v>
      </c>
      <c r="T15" s="14" t="s">
        <v>18</v>
      </c>
    </row>
    <row r="16" spans="1:20" ht="21" customHeight="1" x14ac:dyDescent="0.25">
      <c r="B16" s="15"/>
      <c r="C16" s="5"/>
      <c r="D16" s="5"/>
      <c r="E16" s="5"/>
      <c r="F16" s="5"/>
      <c r="G16" s="5"/>
      <c r="H16" s="6"/>
      <c r="I16" s="127" t="s">
        <v>19</v>
      </c>
      <c r="J16" s="128"/>
      <c r="K16" s="128"/>
      <c r="L16" s="16" t="str">
        <f>IF(COUNTIF(Avancement!$I$11:$AF$50,"&gt;1")=0,"Aucun écart",COUNTIF(Avancement!$I$11:$AF$50,"&gt;1")&amp;" cellule(s)")</f>
        <v>Aucun écart</v>
      </c>
      <c r="M16" s="17" t="str">
        <f>IF(COUNTIF(Avancement!$I$11:$AF$50,"&gt;1")=0,"Conforme","Non conforme")</f>
        <v>Conforme</v>
      </c>
      <c r="P16" s="14" t="str">
        <f>IF(S16&gt;NbSit,"","N° "&amp;S16&amp;" · "&amp;CHOOSE(MONTH(INDEX(Situations!$C$10:$C$33,S16)),"janv.","févr.","mars","avr.","mai","juin","juil.","août","sept.","oct.","nov.","déc."))</f>
        <v>N° 1 · janv.</v>
      </c>
      <c r="Q16" s="14">
        <f>IF(OR(S16&gt;NbSit,S16=1),0,N(INDEX(Situations!$E$10:$E$33,S16-1)))</f>
        <v>0</v>
      </c>
      <c r="R16" s="14">
        <f>IF(S16&gt;NbSit,0,N(INDEX(Situations!$G$10:$G$33,S16)))</f>
        <v>5390</v>
      </c>
      <c r="S16" s="14">
        <f>IF(NbSit&lt;=12,1,NbSit-12+1)</f>
        <v>1</v>
      </c>
      <c r="T16" s="14">
        <f t="shared" ref="T16:T27" si="0">MontantHT</f>
        <v>406400</v>
      </c>
    </row>
    <row r="17" spans="2:20" ht="21" customHeight="1" x14ac:dyDescent="0.25">
      <c r="B17" s="15"/>
      <c r="C17" s="5"/>
      <c r="D17" s="5"/>
      <c r="E17" s="5"/>
      <c r="F17" s="5"/>
      <c r="G17" s="5"/>
      <c r="H17" s="6"/>
      <c r="I17" s="127" t="s">
        <v>20</v>
      </c>
      <c r="J17" s="128"/>
      <c r="K17" s="128"/>
      <c r="L17" s="16" t="str">
        <f>IF(SUMPRODUCT((Avancement!$J$11:$AF$50&lt;&gt;"")*(Avancement!$J$11:$AF$50&lt;Avancement!$I$11:$AE$50))=0,"Aucune baisse",SUMPRODUCT((Avancement!$J$11:$AF$50&lt;&gt;"")*(Avancement!$J$11:$AF$50&lt;Avancement!$I$11:$AE$50))&amp;" baisse(s)")</f>
        <v>Aucune baisse</v>
      </c>
      <c r="M17" s="17" t="str">
        <f>IF(SUMPRODUCT((Avancement!$J$11:$AF$50&lt;&gt;"")*(Avancement!$J$11:$AF$50&lt;Avancement!$I$11:$AE$50))=0,"Conforme","À vérifier")</f>
        <v>Conforme</v>
      </c>
      <c r="P17" s="14" t="str">
        <f>IF(S17&gt;NbSit,"","N° "&amp;S17&amp;" · "&amp;CHOOSE(MONTH(INDEX(Situations!$C$10:$C$33,S17)),"janv.","févr.","mars","avr.","mai","juin","juil.","août","sept.","oct.","nov.","déc."))</f>
        <v>N° 2 · févr.</v>
      </c>
      <c r="Q17" s="14">
        <f>IF(OR(S17&gt;NbSit,S17=1),0,N(INDEX(Situations!$E$10:$E$33,S17-1)))</f>
        <v>5390</v>
      </c>
      <c r="R17" s="14">
        <f>IF(S17&gt;NbSit,0,N(INDEX(Situations!$G$10:$G$33,S17)))</f>
        <v>16310</v>
      </c>
      <c r="S17" s="14">
        <f>IF(NbSit&lt;=12,2,NbSit-12+2)</f>
        <v>2</v>
      </c>
      <c r="T17" s="14">
        <f t="shared" si="0"/>
        <v>406400</v>
      </c>
    </row>
    <row r="18" spans="2:20" ht="21" customHeight="1" x14ac:dyDescent="0.25">
      <c r="B18" s="15"/>
      <c r="C18" s="5"/>
      <c r="D18" s="5"/>
      <c r="E18" s="5"/>
      <c r="F18" s="5"/>
      <c r="G18" s="5"/>
      <c r="H18" s="6"/>
      <c r="I18" s="127" t="s">
        <v>21</v>
      </c>
      <c r="J18" s="128"/>
      <c r="K18" s="128"/>
      <c r="L18" s="16" t="str">
        <f>FIXED(N(INDEX(Situations!$AI$10:$AI$33,MAX(1,NbSit)))*100,1)&amp;" %"</f>
        <v>89,4 %</v>
      </c>
      <c r="M18" s="17" t="str">
        <f>IF(N(INDEX(Situations!$E$10:$E$33,MAX(1,NbSit)))&lt;=MontantHT+0.01,"Conforme","Non conforme")</f>
        <v>Conforme</v>
      </c>
      <c r="P18" s="14" t="str">
        <f>IF(S18&gt;NbSit,"","N° "&amp;S18&amp;" · "&amp;CHOOSE(MONTH(INDEX(Situations!$C$10:$C$33,S18)),"janv.","févr.","mars","avr.","mai","juin","juil.","août","sept.","oct.","nov.","déc."))</f>
        <v>N° 3 · mars</v>
      </c>
      <c r="Q18" s="14">
        <f>IF(OR(S18&gt;NbSit,S18=1),0,N(INDEX(Situations!$E$10:$E$33,S18-1)))</f>
        <v>21700</v>
      </c>
      <c r="R18" s="14">
        <f>IF(S18&gt;NbSit,0,N(INDEX(Situations!$G$10:$G$33,S18)))</f>
        <v>34210</v>
      </c>
      <c r="S18" s="14">
        <f>IF(NbSit&lt;=12,3,NbSit-12+3)</f>
        <v>3</v>
      </c>
      <c r="T18" s="14">
        <f t="shared" si="0"/>
        <v>406400</v>
      </c>
    </row>
    <row r="19" spans="2:20" ht="21" customHeight="1" x14ac:dyDescent="0.25">
      <c r="B19" s="15"/>
      <c r="C19" s="5"/>
      <c r="D19" s="5"/>
      <c r="E19" s="5"/>
      <c r="F19" s="5"/>
      <c r="G19" s="5"/>
      <c r="H19" s="6"/>
      <c r="I19" s="127" t="s">
        <v>22</v>
      </c>
      <c r="J19" s="128"/>
      <c r="K19" s="128"/>
      <c r="L19" s="16" t="str">
        <f>IF(COUNTIF(Marché!$L$51:$L$53,"Dépassement")=0,"Respectée",COUNTIF(Marché!$L$51:$L$53,"Dépassement")&amp;" dépassement(s)")</f>
        <v>Respectée</v>
      </c>
      <c r="M19" s="17" t="str">
        <f>IF(COUNTIF(Marché!$L$51:$L$53,"Dépassement")=0,"Conforme","Non conforme")</f>
        <v>Conforme</v>
      </c>
      <c r="P19" s="14" t="str">
        <f>IF(S19&gt;NbSit,"","N° "&amp;S19&amp;" · "&amp;CHOOSE(MONTH(INDEX(Situations!$C$10:$C$33,S19)),"janv.","févr.","mars","avr.","mai","juin","juil.","août","sept.","oct.","nov.","déc."))</f>
        <v>N° 4 · avr.</v>
      </c>
      <c r="Q19" s="14">
        <f>IF(OR(S19&gt;NbSit,S19=1),0,N(INDEX(Situations!$E$10:$E$33,S19-1)))</f>
        <v>55910</v>
      </c>
      <c r="R19" s="14">
        <f>IF(S19&gt;NbSit,0,N(INDEX(Situations!$G$10:$G$33,S19)))</f>
        <v>53065</v>
      </c>
      <c r="S19" s="14">
        <f>IF(NbSit&lt;=12,4,NbSit-12+4)</f>
        <v>4</v>
      </c>
      <c r="T19" s="14">
        <f t="shared" si="0"/>
        <v>406400</v>
      </c>
    </row>
    <row r="20" spans="2:20" ht="21" customHeight="1" x14ac:dyDescent="0.25">
      <c r="B20" s="15"/>
      <c r="C20" s="5"/>
      <c r="D20" s="5"/>
      <c r="E20" s="5"/>
      <c r="F20" s="5"/>
      <c r="G20" s="5"/>
      <c r="H20" s="6"/>
      <c r="I20" s="127" t="s">
        <v>23</v>
      </c>
      <c r="J20" s="128"/>
      <c r="K20" s="128"/>
      <c r="L20" s="16" t="str">
        <f>IF(COUNTIF(Situations!$I$10:$I$33,"Provisoire")=0,"Tous définitifs",COUNTIF(Situations!$I$10:$I$33,"Provisoire")&amp;" provisoire(s)")</f>
        <v>2 provisoire(s)</v>
      </c>
      <c r="M20" s="17" t="str">
        <f>IF(COUNTIF(Situations!$I$10:$I$33,"Absent")&gt;0,"Non conforme",IF(COUNTIF(Situations!$I$10:$I$33,"Provisoire")&gt;0,"À vérifier","Conforme"))</f>
        <v>À vérifier</v>
      </c>
      <c r="P20" s="14" t="str">
        <f>IF(S20&gt;NbSit,"","N° "&amp;S20&amp;" · "&amp;CHOOSE(MONTH(INDEX(Situations!$C$10:$C$33,S20)),"janv.","févr.","mars","avr.","mai","juin","juil.","août","sept.","oct.","nov.","déc."))</f>
        <v>N° 5 · mai</v>
      </c>
      <c r="Q20" s="14">
        <f>IF(OR(S20&gt;NbSit,S20=1),0,N(INDEX(Situations!$E$10:$E$33,S20-1)))</f>
        <v>108975</v>
      </c>
      <c r="R20" s="14">
        <f>IF(S20&gt;NbSit,0,N(INDEX(Situations!$G$10:$G$33,S20)))</f>
        <v>61995</v>
      </c>
      <c r="S20" s="14">
        <f>IF(NbSit&lt;=12,5,NbSit-12+5)</f>
        <v>5</v>
      </c>
      <c r="T20" s="14">
        <f t="shared" si="0"/>
        <v>406400</v>
      </c>
    </row>
    <row r="21" spans="2:20" ht="21" customHeight="1" x14ac:dyDescent="0.25">
      <c r="B21" s="15"/>
      <c r="C21" s="5"/>
      <c r="D21" s="5"/>
      <c r="E21" s="5"/>
      <c r="F21" s="5"/>
      <c r="G21" s="5"/>
      <c r="H21" s="6"/>
      <c r="I21" s="127" t="s">
        <v>24</v>
      </c>
      <c r="J21" s="128"/>
      <c r="K21" s="128"/>
      <c r="L21" s="16" t="str">
        <f>IF(N(INDEX(Situations!$AH$10:$AH$33,MAX(1,NbSit)))=0,"Aucune",IF(N(INDEX(Situations!$AH$10:$AH$33,MAX(1,NbSit)))&lt;=ExoPen,"Exonérées",IF(N(INDEX(Situations!$AH$10:$AH$33,MAX(1,NbSit)))&gt;PlafondPen*MontantHT,"Plafonnées","Appliquées")))</f>
        <v>Appliquées</v>
      </c>
      <c r="M21" s="17" t="str">
        <f>IF(N(INDEX(Situations!$AH$10:$AH$33,MAX(1,NbSit)))=0,"Conforme","Information")</f>
        <v>Information</v>
      </c>
      <c r="P21" s="14" t="str">
        <f>IF(S21&gt;NbSit,"","N° "&amp;S21&amp;" · "&amp;CHOOSE(MONTH(INDEX(Situations!$C$10:$C$33,S21)),"janv.","févr.","mars","avr.","mai","juin","juil.","août","sept.","oct.","nov.","déc."))</f>
        <v>N° 6 · juin</v>
      </c>
      <c r="Q21" s="14">
        <f>IF(OR(S21&gt;NbSit,S21=1),0,N(INDEX(Situations!$E$10:$E$33,S21-1)))</f>
        <v>170970</v>
      </c>
      <c r="R21" s="14">
        <f>IF(S21&gt;NbSit,0,N(INDEX(Situations!$G$10:$G$33,S21)))</f>
        <v>74970</v>
      </c>
      <c r="S21" s="14">
        <f>IF(NbSit&lt;=12,6,NbSit-12+6)</f>
        <v>6</v>
      </c>
      <c r="T21" s="14">
        <f t="shared" si="0"/>
        <v>406400</v>
      </c>
    </row>
    <row r="22" spans="2:20" ht="21" customHeight="1" x14ac:dyDescent="0.25">
      <c r="B22" s="15"/>
      <c r="C22" s="5"/>
      <c r="D22" s="5"/>
      <c r="E22" s="5"/>
      <c r="F22" s="5"/>
      <c r="G22" s="5"/>
      <c r="H22" s="6"/>
      <c r="I22" s="127" t="s">
        <v>25</v>
      </c>
      <c r="J22" s="128"/>
      <c r="K22" s="128"/>
      <c r="L22" s="16" t="str">
        <f>IF(MontantAvance=0,"Sans avance",IF(N(INDEX(Situations!$O$10:$O$33,MAX(1,NbSit)))&gt;=MontantAvance,"Terminé",IF(N(INDEX(Situations!$O$10:$O$33,MAX(1,NbSit)))&gt;0,"En cours ("&amp;FIXED(N(INDEX(Situations!$O$10:$O$33,MAX(1,NbSit)))/MontantAvance*100,0)&amp;" %)","Non commencé")))</f>
        <v>Terminé</v>
      </c>
      <c r="M22" s="17" t="str">
        <f>IF(AND(MontantAvance&gt;0,N(INDEX(Situations!$AI$10:$AI$33,MAX(1,NbSit)))&gt;=FinRemb,N(INDEX(Situations!$O$10:$O$33,MAX(1,NbSit)))&lt;MontantAvance-0.01),"Non conforme","Conforme")</f>
        <v>Conforme</v>
      </c>
      <c r="P22" s="14" t="str">
        <f>IF(S22&gt;NbSit,"","N° "&amp;S22&amp;" · "&amp;CHOOSE(MONTH(INDEX(Situations!$C$10:$C$33,S22)),"janv.","févr.","mars","avr.","mai","juin","juil.","août","sept.","oct.","nov.","déc."))</f>
        <v>N° 7 · juil.</v>
      </c>
      <c r="Q22" s="14">
        <f>IF(OR(S22&gt;NbSit,S22=1),0,N(INDEX(Situations!$E$10:$E$33,S22-1)))</f>
        <v>245940</v>
      </c>
      <c r="R22" s="14">
        <f>IF(S22&gt;NbSit,0,N(INDEX(Situations!$G$10:$G$33,S22)))</f>
        <v>71317.5</v>
      </c>
      <c r="S22" s="14">
        <f>IF(NbSit&lt;=12,7,NbSit-12+7)</f>
        <v>7</v>
      </c>
      <c r="T22" s="14">
        <f t="shared" si="0"/>
        <v>406400</v>
      </c>
    </row>
    <row r="23" spans="2:20" ht="21" customHeight="1" x14ac:dyDescent="0.25">
      <c r="B23" s="15"/>
      <c r="C23" s="5"/>
      <c r="D23" s="5"/>
      <c r="E23" s="5"/>
      <c r="F23" s="5"/>
      <c r="G23" s="5"/>
      <c r="H23" s="6"/>
      <c r="I23" s="127" t="s">
        <v>26</v>
      </c>
      <c r="J23" s="128"/>
      <c r="K23" s="128"/>
      <c r="L23" s="16" t="str">
        <f ca="1">IF(COUNTIF(Situations!$AD$10:$AD$33,"&gt;0")=0,"Aucun retard",COUNTIF(Situations!$AD$10:$AD$33,"&gt;0")&amp;" en retard")</f>
        <v>1 en retard</v>
      </c>
      <c r="M23" s="17" t="str">
        <f ca="1">IF(COUNTIF(Situations!$AD$10:$AD$33,"&gt;0")=0,"Conforme","À vérifier")</f>
        <v>À vérifier</v>
      </c>
      <c r="P23" s="14" t="str">
        <f>IF(S23&gt;NbSit,"","N° "&amp;S23&amp;" · "&amp;CHOOSE(MONTH(INDEX(Situations!$C$10:$C$33,S23)),"janv.","févr.","mars","avr.","mai","juin","juil.","août","sept.","oct.","nov.","déc."))</f>
        <v>N° 8 · août</v>
      </c>
      <c r="Q23" s="14">
        <f>IF(OR(S23&gt;NbSit,S23=1),0,N(INDEX(Situations!$E$10:$E$33,S23-1)))</f>
        <v>317257.5</v>
      </c>
      <c r="R23" s="14">
        <f>IF(S23&gt;NbSit,0,N(INDEX(Situations!$G$10:$G$33,S23)))</f>
        <v>46100</v>
      </c>
      <c r="S23" s="14">
        <f>IF(NbSit&lt;=12,8,NbSit-12+8)</f>
        <v>8</v>
      </c>
      <c r="T23" s="14">
        <f t="shared" si="0"/>
        <v>406400</v>
      </c>
    </row>
    <row r="24" spans="2:20" ht="21" customHeight="1" x14ac:dyDescent="0.25">
      <c r="B24" s="15"/>
      <c r="C24" s="5"/>
      <c r="D24" s="5"/>
      <c r="E24" s="5"/>
      <c r="F24" s="5"/>
      <c r="G24" s="5"/>
      <c r="H24" s="6"/>
      <c r="I24" s="127" t="s">
        <v>27</v>
      </c>
      <c r="J24" s="128"/>
      <c r="K24" s="128"/>
      <c r="L24" s="16" t="str">
        <f ca="1">COUNTIF(Situations!$AF$10:$AF$33,"Échu – non payé")&amp;" acompte(s)"</f>
        <v>0 acompte(s)</v>
      </c>
      <c r="M24" s="17" t="str">
        <f ca="1">IF(COUNTIF(Situations!$AF$10:$AF$33,"Échu – non payé")=0,"Conforme","Non conforme")</f>
        <v>Conforme</v>
      </c>
      <c r="P24" s="14" t="str">
        <f>IF(S24&gt;NbSit,"","N° "&amp;S24&amp;" · "&amp;CHOOSE(MONTH(INDEX(Situations!$C$10:$C$33,S24)),"janv.","févr.","mars","avr.","mai","juin","juil.","août","sept.","oct.","nov.","déc."))</f>
        <v/>
      </c>
      <c r="Q24" s="14">
        <f>IF(OR(S24&gt;NbSit,S24=1),0,N(INDEX(Situations!$E$10:$E$33,S24-1)))</f>
        <v>0</v>
      </c>
      <c r="R24" s="14">
        <f>IF(S24&gt;NbSit,0,N(INDEX(Situations!$G$10:$G$33,S24)))</f>
        <v>0</v>
      </c>
      <c r="S24" s="14">
        <f>IF(NbSit&lt;=12,9,NbSit-12+9)</f>
        <v>9</v>
      </c>
      <c r="T24" s="14">
        <f t="shared" si="0"/>
        <v>406400</v>
      </c>
    </row>
    <row r="25" spans="2:20" ht="21" customHeight="1" x14ac:dyDescent="0.25">
      <c r="B25" s="15"/>
      <c r="C25" s="5"/>
      <c r="D25" s="5"/>
      <c r="E25" s="5"/>
      <c r="F25" s="5"/>
      <c r="G25" s="5"/>
      <c r="H25" s="6"/>
      <c r="I25" s="127" t="s">
        <v>28</v>
      </c>
      <c r="J25" s="128"/>
      <c r="K25" s="128"/>
      <c r="L25" s="16" t="str">
        <f ca="1">COUNTIF(Situations!$AF$10:$AF$33,"En attente")+COUNTIF(Situations!$AF$10:$AF$33,"Demande à transmettre")&amp;" demande(s)"</f>
        <v>1 demande(s)</v>
      </c>
      <c r="M25" s="17" t="str">
        <f>"Information"</f>
        <v>Information</v>
      </c>
      <c r="P25" s="14" t="str">
        <f>IF(S25&gt;NbSit,"","N° "&amp;S25&amp;" · "&amp;CHOOSE(MONTH(INDEX(Situations!$C$10:$C$33,S25)),"janv.","févr.","mars","avr.","mai","juin","juil.","août","sept.","oct.","nov.","déc."))</f>
        <v/>
      </c>
      <c r="Q25" s="14">
        <f>IF(OR(S25&gt;NbSit,S25=1),0,N(INDEX(Situations!$E$10:$E$33,S25-1)))</f>
        <v>0</v>
      </c>
      <c r="R25" s="14">
        <f>IF(S25&gt;NbSit,0,N(INDEX(Situations!$G$10:$G$33,S25)))</f>
        <v>0</v>
      </c>
      <c r="S25" s="14">
        <f>IF(NbSit&lt;=12,10,NbSit-12+10)</f>
        <v>10</v>
      </c>
      <c r="T25" s="14">
        <f t="shared" si="0"/>
        <v>406400</v>
      </c>
    </row>
    <row r="26" spans="2:20" ht="18" customHeight="1" x14ac:dyDescent="0.25">
      <c r="B26" s="15"/>
      <c r="C26" s="5"/>
      <c r="D26" s="5"/>
      <c r="E26" s="5"/>
      <c r="F26" s="5"/>
      <c r="G26" s="5"/>
      <c r="H26" s="6"/>
      <c r="I26" s="15"/>
      <c r="J26" s="5"/>
      <c r="K26" s="5"/>
      <c r="L26" s="5"/>
      <c r="M26" s="6"/>
      <c r="P26" s="14" t="str">
        <f>IF(S26&gt;NbSit,"","N° "&amp;S26&amp;" · "&amp;CHOOSE(MONTH(INDEX(Situations!$C$10:$C$33,S26)),"janv.","févr.","mars","avr.","mai","juin","juil.","août","sept.","oct.","nov.","déc."))</f>
        <v/>
      </c>
      <c r="Q26" s="14">
        <f>IF(OR(S26&gt;NbSit,S26=1),0,N(INDEX(Situations!$E$10:$E$33,S26-1)))</f>
        <v>0</v>
      </c>
      <c r="R26" s="14">
        <f>IF(S26&gt;NbSit,0,N(INDEX(Situations!$G$10:$G$33,S26)))</f>
        <v>0</v>
      </c>
      <c r="S26" s="14">
        <f>IF(NbSit&lt;=12,11,NbSit-12+11)</f>
        <v>11</v>
      </c>
      <c r="T26" s="14">
        <f t="shared" si="0"/>
        <v>406400</v>
      </c>
    </row>
    <row r="27" spans="2:20" ht="18" customHeight="1" x14ac:dyDescent="0.25">
      <c r="B27" s="15"/>
      <c r="C27" s="5"/>
      <c r="D27" s="5"/>
      <c r="E27" s="5"/>
      <c r="F27" s="5"/>
      <c r="G27" s="5"/>
      <c r="H27" s="6"/>
      <c r="I27" s="150" t="s">
        <v>29</v>
      </c>
      <c r="J27" s="138"/>
      <c r="K27" s="138"/>
      <c r="L27" s="138"/>
      <c r="M27" s="151"/>
      <c r="P27" s="14" t="str">
        <f>IF(S27&gt;NbSit,"","N° "&amp;S27&amp;" · "&amp;CHOOSE(MONTH(INDEX(Situations!$C$10:$C$33,S27)),"janv.","févr.","mars","avr.","mai","juin","juil.","août","sept.","oct.","nov.","déc."))</f>
        <v/>
      </c>
      <c r="Q27" s="14">
        <f>IF(OR(S27&gt;NbSit,S27=1),0,N(INDEX(Situations!$E$10:$E$33,S27-1)))</f>
        <v>0</v>
      </c>
      <c r="R27" s="14">
        <f>IF(S27&gt;NbSit,0,N(INDEX(Situations!$G$10:$G$33,S27)))</f>
        <v>0</v>
      </c>
      <c r="S27" s="14">
        <f>IF(NbSit&lt;=12,12,NbSit-12+12)</f>
        <v>12</v>
      </c>
      <c r="T27" s="14">
        <f t="shared" si="0"/>
        <v>406400</v>
      </c>
    </row>
    <row r="28" spans="2:20" ht="18" customHeight="1" x14ac:dyDescent="0.25">
      <c r="B28" s="15"/>
      <c r="C28" s="5"/>
      <c r="D28" s="5"/>
      <c r="E28" s="5"/>
      <c r="F28" s="5"/>
      <c r="G28" s="5"/>
      <c r="H28" s="6"/>
      <c r="I28" s="152"/>
      <c r="J28" s="138"/>
      <c r="K28" s="138"/>
      <c r="L28" s="138"/>
      <c r="M28" s="151"/>
    </row>
    <row r="29" spans="2:20" ht="18" customHeight="1" x14ac:dyDescent="0.25">
      <c r="B29" s="15"/>
      <c r="C29" s="5"/>
      <c r="D29" s="5"/>
      <c r="E29" s="5"/>
      <c r="F29" s="5"/>
      <c r="G29" s="5"/>
      <c r="H29" s="6"/>
      <c r="I29" s="152"/>
      <c r="J29" s="138"/>
      <c r="K29" s="138"/>
      <c r="L29" s="138"/>
      <c r="M29" s="151"/>
    </row>
    <row r="30" spans="2:20" ht="18" customHeight="1" x14ac:dyDescent="0.25">
      <c r="B30" s="15"/>
      <c r="C30" s="5"/>
      <c r="D30" s="5"/>
      <c r="E30" s="5"/>
      <c r="F30" s="5"/>
      <c r="G30" s="5"/>
      <c r="H30" s="6"/>
      <c r="I30" s="152"/>
      <c r="J30" s="138"/>
      <c r="K30" s="138"/>
      <c r="L30" s="138"/>
      <c r="M30" s="151"/>
    </row>
    <row r="31" spans="2:20" ht="18" customHeight="1" x14ac:dyDescent="0.25">
      <c r="B31" s="18"/>
      <c r="C31" s="7"/>
      <c r="D31" s="7"/>
      <c r="E31" s="7"/>
      <c r="F31" s="7"/>
      <c r="G31" s="7"/>
      <c r="H31" s="8"/>
      <c r="I31" s="18"/>
      <c r="J31" s="7"/>
      <c r="K31" s="7"/>
      <c r="L31" s="7"/>
      <c r="M31" s="8"/>
    </row>
    <row r="32" spans="2:20" ht="12" customHeight="1" x14ac:dyDescent="0.25"/>
    <row r="33" spans="2:13" x14ac:dyDescent="0.25">
      <c r="B33" s="143" t="s">
        <v>30</v>
      </c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</row>
    <row r="34" spans="2:13" ht="27.95" customHeight="1" x14ac:dyDescent="0.25">
      <c r="B34" s="19" t="s">
        <v>17</v>
      </c>
      <c r="C34" s="20" t="s">
        <v>31</v>
      </c>
      <c r="D34" s="21" t="s">
        <v>32</v>
      </c>
      <c r="E34" s="21" t="s">
        <v>33</v>
      </c>
      <c r="F34" s="21" t="s">
        <v>34</v>
      </c>
      <c r="G34" s="21" t="s">
        <v>35</v>
      </c>
      <c r="H34" s="21" t="s">
        <v>36</v>
      </c>
      <c r="I34" s="21" t="s">
        <v>37</v>
      </c>
      <c r="J34" s="22" t="s">
        <v>38</v>
      </c>
      <c r="K34" s="22" t="s">
        <v>39</v>
      </c>
      <c r="L34" s="22" t="s">
        <v>40</v>
      </c>
      <c r="M34" s="23" t="s">
        <v>41</v>
      </c>
    </row>
    <row r="35" spans="2:13" ht="18" customHeight="1" x14ac:dyDescent="0.25">
      <c r="B35" s="24">
        <f>IF(Situations!$C$10="","",IF(Situations!$B$10="","",Situations!$B$10))</f>
        <v>1</v>
      </c>
      <c r="C35" s="25">
        <f>IF(Situations!$C$10="","",IF(Situations!$C$10="","",Situations!$C$10))</f>
        <v>46388</v>
      </c>
      <c r="D35" s="26">
        <f>IF(Situations!$C$10="","",IF(Situations!$G$10="","",Situations!$G$10))</f>
        <v>5390</v>
      </c>
      <c r="E35" s="26">
        <f>IF(Situations!$C$10="","",IF(Situations!$J$10="","",Situations!$J$10))</f>
        <v>32.340000000000003</v>
      </c>
      <c r="F35" s="26">
        <f>IF(Situations!$C$10="","",(Situations!$O$10+Situations!$P$10+Situations!$S$10))</f>
        <v>323.39999999999998</v>
      </c>
      <c r="G35" s="27">
        <f>IF(Situations!$C$10="","",IF(Situations!$U$10="","",Situations!$U$10))</f>
        <v>6183.4100000000008</v>
      </c>
      <c r="H35" s="26">
        <f>IF(Situations!$C$10="","",IF(Situations!$Y$10="","",Situations!$Y$10))</f>
        <v>0</v>
      </c>
      <c r="I35" s="26">
        <f>IF(Situations!$C$10="","",IF(Situations!$Z$10="","",Situations!$Z$10))</f>
        <v>6183.4100000000008</v>
      </c>
      <c r="J35" s="28">
        <f>IF(Situations!$C$10="","",IF(Situations!$AA$10="","",Situations!$AA$10))</f>
        <v>46423</v>
      </c>
      <c r="K35" s="28">
        <f>IF(Situations!$C$10="","",IF(Situations!$AB$10="","",Situations!$AB$10))</f>
        <v>46453</v>
      </c>
      <c r="L35" s="28">
        <f>IF(Situations!$C$10="","",IF(Situations!$AC$10="","",Situations!$AC$10))</f>
        <v>46448</v>
      </c>
      <c r="M35" s="29" t="str">
        <f>IF(Situations!$C$10="","",IF(Situations!$AF$10="","",Situations!$AF$10))</f>
        <v>Payé</v>
      </c>
    </row>
    <row r="36" spans="2:13" ht="18" customHeight="1" x14ac:dyDescent="0.25">
      <c r="B36" s="24">
        <f>IF(Situations!$C$11="","",IF(Situations!$B$11="","",Situations!$B$11))</f>
        <v>2</v>
      </c>
      <c r="C36" s="25">
        <f>IF(Situations!$C$11="","",IF(Situations!$C$11="","",Situations!$C$11))</f>
        <v>46419</v>
      </c>
      <c r="D36" s="26">
        <f>IF(Situations!$C$11="","",IF(Situations!$G$11="","",Situations!$G$11))</f>
        <v>16310</v>
      </c>
      <c r="E36" s="26">
        <f>IF(Situations!$C$11="","",IF(Situations!$J$11="","",Situations!$J$11))</f>
        <v>130.47999999999999</v>
      </c>
      <c r="F36" s="26">
        <f>IF(Situations!$C$11="","",(Situations!$O$11+Situations!$P$11+Situations!$S$11)-(Situations!$O$10+Situations!$P$10+Situations!$S$10))</f>
        <v>978.6</v>
      </c>
      <c r="G36" s="27">
        <f>IF(Situations!$C$11="","",IF(Situations!$U$11="","",Situations!$U$11))</f>
        <v>18749.97</v>
      </c>
      <c r="H36" s="26">
        <f>IF(Situations!$C$11="","",IF(Situations!$Y$11="","",Situations!$Y$11))</f>
        <v>0</v>
      </c>
      <c r="I36" s="26">
        <f>IF(Situations!$C$11="","",IF(Situations!$Z$11="","",Situations!$Z$11))</f>
        <v>18749.97</v>
      </c>
      <c r="J36" s="28">
        <f>IF(Situations!$C$11="","",IF(Situations!$AA$11="","",Situations!$AA$11))</f>
        <v>46450</v>
      </c>
      <c r="K36" s="28">
        <f>IF(Situations!$C$11="","",IF(Situations!$AB$11="","",Situations!$AB$11))</f>
        <v>46480</v>
      </c>
      <c r="L36" s="28">
        <f>IF(Situations!$C$11="","",IF(Situations!$AC$11="","",Situations!$AC$11))</f>
        <v>46476</v>
      </c>
      <c r="M36" s="29" t="str">
        <f>IF(Situations!$C$11="","",IF(Situations!$AF$11="","",Situations!$AF$11))</f>
        <v>Payé</v>
      </c>
    </row>
    <row r="37" spans="2:13" ht="18" customHeight="1" x14ac:dyDescent="0.25">
      <c r="B37" s="24">
        <f>IF(Situations!$C$12="","",IF(Situations!$B$12="","",Situations!$B$12))</f>
        <v>3</v>
      </c>
      <c r="C37" s="25">
        <f>IF(Situations!$C$12="","",IF(Situations!$C$12="","",Situations!$C$12))</f>
        <v>46447</v>
      </c>
      <c r="D37" s="26">
        <f>IF(Situations!$C$12="","",IF(Situations!$G$12="","",Situations!$G$12))</f>
        <v>34210</v>
      </c>
      <c r="E37" s="26">
        <f>IF(Situations!$C$12="","",IF(Situations!$J$12="","",Situations!$J$12))</f>
        <v>342.1</v>
      </c>
      <c r="F37" s="26">
        <f>IF(Situations!$C$12="","",(Situations!$O$12+Situations!$P$12+Situations!$S$12)-(Situations!$O$11+Situations!$P$11+Situations!$S$11))</f>
        <v>2772.6</v>
      </c>
      <c r="G37" s="27">
        <f>IF(Situations!$C$12="","",IF(Situations!$U$12="","",Situations!$U$12))</f>
        <v>53089.919999999984</v>
      </c>
      <c r="H37" s="26">
        <f>IF(Situations!$C$12="","",IF(Situations!$Y$12="","",Situations!$Y$12))</f>
        <v>0</v>
      </c>
      <c r="I37" s="26">
        <f>IF(Situations!$C$12="","",IF(Situations!$Z$12="","",Situations!$Z$12))</f>
        <v>53089.919999999984</v>
      </c>
      <c r="J37" s="28">
        <f>IF(Situations!$C$12="","",IF(Situations!$AA$12="","",Situations!$AA$12))</f>
        <v>46482</v>
      </c>
      <c r="K37" s="28">
        <f>IF(Situations!$C$12="","",IF(Situations!$AB$12="","",Situations!$AB$12))</f>
        <v>46512</v>
      </c>
      <c r="L37" s="28">
        <f>IF(Situations!$C$12="","",IF(Situations!$AC$12="","",Situations!$AC$12))</f>
        <v>46506</v>
      </c>
      <c r="M37" s="29" t="str">
        <f>IF(Situations!$C$12="","",IF(Situations!$AF$12="","",Situations!$AF$12))</f>
        <v>Payé</v>
      </c>
    </row>
    <row r="38" spans="2:13" ht="18" customHeight="1" x14ac:dyDescent="0.25">
      <c r="B38" s="24">
        <f>IF(Situations!$C$13="","",IF(Situations!$B$13="","",Situations!$B$13))</f>
        <v>4</v>
      </c>
      <c r="C38" s="25">
        <f>IF(Situations!$C$13="","",IF(Situations!$C$13="","",Situations!$C$13))</f>
        <v>46478</v>
      </c>
      <c r="D38" s="26">
        <f>IF(Situations!$C$13="","",IF(Situations!$G$13="","",Situations!$G$13))</f>
        <v>53065</v>
      </c>
      <c r="E38" s="26">
        <f>IF(Situations!$C$13="","",IF(Situations!$J$13="","",Situations!$J$13))</f>
        <v>583.71</v>
      </c>
      <c r="F38" s="26">
        <f>IF(Situations!$C$13="","",(Situations!$O$13+Situations!$P$13+Situations!$S$13)-(Situations!$O$12+Situations!$P$12+Situations!$S$12))</f>
        <v>3573.9</v>
      </c>
      <c r="G38" s="27">
        <f>IF(Situations!$C$13="","",IF(Situations!$U$13="","",Situations!$U$13))</f>
        <v>68604.560000000027</v>
      </c>
      <c r="H38" s="26">
        <f>IF(Situations!$C$13="","",IF(Situations!$Y$13="","",Situations!$Y$13))</f>
        <v>0</v>
      </c>
      <c r="I38" s="26">
        <f>IF(Situations!$C$13="","",IF(Situations!$Z$13="","",Situations!$Z$13))</f>
        <v>68604.560000000027</v>
      </c>
      <c r="J38" s="28">
        <f>IF(Situations!$C$13="","",IF(Situations!$AA$13="","",Situations!$AA$13))</f>
        <v>46512</v>
      </c>
      <c r="K38" s="28">
        <f>IF(Situations!$C$13="","",IF(Situations!$AB$13="","",Situations!$AB$13))</f>
        <v>46542</v>
      </c>
      <c r="L38" s="28">
        <f>IF(Situations!$C$13="","",IF(Situations!$AC$13="","",Situations!$AC$13))</f>
        <v>46555</v>
      </c>
      <c r="M38" s="29" t="str">
        <f>IF(Situations!$C$13="","",IF(Situations!$AF$13="","",Situations!$AF$13))</f>
        <v>Payé en retard</v>
      </c>
    </row>
    <row r="39" spans="2:13" ht="18" customHeight="1" x14ac:dyDescent="0.25">
      <c r="B39" s="24">
        <f>IF(Situations!$C$14="","",IF(Situations!$B$14="","",Situations!$B$14))</f>
        <v>5</v>
      </c>
      <c r="C39" s="25">
        <f>IF(Situations!$C$14="","",IF(Situations!$C$14="","",Situations!$C$14))</f>
        <v>46508</v>
      </c>
      <c r="D39" s="26">
        <f>IF(Situations!$C$14="","",IF(Situations!$G$14="","",Situations!$G$14))</f>
        <v>61995</v>
      </c>
      <c r="E39" s="26">
        <f>IF(Situations!$C$14="","",IF(Situations!$J$14="","",Situations!$J$14))</f>
        <v>805.93</v>
      </c>
      <c r="F39" s="26">
        <f>IF(Situations!$C$14="","",(Situations!$O$14+Situations!$P$14+Situations!$S$14)-(Situations!$O$13+Situations!$P$13+Situations!$S$13))</f>
        <v>3149.7000000000007</v>
      </c>
      <c r="G39" s="27">
        <f>IF(Situations!$C$14="","",IF(Situations!$U$14="","",Situations!$U$14))</f>
        <v>60811.409999999974</v>
      </c>
      <c r="H39" s="26">
        <f>IF(Situations!$C$14="","",IF(Situations!$Y$14="","",Situations!$Y$14))</f>
        <v>4800</v>
      </c>
      <c r="I39" s="26">
        <f>IF(Situations!$C$14="","",IF(Situations!$Z$14="","",Situations!$Z$14))</f>
        <v>56011.409999999974</v>
      </c>
      <c r="J39" s="28">
        <f>IF(Situations!$C$14="","",IF(Situations!$AA$14="","",Situations!$AA$14))</f>
        <v>46542</v>
      </c>
      <c r="K39" s="28">
        <f>IF(Situations!$C$14="","",IF(Situations!$AB$14="","",Situations!$AB$14))</f>
        <v>46572</v>
      </c>
      <c r="L39" s="28">
        <f>IF(Situations!$C$14="","",IF(Situations!$AC$14="","",Situations!$AC$14))</f>
        <v>46569</v>
      </c>
      <c r="M39" s="29" t="str">
        <f>IF(Situations!$C$14="","",IF(Situations!$AF$14="","",Situations!$AF$14))</f>
        <v>Payé</v>
      </c>
    </row>
    <row r="40" spans="2:13" ht="18" customHeight="1" x14ac:dyDescent="0.25">
      <c r="B40" s="24">
        <f>IF(Situations!$C$15="","",IF(Situations!$B$15="","",Situations!$B$15))</f>
        <v>6</v>
      </c>
      <c r="C40" s="25">
        <f>IF(Situations!$C$15="","",IF(Situations!$C$15="","",Situations!$C$15))</f>
        <v>46539</v>
      </c>
      <c r="D40" s="26">
        <f>IF(Situations!$C$15="","",IF(Situations!$G$15="","",Situations!$G$15))</f>
        <v>74970</v>
      </c>
      <c r="E40" s="26">
        <f>IF(Situations!$C$15="","",IF(Situations!$J$15="","",Situations!$J$15))</f>
        <v>1049.58</v>
      </c>
      <c r="F40" s="26">
        <f>IF(Situations!$C$15="","",(Situations!$O$15+Situations!$P$15+Situations!$S$15)-(Situations!$O$14+Situations!$P$14+Situations!$S$14))</f>
        <v>4198.1999999999989</v>
      </c>
      <c r="G40" s="27">
        <f>IF(Situations!$C$15="","",IF(Situations!$U$15="","",Situations!$U$15))</f>
        <v>81025.300000000017</v>
      </c>
      <c r="H40" s="26">
        <f>IF(Situations!$C$15="","",IF(Situations!$Y$15="","",Situations!$Y$15))</f>
        <v>12100</v>
      </c>
      <c r="I40" s="26">
        <f>IF(Situations!$C$15="","",IF(Situations!$Z$15="","",Situations!$Z$15))</f>
        <v>68925.300000000017</v>
      </c>
      <c r="J40" s="28">
        <f>IF(Situations!$C$15="","",IF(Situations!$AA$15="","",Situations!$AA$15))</f>
        <v>46573</v>
      </c>
      <c r="K40" s="28">
        <f>IF(Situations!$C$15="","",IF(Situations!$AB$15="","",Situations!$AB$15))</f>
        <v>46603</v>
      </c>
      <c r="L40" s="28">
        <f>IF(Situations!$C$15="","",IF(Situations!$AC$15="","",Situations!$AC$15))</f>
        <v>46598</v>
      </c>
      <c r="M40" s="29" t="str">
        <f>IF(Situations!$C$15="","",IF(Situations!$AF$15="","",Situations!$AF$15))</f>
        <v>Payé</v>
      </c>
    </row>
    <row r="41" spans="2:13" ht="18" customHeight="1" x14ac:dyDescent="0.25">
      <c r="B41" s="24">
        <f>IF(Situations!$C$16="","",IF(Situations!$B$16="","",Situations!$B$16))</f>
        <v>7</v>
      </c>
      <c r="C41" s="25">
        <f>IF(Situations!$C$16="","",IF(Situations!$C$16="","",Situations!$C$16))</f>
        <v>46569</v>
      </c>
      <c r="D41" s="26">
        <f>IF(Situations!$C$16="","",IF(Situations!$G$16="","",Situations!$G$16))</f>
        <v>71317.5</v>
      </c>
      <c r="E41" s="26">
        <f>IF(Situations!$C$16="","",IF(Situations!$J$16="","",Situations!$J$16))</f>
        <v>998.44</v>
      </c>
      <c r="F41" s="26">
        <f>IF(Situations!$C$16="","",(Situations!$O$16+Situations!$P$16+Situations!$S$16)-(Situations!$O$15+Situations!$P$15+Situations!$S$15))</f>
        <v>43653.13</v>
      </c>
      <c r="G41" s="27">
        <f>IF(Situations!$C$16="","",IF(Situations!$U$16="","",Situations!$U$16))</f>
        <v>38326</v>
      </c>
      <c r="H41" s="26">
        <f>IF(Situations!$C$16="","",IF(Situations!$Y$16="","",Situations!$Y$16))</f>
        <v>14400</v>
      </c>
      <c r="I41" s="26">
        <f>IF(Situations!$C$16="","",IF(Situations!$Z$16="","",Situations!$Z$16))</f>
        <v>23926</v>
      </c>
      <c r="J41" s="28">
        <f>IF(Situations!$C$16="","",IF(Situations!$AA$16="","",Situations!$AA$16))</f>
        <v>46604</v>
      </c>
      <c r="K41" s="28">
        <f>IF(Situations!$C$16="","",IF(Situations!$AB$16="","",Situations!$AB$16))</f>
        <v>46634</v>
      </c>
      <c r="L41" s="28">
        <f>IF(Situations!$C$16="","",IF(Situations!$AC$16="","",Situations!$AC$16))</f>
        <v>46631</v>
      </c>
      <c r="M41" s="29" t="str">
        <f>IF(Situations!$C$16="","",IF(Situations!$AF$16="","",Situations!$AF$16))</f>
        <v>Payé</v>
      </c>
    </row>
    <row r="42" spans="2:13" ht="18" customHeight="1" x14ac:dyDescent="0.25">
      <c r="B42" s="24">
        <f>IF(Situations!$C$17="","",IF(Situations!$B$17="","",Situations!$B$17))</f>
        <v>8</v>
      </c>
      <c r="C42" s="25">
        <f>IF(Situations!$C$17="","",IF(Situations!$C$17="","",Situations!$C$17))</f>
        <v>46600</v>
      </c>
      <c r="D42" s="26">
        <f>IF(Situations!$C$17="","",IF(Situations!$G$17="","",Situations!$G$17))</f>
        <v>46100</v>
      </c>
      <c r="E42" s="26">
        <f>IF(Situations!$C$17="","",IF(Situations!$J$17="","",Situations!$J$17))</f>
        <v>645.4</v>
      </c>
      <c r="F42" s="26">
        <f>IF(Situations!$C$17="","",(Situations!$O$17+Situations!$P$17+Situations!$S$17)-(Situations!$O$16+Situations!$P$16+Situations!$S$16))</f>
        <v>9715.679999999993</v>
      </c>
      <c r="G42" s="27">
        <f>IF(Situations!$C$17="","",IF(Situations!$U$17="","",Situations!$U$17))</f>
        <v>46378.79999999993</v>
      </c>
      <c r="H42" s="26">
        <f>IF(Situations!$C$17="","",IF(Situations!$Y$17="","",Situations!$Y$17))</f>
        <v>12000</v>
      </c>
      <c r="I42" s="26">
        <f>IF(Situations!$C$17="","",IF(Situations!$Z$17="","",Situations!$Z$17))</f>
        <v>34378.79999999993</v>
      </c>
      <c r="J42" s="28">
        <f>IF(Situations!$C$17="","",IF(Situations!$AA$17="","",Situations!$AA$17))</f>
        <v>46637</v>
      </c>
      <c r="K42" s="28">
        <f>IF(Situations!$C$17="","",IF(Situations!$AB$17="","",Situations!$AB$17))</f>
        <v>46667</v>
      </c>
      <c r="L42" s="28" t="str">
        <f>IF(Situations!$C$17="","",IF(Situations!$AC$17="","",Situations!$AC$17))</f>
        <v/>
      </c>
      <c r="M42" s="29" t="str">
        <f ca="1">IF(Situations!$C$17="","",IF(Situations!$AF$17="","",Situations!$AF$17))</f>
        <v>En attente</v>
      </c>
    </row>
    <row r="43" spans="2:13" ht="3" customHeight="1" x14ac:dyDescent="0.25">
      <c r="B43" s="24" t="str">
        <f>IF(Situations!$C$18="","",IF(Situations!$B$18="","",Situations!$B$18))</f>
        <v/>
      </c>
      <c r="C43" s="25" t="str">
        <f>IF(Situations!$C$18="","",IF(Situations!$C$18="","",Situations!$C$18))</f>
        <v/>
      </c>
      <c r="D43" s="26" t="str">
        <f>IF(Situations!$C$18="","",IF(Situations!$G$18="","",Situations!$G$18))</f>
        <v/>
      </c>
      <c r="E43" s="26" t="str">
        <f>IF(Situations!$C$18="","",IF(Situations!$J$18="","",Situations!$J$18))</f>
        <v/>
      </c>
      <c r="F43" s="26" t="str">
        <f>IF(Situations!$C$18="","",(Situations!$O$18+Situations!$P$18+Situations!$S$18)-(Situations!$O$17+Situations!$P$17+Situations!$S$17))</f>
        <v/>
      </c>
      <c r="G43" s="27" t="str">
        <f>IF(Situations!$C$18="","",IF(Situations!$U$18="","",Situations!$U$18))</f>
        <v/>
      </c>
      <c r="H43" s="26" t="str">
        <f>IF(Situations!$C$18="","",IF(Situations!$Y$18="","",Situations!$Y$18))</f>
        <v/>
      </c>
      <c r="I43" s="26" t="str">
        <f>IF(Situations!$C$18="","",IF(Situations!$Z$18="","",Situations!$Z$18))</f>
        <v/>
      </c>
      <c r="J43" s="28" t="str">
        <f>IF(Situations!$C$18="","",IF(Situations!$AA$18="","",Situations!$AA$18))</f>
        <v/>
      </c>
      <c r="K43" s="28" t="str">
        <f>IF(Situations!$C$18="","",IF(Situations!$AB$18="","",Situations!$AB$18))</f>
        <v/>
      </c>
      <c r="L43" s="28" t="str">
        <f>IF(Situations!$C$18="","",IF(Situations!$AC$18="","",Situations!$AC$18))</f>
        <v/>
      </c>
      <c r="M43" s="29" t="str">
        <f>IF(Situations!$C$18="","",IF(Situations!$AF$18="","",Situations!$AF$18))</f>
        <v/>
      </c>
    </row>
    <row r="44" spans="2:13" ht="3" customHeight="1" x14ac:dyDescent="0.25">
      <c r="B44" s="24" t="str">
        <f>IF(Situations!$C$19="","",IF(Situations!$B$19="","",Situations!$B$19))</f>
        <v/>
      </c>
      <c r="C44" s="25" t="str">
        <f>IF(Situations!$C$19="","",IF(Situations!$C$19="","",Situations!$C$19))</f>
        <v/>
      </c>
      <c r="D44" s="26" t="str">
        <f>IF(Situations!$C$19="","",IF(Situations!$G$19="","",Situations!$G$19))</f>
        <v/>
      </c>
      <c r="E44" s="26" t="str">
        <f>IF(Situations!$C$19="","",IF(Situations!$J$19="","",Situations!$J$19))</f>
        <v/>
      </c>
      <c r="F44" s="26" t="str">
        <f>IF(Situations!$C$19="","",(Situations!$O$19+Situations!$P$19+Situations!$S$19)-(Situations!$O$18+Situations!$P$18+Situations!$S$18))</f>
        <v/>
      </c>
      <c r="G44" s="27" t="str">
        <f>IF(Situations!$C$19="","",IF(Situations!$U$19="","",Situations!$U$19))</f>
        <v/>
      </c>
      <c r="H44" s="26" t="str">
        <f>IF(Situations!$C$19="","",IF(Situations!$Y$19="","",Situations!$Y$19))</f>
        <v/>
      </c>
      <c r="I44" s="26" t="str">
        <f>IF(Situations!$C$19="","",IF(Situations!$Z$19="","",Situations!$Z$19))</f>
        <v/>
      </c>
      <c r="J44" s="28" t="str">
        <f>IF(Situations!$C$19="","",IF(Situations!$AA$19="","",Situations!$AA$19))</f>
        <v/>
      </c>
      <c r="K44" s="28" t="str">
        <f>IF(Situations!$C$19="","",IF(Situations!$AB$19="","",Situations!$AB$19))</f>
        <v/>
      </c>
      <c r="L44" s="28" t="str">
        <f>IF(Situations!$C$19="","",IF(Situations!$AC$19="","",Situations!$AC$19))</f>
        <v/>
      </c>
      <c r="M44" s="29" t="str">
        <f>IF(Situations!$C$19="","",IF(Situations!$AF$19="","",Situations!$AF$19))</f>
        <v/>
      </c>
    </row>
    <row r="45" spans="2:13" ht="3" customHeight="1" x14ac:dyDescent="0.25">
      <c r="B45" s="24" t="str">
        <f>IF(Situations!$C$20="","",IF(Situations!$B$20="","",Situations!$B$20))</f>
        <v/>
      </c>
      <c r="C45" s="25" t="str">
        <f>IF(Situations!$C$20="","",IF(Situations!$C$20="","",Situations!$C$20))</f>
        <v/>
      </c>
      <c r="D45" s="26" t="str">
        <f>IF(Situations!$C$20="","",IF(Situations!$G$20="","",Situations!$G$20))</f>
        <v/>
      </c>
      <c r="E45" s="26" t="str">
        <f>IF(Situations!$C$20="","",IF(Situations!$J$20="","",Situations!$J$20))</f>
        <v/>
      </c>
      <c r="F45" s="26" t="str">
        <f>IF(Situations!$C$20="","",(Situations!$O$20+Situations!$P$20+Situations!$S$20)-(Situations!$O$19+Situations!$P$19+Situations!$S$19))</f>
        <v/>
      </c>
      <c r="G45" s="27" t="str">
        <f>IF(Situations!$C$20="","",IF(Situations!$U$20="","",Situations!$U$20))</f>
        <v/>
      </c>
      <c r="H45" s="26" t="str">
        <f>IF(Situations!$C$20="","",IF(Situations!$Y$20="","",Situations!$Y$20))</f>
        <v/>
      </c>
      <c r="I45" s="26" t="str">
        <f>IF(Situations!$C$20="","",IF(Situations!$Z$20="","",Situations!$Z$20))</f>
        <v/>
      </c>
      <c r="J45" s="28" t="str">
        <f>IF(Situations!$C$20="","",IF(Situations!$AA$20="","",Situations!$AA$20))</f>
        <v/>
      </c>
      <c r="K45" s="28" t="str">
        <f>IF(Situations!$C$20="","",IF(Situations!$AB$20="","",Situations!$AB$20))</f>
        <v/>
      </c>
      <c r="L45" s="28" t="str">
        <f>IF(Situations!$C$20="","",IF(Situations!$AC$20="","",Situations!$AC$20))</f>
        <v/>
      </c>
      <c r="M45" s="29" t="str">
        <f>IF(Situations!$C$20="","",IF(Situations!$AF$20="","",Situations!$AF$20))</f>
        <v/>
      </c>
    </row>
    <row r="46" spans="2:13" ht="3" customHeight="1" x14ac:dyDescent="0.25">
      <c r="B46" s="24" t="str">
        <f>IF(Situations!$C$21="","",IF(Situations!$B$21="","",Situations!$B$21))</f>
        <v/>
      </c>
      <c r="C46" s="25" t="str">
        <f>IF(Situations!$C$21="","",IF(Situations!$C$21="","",Situations!$C$21))</f>
        <v/>
      </c>
      <c r="D46" s="26" t="str">
        <f>IF(Situations!$C$21="","",IF(Situations!$G$21="","",Situations!$G$21))</f>
        <v/>
      </c>
      <c r="E46" s="26" t="str">
        <f>IF(Situations!$C$21="","",IF(Situations!$J$21="","",Situations!$J$21))</f>
        <v/>
      </c>
      <c r="F46" s="26" t="str">
        <f>IF(Situations!$C$21="","",(Situations!$O$21+Situations!$P$21+Situations!$S$21)-(Situations!$O$20+Situations!$P$20+Situations!$S$20))</f>
        <v/>
      </c>
      <c r="G46" s="27" t="str">
        <f>IF(Situations!$C$21="","",IF(Situations!$U$21="","",Situations!$U$21))</f>
        <v/>
      </c>
      <c r="H46" s="26" t="str">
        <f>IF(Situations!$C$21="","",IF(Situations!$Y$21="","",Situations!$Y$21))</f>
        <v/>
      </c>
      <c r="I46" s="26" t="str">
        <f>IF(Situations!$C$21="","",IF(Situations!$Z$21="","",Situations!$Z$21))</f>
        <v/>
      </c>
      <c r="J46" s="28" t="str">
        <f>IF(Situations!$C$21="","",IF(Situations!$AA$21="","",Situations!$AA$21))</f>
        <v/>
      </c>
      <c r="K46" s="28" t="str">
        <f>IF(Situations!$C$21="","",IF(Situations!$AB$21="","",Situations!$AB$21))</f>
        <v/>
      </c>
      <c r="L46" s="28" t="str">
        <f>IF(Situations!$C$21="","",IF(Situations!$AC$21="","",Situations!$AC$21))</f>
        <v/>
      </c>
      <c r="M46" s="29" t="str">
        <f>IF(Situations!$C$21="","",IF(Situations!$AF$21="","",Situations!$AF$21))</f>
        <v/>
      </c>
    </row>
    <row r="47" spans="2:13" ht="3" customHeight="1" x14ac:dyDescent="0.25">
      <c r="B47" s="24" t="str">
        <f>IF(Situations!$C$22="","",IF(Situations!$B$22="","",Situations!$B$22))</f>
        <v/>
      </c>
      <c r="C47" s="25" t="str">
        <f>IF(Situations!$C$22="","",IF(Situations!$C$22="","",Situations!$C$22))</f>
        <v/>
      </c>
      <c r="D47" s="26" t="str">
        <f>IF(Situations!$C$22="","",IF(Situations!$G$22="","",Situations!$G$22))</f>
        <v/>
      </c>
      <c r="E47" s="26" t="str">
        <f>IF(Situations!$C$22="","",IF(Situations!$J$22="","",Situations!$J$22))</f>
        <v/>
      </c>
      <c r="F47" s="26" t="str">
        <f>IF(Situations!$C$22="","",(Situations!$O$22+Situations!$P$22+Situations!$S$22)-(Situations!$O$21+Situations!$P$21+Situations!$S$21))</f>
        <v/>
      </c>
      <c r="G47" s="27" t="str">
        <f>IF(Situations!$C$22="","",IF(Situations!$U$22="","",Situations!$U$22))</f>
        <v/>
      </c>
      <c r="H47" s="26" t="str">
        <f>IF(Situations!$C$22="","",IF(Situations!$Y$22="","",Situations!$Y$22))</f>
        <v/>
      </c>
      <c r="I47" s="26" t="str">
        <f>IF(Situations!$C$22="","",IF(Situations!$Z$22="","",Situations!$Z$22))</f>
        <v/>
      </c>
      <c r="J47" s="28" t="str">
        <f>IF(Situations!$C$22="","",IF(Situations!$AA$22="","",Situations!$AA$22))</f>
        <v/>
      </c>
      <c r="K47" s="28" t="str">
        <f>IF(Situations!$C$22="","",IF(Situations!$AB$22="","",Situations!$AB$22))</f>
        <v/>
      </c>
      <c r="L47" s="28" t="str">
        <f>IF(Situations!$C$22="","",IF(Situations!$AC$22="","",Situations!$AC$22))</f>
        <v/>
      </c>
      <c r="M47" s="29" t="str">
        <f>IF(Situations!$C$22="","",IF(Situations!$AF$22="","",Situations!$AF$22))</f>
        <v/>
      </c>
    </row>
    <row r="48" spans="2:13" ht="3" customHeight="1" x14ac:dyDescent="0.25">
      <c r="B48" s="24" t="str">
        <f>IF(Situations!$C$23="","",IF(Situations!$B$23="","",Situations!$B$23))</f>
        <v/>
      </c>
      <c r="C48" s="25" t="str">
        <f>IF(Situations!$C$23="","",IF(Situations!$C$23="","",Situations!$C$23))</f>
        <v/>
      </c>
      <c r="D48" s="26" t="str">
        <f>IF(Situations!$C$23="","",IF(Situations!$G$23="","",Situations!$G$23))</f>
        <v/>
      </c>
      <c r="E48" s="26" t="str">
        <f>IF(Situations!$C$23="","",IF(Situations!$J$23="","",Situations!$J$23))</f>
        <v/>
      </c>
      <c r="F48" s="26" t="str">
        <f>IF(Situations!$C$23="","",(Situations!$O$23+Situations!$P$23+Situations!$S$23)-(Situations!$O$22+Situations!$P$22+Situations!$S$22))</f>
        <v/>
      </c>
      <c r="G48" s="27" t="str">
        <f>IF(Situations!$C$23="","",IF(Situations!$U$23="","",Situations!$U$23))</f>
        <v/>
      </c>
      <c r="H48" s="26" t="str">
        <f>IF(Situations!$C$23="","",IF(Situations!$Y$23="","",Situations!$Y$23))</f>
        <v/>
      </c>
      <c r="I48" s="26" t="str">
        <f>IF(Situations!$C$23="","",IF(Situations!$Z$23="","",Situations!$Z$23))</f>
        <v/>
      </c>
      <c r="J48" s="28" t="str">
        <f>IF(Situations!$C$23="","",IF(Situations!$AA$23="","",Situations!$AA$23))</f>
        <v/>
      </c>
      <c r="K48" s="28" t="str">
        <f>IF(Situations!$C$23="","",IF(Situations!$AB$23="","",Situations!$AB$23))</f>
        <v/>
      </c>
      <c r="L48" s="28" t="str">
        <f>IF(Situations!$C$23="","",IF(Situations!$AC$23="","",Situations!$AC$23))</f>
        <v/>
      </c>
      <c r="M48" s="29" t="str">
        <f>IF(Situations!$C$23="","",IF(Situations!$AF$23="","",Situations!$AF$23))</f>
        <v/>
      </c>
    </row>
    <row r="49" spans="2:13" ht="3" customHeight="1" x14ac:dyDescent="0.25">
      <c r="B49" s="24" t="str">
        <f>IF(Situations!$C$24="","",IF(Situations!$B$24="","",Situations!$B$24))</f>
        <v/>
      </c>
      <c r="C49" s="25" t="str">
        <f>IF(Situations!$C$24="","",IF(Situations!$C$24="","",Situations!$C$24))</f>
        <v/>
      </c>
      <c r="D49" s="26" t="str">
        <f>IF(Situations!$C$24="","",IF(Situations!$G$24="","",Situations!$G$24))</f>
        <v/>
      </c>
      <c r="E49" s="26" t="str">
        <f>IF(Situations!$C$24="","",IF(Situations!$J$24="","",Situations!$J$24))</f>
        <v/>
      </c>
      <c r="F49" s="26" t="str">
        <f>IF(Situations!$C$24="","",(Situations!$O$24+Situations!$P$24+Situations!$S$24)-(Situations!$O$23+Situations!$P$23+Situations!$S$23))</f>
        <v/>
      </c>
      <c r="G49" s="27" t="str">
        <f>IF(Situations!$C$24="","",IF(Situations!$U$24="","",Situations!$U$24))</f>
        <v/>
      </c>
      <c r="H49" s="26" t="str">
        <f>IF(Situations!$C$24="","",IF(Situations!$Y$24="","",Situations!$Y$24))</f>
        <v/>
      </c>
      <c r="I49" s="26" t="str">
        <f>IF(Situations!$C$24="","",IF(Situations!$Z$24="","",Situations!$Z$24))</f>
        <v/>
      </c>
      <c r="J49" s="28" t="str">
        <f>IF(Situations!$C$24="","",IF(Situations!$AA$24="","",Situations!$AA$24))</f>
        <v/>
      </c>
      <c r="K49" s="28" t="str">
        <f>IF(Situations!$C$24="","",IF(Situations!$AB$24="","",Situations!$AB$24))</f>
        <v/>
      </c>
      <c r="L49" s="28" t="str">
        <f>IF(Situations!$C$24="","",IF(Situations!$AC$24="","",Situations!$AC$24))</f>
        <v/>
      </c>
      <c r="M49" s="29" t="str">
        <f>IF(Situations!$C$24="","",IF(Situations!$AF$24="","",Situations!$AF$24))</f>
        <v/>
      </c>
    </row>
    <row r="50" spans="2:13" ht="3" customHeight="1" x14ac:dyDescent="0.25">
      <c r="B50" s="24" t="str">
        <f>IF(Situations!$C$25="","",IF(Situations!$B$25="","",Situations!$B$25))</f>
        <v/>
      </c>
      <c r="C50" s="25" t="str">
        <f>IF(Situations!$C$25="","",IF(Situations!$C$25="","",Situations!$C$25))</f>
        <v/>
      </c>
      <c r="D50" s="26" t="str">
        <f>IF(Situations!$C$25="","",IF(Situations!$G$25="","",Situations!$G$25))</f>
        <v/>
      </c>
      <c r="E50" s="26" t="str">
        <f>IF(Situations!$C$25="","",IF(Situations!$J$25="","",Situations!$J$25))</f>
        <v/>
      </c>
      <c r="F50" s="26" t="str">
        <f>IF(Situations!$C$25="","",(Situations!$O$25+Situations!$P$25+Situations!$S$25)-(Situations!$O$24+Situations!$P$24+Situations!$S$24))</f>
        <v/>
      </c>
      <c r="G50" s="27" t="str">
        <f>IF(Situations!$C$25="","",IF(Situations!$U$25="","",Situations!$U$25))</f>
        <v/>
      </c>
      <c r="H50" s="26" t="str">
        <f>IF(Situations!$C$25="","",IF(Situations!$Y$25="","",Situations!$Y$25))</f>
        <v/>
      </c>
      <c r="I50" s="26" t="str">
        <f>IF(Situations!$C$25="","",IF(Situations!$Z$25="","",Situations!$Z$25))</f>
        <v/>
      </c>
      <c r="J50" s="28" t="str">
        <f>IF(Situations!$C$25="","",IF(Situations!$AA$25="","",Situations!$AA$25))</f>
        <v/>
      </c>
      <c r="K50" s="28" t="str">
        <f>IF(Situations!$C$25="","",IF(Situations!$AB$25="","",Situations!$AB$25))</f>
        <v/>
      </c>
      <c r="L50" s="28" t="str">
        <f>IF(Situations!$C$25="","",IF(Situations!$AC$25="","",Situations!$AC$25))</f>
        <v/>
      </c>
      <c r="M50" s="29" t="str">
        <f>IF(Situations!$C$25="","",IF(Situations!$AF$25="","",Situations!$AF$25))</f>
        <v/>
      </c>
    </row>
    <row r="51" spans="2:13" ht="3" customHeight="1" x14ac:dyDescent="0.25">
      <c r="B51" s="24" t="str">
        <f>IF(Situations!$C$26="","",IF(Situations!$B$26="","",Situations!$B$26))</f>
        <v/>
      </c>
      <c r="C51" s="25" t="str">
        <f>IF(Situations!$C$26="","",IF(Situations!$C$26="","",Situations!$C$26))</f>
        <v/>
      </c>
      <c r="D51" s="26" t="str">
        <f>IF(Situations!$C$26="","",IF(Situations!$G$26="","",Situations!$G$26))</f>
        <v/>
      </c>
      <c r="E51" s="26" t="str">
        <f>IF(Situations!$C$26="","",IF(Situations!$J$26="","",Situations!$J$26))</f>
        <v/>
      </c>
      <c r="F51" s="26" t="str">
        <f>IF(Situations!$C$26="","",(Situations!$O$26+Situations!$P$26+Situations!$S$26)-(Situations!$O$25+Situations!$P$25+Situations!$S$25))</f>
        <v/>
      </c>
      <c r="G51" s="27" t="str">
        <f>IF(Situations!$C$26="","",IF(Situations!$U$26="","",Situations!$U$26))</f>
        <v/>
      </c>
      <c r="H51" s="26" t="str">
        <f>IF(Situations!$C$26="","",IF(Situations!$Y$26="","",Situations!$Y$26))</f>
        <v/>
      </c>
      <c r="I51" s="26" t="str">
        <f>IF(Situations!$C$26="","",IF(Situations!$Z$26="","",Situations!$Z$26))</f>
        <v/>
      </c>
      <c r="J51" s="28" t="str">
        <f>IF(Situations!$C$26="","",IF(Situations!$AA$26="","",Situations!$AA$26))</f>
        <v/>
      </c>
      <c r="K51" s="28" t="str">
        <f>IF(Situations!$C$26="","",IF(Situations!$AB$26="","",Situations!$AB$26))</f>
        <v/>
      </c>
      <c r="L51" s="28" t="str">
        <f>IF(Situations!$C$26="","",IF(Situations!$AC$26="","",Situations!$AC$26))</f>
        <v/>
      </c>
      <c r="M51" s="29" t="str">
        <f>IF(Situations!$C$26="","",IF(Situations!$AF$26="","",Situations!$AF$26))</f>
        <v/>
      </c>
    </row>
    <row r="52" spans="2:13" ht="3" customHeight="1" x14ac:dyDescent="0.25">
      <c r="B52" s="24" t="str">
        <f>IF(Situations!$C$27="","",IF(Situations!$B$27="","",Situations!$B$27))</f>
        <v/>
      </c>
      <c r="C52" s="25" t="str">
        <f>IF(Situations!$C$27="","",IF(Situations!$C$27="","",Situations!$C$27))</f>
        <v/>
      </c>
      <c r="D52" s="26" t="str">
        <f>IF(Situations!$C$27="","",IF(Situations!$G$27="","",Situations!$G$27))</f>
        <v/>
      </c>
      <c r="E52" s="26" t="str">
        <f>IF(Situations!$C$27="","",IF(Situations!$J$27="","",Situations!$J$27))</f>
        <v/>
      </c>
      <c r="F52" s="26" t="str">
        <f>IF(Situations!$C$27="","",(Situations!$O$27+Situations!$P$27+Situations!$S$27)-(Situations!$O$26+Situations!$P$26+Situations!$S$26))</f>
        <v/>
      </c>
      <c r="G52" s="27" t="str">
        <f>IF(Situations!$C$27="","",IF(Situations!$U$27="","",Situations!$U$27))</f>
        <v/>
      </c>
      <c r="H52" s="26" t="str">
        <f>IF(Situations!$C$27="","",IF(Situations!$Y$27="","",Situations!$Y$27))</f>
        <v/>
      </c>
      <c r="I52" s="26" t="str">
        <f>IF(Situations!$C$27="","",IF(Situations!$Z$27="","",Situations!$Z$27))</f>
        <v/>
      </c>
      <c r="J52" s="28" t="str">
        <f>IF(Situations!$C$27="","",IF(Situations!$AA$27="","",Situations!$AA$27))</f>
        <v/>
      </c>
      <c r="K52" s="28" t="str">
        <f>IF(Situations!$C$27="","",IF(Situations!$AB$27="","",Situations!$AB$27))</f>
        <v/>
      </c>
      <c r="L52" s="28" t="str">
        <f>IF(Situations!$C$27="","",IF(Situations!$AC$27="","",Situations!$AC$27))</f>
        <v/>
      </c>
      <c r="M52" s="29" t="str">
        <f>IF(Situations!$C$27="","",IF(Situations!$AF$27="","",Situations!$AF$27))</f>
        <v/>
      </c>
    </row>
    <row r="53" spans="2:13" ht="3" customHeight="1" x14ac:dyDescent="0.25">
      <c r="B53" s="24" t="str">
        <f>IF(Situations!$C$28="","",IF(Situations!$B$28="","",Situations!$B$28))</f>
        <v/>
      </c>
      <c r="C53" s="25" t="str">
        <f>IF(Situations!$C$28="","",IF(Situations!$C$28="","",Situations!$C$28))</f>
        <v/>
      </c>
      <c r="D53" s="26" t="str">
        <f>IF(Situations!$C$28="","",IF(Situations!$G$28="","",Situations!$G$28))</f>
        <v/>
      </c>
      <c r="E53" s="26" t="str">
        <f>IF(Situations!$C$28="","",IF(Situations!$J$28="","",Situations!$J$28))</f>
        <v/>
      </c>
      <c r="F53" s="26" t="str">
        <f>IF(Situations!$C$28="","",(Situations!$O$28+Situations!$P$28+Situations!$S$28)-(Situations!$O$27+Situations!$P$27+Situations!$S$27))</f>
        <v/>
      </c>
      <c r="G53" s="27" t="str">
        <f>IF(Situations!$C$28="","",IF(Situations!$U$28="","",Situations!$U$28))</f>
        <v/>
      </c>
      <c r="H53" s="26" t="str">
        <f>IF(Situations!$C$28="","",IF(Situations!$Y$28="","",Situations!$Y$28))</f>
        <v/>
      </c>
      <c r="I53" s="26" t="str">
        <f>IF(Situations!$C$28="","",IF(Situations!$Z$28="","",Situations!$Z$28))</f>
        <v/>
      </c>
      <c r="J53" s="28" t="str">
        <f>IF(Situations!$C$28="","",IF(Situations!$AA$28="","",Situations!$AA$28))</f>
        <v/>
      </c>
      <c r="K53" s="28" t="str">
        <f>IF(Situations!$C$28="","",IF(Situations!$AB$28="","",Situations!$AB$28))</f>
        <v/>
      </c>
      <c r="L53" s="28" t="str">
        <f>IF(Situations!$C$28="","",IF(Situations!$AC$28="","",Situations!$AC$28))</f>
        <v/>
      </c>
      <c r="M53" s="29" t="str">
        <f>IF(Situations!$C$28="","",IF(Situations!$AF$28="","",Situations!$AF$28))</f>
        <v/>
      </c>
    </row>
    <row r="54" spans="2:13" ht="3" customHeight="1" x14ac:dyDescent="0.25">
      <c r="B54" s="24" t="str">
        <f>IF(Situations!$C$29="","",IF(Situations!$B$29="","",Situations!$B$29))</f>
        <v/>
      </c>
      <c r="C54" s="25" t="str">
        <f>IF(Situations!$C$29="","",IF(Situations!$C$29="","",Situations!$C$29))</f>
        <v/>
      </c>
      <c r="D54" s="26" t="str">
        <f>IF(Situations!$C$29="","",IF(Situations!$G$29="","",Situations!$G$29))</f>
        <v/>
      </c>
      <c r="E54" s="26" t="str">
        <f>IF(Situations!$C$29="","",IF(Situations!$J$29="","",Situations!$J$29))</f>
        <v/>
      </c>
      <c r="F54" s="26" t="str">
        <f>IF(Situations!$C$29="","",(Situations!$O$29+Situations!$P$29+Situations!$S$29)-(Situations!$O$28+Situations!$P$28+Situations!$S$28))</f>
        <v/>
      </c>
      <c r="G54" s="27" t="str">
        <f>IF(Situations!$C$29="","",IF(Situations!$U$29="","",Situations!$U$29))</f>
        <v/>
      </c>
      <c r="H54" s="26" t="str">
        <f>IF(Situations!$C$29="","",IF(Situations!$Y$29="","",Situations!$Y$29))</f>
        <v/>
      </c>
      <c r="I54" s="26" t="str">
        <f>IF(Situations!$C$29="","",IF(Situations!$Z$29="","",Situations!$Z$29))</f>
        <v/>
      </c>
      <c r="J54" s="28" t="str">
        <f>IF(Situations!$C$29="","",IF(Situations!$AA$29="","",Situations!$AA$29))</f>
        <v/>
      </c>
      <c r="K54" s="28" t="str">
        <f>IF(Situations!$C$29="","",IF(Situations!$AB$29="","",Situations!$AB$29))</f>
        <v/>
      </c>
      <c r="L54" s="28" t="str">
        <f>IF(Situations!$C$29="","",IF(Situations!$AC$29="","",Situations!$AC$29))</f>
        <v/>
      </c>
      <c r="M54" s="29" t="str">
        <f>IF(Situations!$C$29="","",IF(Situations!$AF$29="","",Situations!$AF$29))</f>
        <v/>
      </c>
    </row>
    <row r="55" spans="2:13" ht="3" customHeight="1" x14ac:dyDescent="0.25">
      <c r="B55" s="24" t="str">
        <f>IF(Situations!$C$30="","",IF(Situations!$B$30="","",Situations!$B$30))</f>
        <v/>
      </c>
      <c r="C55" s="25" t="str">
        <f>IF(Situations!$C$30="","",IF(Situations!$C$30="","",Situations!$C$30))</f>
        <v/>
      </c>
      <c r="D55" s="26" t="str">
        <f>IF(Situations!$C$30="","",IF(Situations!$G$30="","",Situations!$G$30))</f>
        <v/>
      </c>
      <c r="E55" s="26" t="str">
        <f>IF(Situations!$C$30="","",IF(Situations!$J$30="","",Situations!$J$30))</f>
        <v/>
      </c>
      <c r="F55" s="26" t="str">
        <f>IF(Situations!$C$30="","",(Situations!$O$30+Situations!$P$30+Situations!$S$30)-(Situations!$O$29+Situations!$P$29+Situations!$S$29))</f>
        <v/>
      </c>
      <c r="G55" s="27" t="str">
        <f>IF(Situations!$C$30="","",IF(Situations!$U$30="","",Situations!$U$30))</f>
        <v/>
      </c>
      <c r="H55" s="26" t="str">
        <f>IF(Situations!$C$30="","",IF(Situations!$Y$30="","",Situations!$Y$30))</f>
        <v/>
      </c>
      <c r="I55" s="26" t="str">
        <f>IF(Situations!$C$30="","",IF(Situations!$Z$30="","",Situations!$Z$30))</f>
        <v/>
      </c>
      <c r="J55" s="28" t="str">
        <f>IF(Situations!$C$30="","",IF(Situations!$AA$30="","",Situations!$AA$30))</f>
        <v/>
      </c>
      <c r="K55" s="28" t="str">
        <f>IF(Situations!$C$30="","",IF(Situations!$AB$30="","",Situations!$AB$30))</f>
        <v/>
      </c>
      <c r="L55" s="28" t="str">
        <f>IF(Situations!$C$30="","",IF(Situations!$AC$30="","",Situations!$AC$30))</f>
        <v/>
      </c>
      <c r="M55" s="29" t="str">
        <f>IF(Situations!$C$30="","",IF(Situations!$AF$30="","",Situations!$AF$30))</f>
        <v/>
      </c>
    </row>
    <row r="56" spans="2:13" ht="3" customHeight="1" x14ac:dyDescent="0.25">
      <c r="B56" s="24" t="str">
        <f>IF(Situations!$C$31="","",IF(Situations!$B$31="","",Situations!$B$31))</f>
        <v/>
      </c>
      <c r="C56" s="25" t="str">
        <f>IF(Situations!$C$31="","",IF(Situations!$C$31="","",Situations!$C$31))</f>
        <v/>
      </c>
      <c r="D56" s="26" t="str">
        <f>IF(Situations!$C$31="","",IF(Situations!$G$31="","",Situations!$G$31))</f>
        <v/>
      </c>
      <c r="E56" s="26" t="str">
        <f>IF(Situations!$C$31="","",IF(Situations!$J$31="","",Situations!$J$31))</f>
        <v/>
      </c>
      <c r="F56" s="26" t="str">
        <f>IF(Situations!$C$31="","",(Situations!$O$31+Situations!$P$31+Situations!$S$31)-(Situations!$O$30+Situations!$P$30+Situations!$S$30))</f>
        <v/>
      </c>
      <c r="G56" s="27" t="str">
        <f>IF(Situations!$C$31="","",IF(Situations!$U$31="","",Situations!$U$31))</f>
        <v/>
      </c>
      <c r="H56" s="26" t="str">
        <f>IF(Situations!$C$31="","",IF(Situations!$Y$31="","",Situations!$Y$31))</f>
        <v/>
      </c>
      <c r="I56" s="26" t="str">
        <f>IF(Situations!$C$31="","",IF(Situations!$Z$31="","",Situations!$Z$31))</f>
        <v/>
      </c>
      <c r="J56" s="28" t="str">
        <f>IF(Situations!$C$31="","",IF(Situations!$AA$31="","",Situations!$AA$31))</f>
        <v/>
      </c>
      <c r="K56" s="28" t="str">
        <f>IF(Situations!$C$31="","",IF(Situations!$AB$31="","",Situations!$AB$31))</f>
        <v/>
      </c>
      <c r="L56" s="28" t="str">
        <f>IF(Situations!$C$31="","",IF(Situations!$AC$31="","",Situations!$AC$31))</f>
        <v/>
      </c>
      <c r="M56" s="29" t="str">
        <f>IF(Situations!$C$31="","",IF(Situations!$AF$31="","",Situations!$AF$31))</f>
        <v/>
      </c>
    </row>
    <row r="57" spans="2:13" ht="3" customHeight="1" x14ac:dyDescent="0.25">
      <c r="B57" s="24" t="str">
        <f>IF(Situations!$C$32="","",IF(Situations!$B$32="","",Situations!$B$32))</f>
        <v/>
      </c>
      <c r="C57" s="25" t="str">
        <f>IF(Situations!$C$32="","",IF(Situations!$C$32="","",Situations!$C$32))</f>
        <v/>
      </c>
      <c r="D57" s="26" t="str">
        <f>IF(Situations!$C$32="","",IF(Situations!$G$32="","",Situations!$G$32))</f>
        <v/>
      </c>
      <c r="E57" s="26" t="str">
        <f>IF(Situations!$C$32="","",IF(Situations!$J$32="","",Situations!$J$32))</f>
        <v/>
      </c>
      <c r="F57" s="26" t="str">
        <f>IF(Situations!$C$32="","",(Situations!$O$32+Situations!$P$32+Situations!$S$32)-(Situations!$O$31+Situations!$P$31+Situations!$S$31))</f>
        <v/>
      </c>
      <c r="G57" s="27" t="str">
        <f>IF(Situations!$C$32="","",IF(Situations!$U$32="","",Situations!$U$32))</f>
        <v/>
      </c>
      <c r="H57" s="26" t="str">
        <f>IF(Situations!$C$32="","",IF(Situations!$Y$32="","",Situations!$Y$32))</f>
        <v/>
      </c>
      <c r="I57" s="26" t="str">
        <f>IF(Situations!$C$32="","",IF(Situations!$Z$32="","",Situations!$Z$32))</f>
        <v/>
      </c>
      <c r="J57" s="28" t="str">
        <f>IF(Situations!$C$32="","",IF(Situations!$AA$32="","",Situations!$AA$32))</f>
        <v/>
      </c>
      <c r="K57" s="28" t="str">
        <f>IF(Situations!$C$32="","",IF(Situations!$AB$32="","",Situations!$AB$32))</f>
        <v/>
      </c>
      <c r="L57" s="28" t="str">
        <f>IF(Situations!$C$32="","",IF(Situations!$AC$32="","",Situations!$AC$32))</f>
        <v/>
      </c>
      <c r="M57" s="29" t="str">
        <f>IF(Situations!$C$32="","",IF(Situations!$AF$32="","",Situations!$AF$32))</f>
        <v/>
      </c>
    </row>
    <row r="58" spans="2:13" ht="3" customHeight="1" x14ac:dyDescent="0.25">
      <c r="B58" s="24" t="str">
        <f>IF(Situations!$C$33="","",IF(Situations!$B$33="","",Situations!$B$33))</f>
        <v/>
      </c>
      <c r="C58" s="25" t="str">
        <f>IF(Situations!$C$33="","",IF(Situations!$C$33="","",Situations!$C$33))</f>
        <v/>
      </c>
      <c r="D58" s="26" t="str">
        <f>IF(Situations!$C$33="","",IF(Situations!$G$33="","",Situations!$G$33))</f>
        <v/>
      </c>
      <c r="E58" s="26" t="str">
        <f>IF(Situations!$C$33="","",IF(Situations!$J$33="","",Situations!$J$33))</f>
        <v/>
      </c>
      <c r="F58" s="26" t="str">
        <f>IF(Situations!$C$33="","",(Situations!$O$33+Situations!$P$33+Situations!$S$33)-(Situations!$O$32+Situations!$P$32+Situations!$S$32))</f>
        <v/>
      </c>
      <c r="G58" s="27" t="str">
        <f>IF(Situations!$C$33="","",IF(Situations!$U$33="","",Situations!$U$33))</f>
        <v/>
      </c>
      <c r="H58" s="26" t="str">
        <f>IF(Situations!$C$33="","",IF(Situations!$Y$33="","",Situations!$Y$33))</f>
        <v/>
      </c>
      <c r="I58" s="26" t="str">
        <f>IF(Situations!$C$33="","",IF(Situations!$Z$33="","",Situations!$Z$33))</f>
        <v/>
      </c>
      <c r="J58" s="28" t="str">
        <f>IF(Situations!$C$33="","",IF(Situations!$AA$33="","",Situations!$AA$33))</f>
        <v/>
      </c>
      <c r="K58" s="28" t="str">
        <f>IF(Situations!$C$33="","",IF(Situations!$AB$33="","",Situations!$AB$33))</f>
        <v/>
      </c>
      <c r="L58" s="28" t="str">
        <f>IF(Situations!$C$33="","",IF(Situations!$AC$33="","",Situations!$AC$33))</f>
        <v/>
      </c>
      <c r="M58" s="29" t="str">
        <f>IF(Situations!$C$33="","",IF(Situations!$AF$33="","",Situations!$AF$33))</f>
        <v/>
      </c>
    </row>
    <row r="59" spans="2:13" ht="21" customHeight="1" x14ac:dyDescent="0.25">
      <c r="B59" s="129" t="s">
        <v>42</v>
      </c>
      <c r="C59" s="130"/>
      <c r="D59" s="31">
        <f t="shared" ref="D59:I59" si="1">SUM(D35:D58)</f>
        <v>363357.5</v>
      </c>
      <c r="E59" s="31">
        <f t="shared" si="1"/>
        <v>4587.9799999999996</v>
      </c>
      <c r="F59" s="31">
        <f t="shared" si="1"/>
        <v>68365.209999999992</v>
      </c>
      <c r="G59" s="31">
        <f t="shared" si="1"/>
        <v>373169.36999999994</v>
      </c>
      <c r="H59" s="31">
        <f t="shared" si="1"/>
        <v>43300</v>
      </c>
      <c r="I59" s="31">
        <f t="shared" si="1"/>
        <v>329869.36999999994</v>
      </c>
      <c r="J59" s="32"/>
      <c r="K59" s="32"/>
      <c r="L59" s="32"/>
      <c r="M59" s="33"/>
    </row>
    <row r="60" spans="2:13" x14ac:dyDescent="0.25">
      <c r="B60" s="131" t="s">
        <v>43</v>
      </c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3"/>
    </row>
  </sheetData>
  <mergeCells count="44">
    <mergeCell ref="H6:J6"/>
    <mergeCell ref="B3:H3"/>
    <mergeCell ref="E7:G7"/>
    <mergeCell ref="K7:M7"/>
    <mergeCell ref="B6:D6"/>
    <mergeCell ref="I19:K19"/>
    <mergeCell ref="I3:M3"/>
    <mergeCell ref="K10:M10"/>
    <mergeCell ref="K6:M6"/>
    <mergeCell ref="H8:J8"/>
    <mergeCell ref="E12:G12"/>
    <mergeCell ref="I14:M14"/>
    <mergeCell ref="B7:D7"/>
    <mergeCell ref="I15:K15"/>
    <mergeCell ref="B14:H14"/>
    <mergeCell ref="H10:J10"/>
    <mergeCell ref="E8:G8"/>
    <mergeCell ref="B60:M60"/>
    <mergeCell ref="B8:D8"/>
    <mergeCell ref="I2:M2"/>
    <mergeCell ref="I18:K18"/>
    <mergeCell ref="K12:M12"/>
    <mergeCell ref="I21:K21"/>
    <mergeCell ref="H11:J11"/>
    <mergeCell ref="H7:J7"/>
    <mergeCell ref="E6:G6"/>
    <mergeCell ref="B10:D10"/>
    <mergeCell ref="K8:M8"/>
    <mergeCell ref="I24:K24"/>
    <mergeCell ref="E11:G11"/>
    <mergeCell ref="I23:K23"/>
    <mergeCell ref="I17:K17"/>
    <mergeCell ref="H12:J12"/>
    <mergeCell ref="B11:D11"/>
    <mergeCell ref="E10:G10"/>
    <mergeCell ref="I16:K16"/>
    <mergeCell ref="I22:K22"/>
    <mergeCell ref="B59:C59"/>
    <mergeCell ref="I20:K20"/>
    <mergeCell ref="B33:M33"/>
    <mergeCell ref="I27:M30"/>
    <mergeCell ref="B12:D12"/>
    <mergeCell ref="K11:M11"/>
    <mergeCell ref="I25:K25"/>
  </mergeCells>
  <conditionalFormatting sqref="B35:M58">
    <cfRule type="expression" dxfId="33" priority="8">
      <formula>$B35=EtatChoisi</formula>
    </cfRule>
    <cfRule type="expression" dxfId="32" priority="9">
      <formula>AND($B35&lt;&gt;"",MOD(ROW(),2)=0)</formula>
    </cfRule>
    <cfRule type="expression" dxfId="31" priority="10">
      <formula>$B35&lt;&gt;""</formula>
    </cfRule>
  </conditionalFormatting>
  <conditionalFormatting sqref="M16:M25">
    <cfRule type="expression" dxfId="30" priority="1" stopIfTrue="1">
      <formula>$M16="Non conforme"</formula>
    </cfRule>
    <cfRule type="expression" dxfId="29" priority="2" stopIfTrue="1">
      <formula>$M16="À vérifier"</formula>
    </cfRule>
    <cfRule type="expression" dxfId="28" priority="3" stopIfTrue="1">
      <formula>$M16="Conforme"</formula>
    </cfRule>
    <cfRule type="expression" dxfId="27" priority="4" stopIfTrue="1">
      <formula>$M16="Information"</formula>
    </cfRule>
  </conditionalFormatting>
  <conditionalFormatting sqref="M35:M58">
    <cfRule type="expression" dxfId="26" priority="5" stopIfTrue="1">
      <formula>$M35="Échu – non payé"</formula>
    </cfRule>
    <cfRule type="expression" dxfId="25" priority="6" stopIfTrue="1">
      <formula>OR($M35="En attente",$M35="Demande à transmettre",$M35="Payé en retard")</formula>
    </cfRule>
    <cfRule type="expression" dxfId="24" priority="7" stopIfTrue="1">
      <formula>$M35="Payé"</formula>
    </cfRule>
  </conditionalFormatting>
  <printOptions horizontalCentered="1"/>
  <pageMargins left="0.4" right="0.4" top="0.45" bottom="0.55000000000000004" header="0.5" footer="0.5"/>
  <pageSetup paperSize="9" orientation="landscape"/>
  <headerFooter>
    <oddFooter>&amp;L&amp;8 &amp;K8A91A0État d'acompte – &amp;A&amp;R&amp;8 &amp;K8A91A0Page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8512F"/>
    <pageSetUpPr fitToPage="1"/>
  </sheetPr>
  <dimension ref="A1:H61"/>
  <sheetViews>
    <sheetView showGridLines="0" workbookViewId="0"/>
  </sheetViews>
  <sheetFormatPr baseColWidth="10" defaultColWidth="9.140625" defaultRowHeight="15" x14ac:dyDescent="0.25"/>
  <cols>
    <col min="1" max="1" width="2" customWidth="1"/>
    <col min="2" max="2" width="5" customWidth="1"/>
    <col min="3" max="3" width="46" customWidth="1"/>
    <col min="4" max="6" width="17" customWidth="1"/>
    <col min="7" max="7" width="2" customWidth="1"/>
    <col min="8" max="8" width="8" hidden="1" customWidth="1"/>
  </cols>
  <sheetData>
    <row r="1" spans="1:8" ht="6" customHeight="1" x14ac:dyDescent="0.25">
      <c r="A1" s="1"/>
      <c r="B1" s="1"/>
      <c r="C1" s="1"/>
      <c r="D1" s="1"/>
      <c r="E1" s="1"/>
      <c r="F1" s="1"/>
      <c r="G1" s="1"/>
    </row>
    <row r="2" spans="1:8" ht="32.1" customHeight="1" x14ac:dyDescent="0.35">
      <c r="B2" s="171" t="s">
        <v>44</v>
      </c>
      <c r="C2" s="138"/>
      <c r="D2" s="157" t="str">
        <f>"N° "&amp;$H$6&amp;"  ·  "&amp;CHOOSE(MONTH(INDEX(Situations!$C$10:$C$33,$H$6)),"janvier","février","mars","avril","mai","juin","juillet","août","septembre","octobre","novembre","décembre")&amp;" "&amp;YEAR(INDEX(Situations!$C$10:$C$33,$H$6))</f>
        <v>N° 8  ·  août 2027</v>
      </c>
      <c r="E2" s="138"/>
      <c r="F2" s="138"/>
    </row>
    <row r="3" spans="1:8" ht="20.100000000000001" customHeight="1" x14ac:dyDescent="0.25">
      <c r="B3" s="141" t="str">
        <f>"Décompte établi selon le marché et le "&amp;CCAG</f>
        <v>Décompte établi selon le marché et le CCAG Travaux 2021</v>
      </c>
      <c r="C3" s="138"/>
      <c r="D3" s="173" t="str">
        <f>"Période du "&amp;RIGHT("0"&amp;DAY(INDEX(Situations!$C$10:$C$33,$H$6)),2)&amp;"/"&amp;RIGHT("0"&amp;MONTH(INDEX(Situations!$C$10:$C$33,$H$6)),2)&amp;"/"&amp;YEAR(INDEX(Situations!$C$10:$C$33,$H$6))&amp;" au "&amp;RIGHT("0"&amp;DAY(INDEX(Situations!$D$10:$D$33,$H$6)),2)&amp;"/"&amp;RIGHT("0"&amp;MONTH(INDEX(Situations!$D$10:$D$33,$H$6)),2)&amp;"/"&amp;YEAR(INDEX(Situations!$D$10:$D$33,$H$6))</f>
        <v>Période du 01/08/2027 au 31/08/2027</v>
      </c>
      <c r="E3" s="138"/>
      <c r="F3" s="138"/>
    </row>
    <row r="4" spans="1:8" ht="3.95" customHeight="1" x14ac:dyDescent="0.25">
      <c r="A4" s="4"/>
      <c r="B4" s="4"/>
      <c r="C4" s="4"/>
      <c r="D4" s="4"/>
      <c r="E4" s="4"/>
      <c r="F4" s="4"/>
      <c r="G4" s="4"/>
    </row>
    <row r="5" spans="1:8" ht="8.1" customHeight="1" x14ac:dyDescent="0.25"/>
    <row r="6" spans="1:8" ht="26.1" customHeight="1" x14ac:dyDescent="0.25">
      <c r="C6" s="34" t="s">
        <v>45</v>
      </c>
      <c r="D6" s="35">
        <v>8</v>
      </c>
      <c r="E6" s="177" t="s">
        <v>46</v>
      </c>
      <c r="F6" s="138"/>
      <c r="H6" s="36">
        <f>IF(AND(ISNUMBER(D6),D6&gt;=1,D6&lt;=NbSit),D6,MAX(1,NbSit))</f>
        <v>8</v>
      </c>
    </row>
    <row r="7" spans="1:8" ht="9.9499999999999993" customHeight="1" x14ac:dyDescent="0.25"/>
    <row r="8" spans="1:8" ht="24" customHeight="1" x14ac:dyDescent="0.25">
      <c r="B8" s="37" t="s">
        <v>47</v>
      </c>
      <c r="C8" s="38" t="s">
        <v>48</v>
      </c>
      <c r="D8" s="4"/>
      <c r="E8" s="4"/>
      <c r="F8" s="4"/>
    </row>
    <row r="9" spans="1:8" ht="18.95" customHeight="1" x14ac:dyDescent="0.25">
      <c r="C9" s="39" t="s">
        <v>49</v>
      </c>
      <c r="D9" s="158" t="str">
        <f>Acheteur&amp;"  ·  "&amp;Representant</f>
        <v>Commune de Val-Fleuri  ·  Le Maire, par délégation</v>
      </c>
      <c r="E9" s="159"/>
      <c r="F9" s="159"/>
    </row>
    <row r="10" spans="1:8" ht="18.95" customHeight="1" x14ac:dyDescent="0.25">
      <c r="C10" s="39" t="s">
        <v>50</v>
      </c>
      <c r="D10" s="158" t="str">
        <f>MaitreOeuvre</f>
        <v>Atelier Lignes &amp; Volumes – architectes</v>
      </c>
      <c r="E10" s="159"/>
      <c r="F10" s="159"/>
    </row>
    <row r="11" spans="1:8" ht="18.95" customHeight="1" x14ac:dyDescent="0.25">
      <c r="C11" s="39" t="s">
        <v>51</v>
      </c>
      <c r="D11" s="158" t="str">
        <f>Titulaire&amp;"  ·  SIRET "&amp;SiretTitulaire</f>
        <v>Menuiseries Durand &amp; Associés SAS  ·  SIRET 999 111 333 00045</v>
      </c>
      <c r="E11" s="159"/>
      <c r="F11" s="159"/>
    </row>
    <row r="12" spans="1:8" ht="18.95" customHeight="1" x14ac:dyDescent="0.25">
      <c r="C12" s="39" t="s">
        <v>52</v>
      </c>
      <c r="D12" s="158" t="str">
        <f>"N° "&amp;NumMarche&amp;"  ·  "&amp;Lot&amp;"  ·  notifié le "&amp;RIGHT("0"&amp;DAY(DateNotif),2)&amp;"/"&amp;RIGHT("0"&amp;MONTH(DateNotif),2)&amp;"/"&amp;YEAR(DateNotif)</f>
        <v>N° 2026-TRX-014  ·  Lot 03 – Menuiseries extérieures  ·  notifié le 15/12/2026</v>
      </c>
      <c r="E12" s="159"/>
      <c r="F12" s="159"/>
    </row>
    <row r="13" spans="1:8" ht="18.95" customHeight="1" x14ac:dyDescent="0.25">
      <c r="C13" s="39" t="s">
        <v>53</v>
      </c>
      <c r="D13" s="158" t="str">
        <f>ObjetMarche</f>
        <v>Réhabilitation énergétique du groupe scolaire des Tilleuls</v>
      </c>
      <c r="E13" s="159"/>
      <c r="F13" s="159"/>
    </row>
    <row r="14" spans="1:8" ht="18.95" customHeight="1" x14ac:dyDescent="0.25">
      <c r="C14" s="39" t="s">
        <v>18</v>
      </c>
      <c r="D14" s="158" t="str">
        <f>FIXED(MontantHT,2)&amp;" € HT  ·  "&amp;FIXED(MontantTTC,2)&amp;" € TTC  (dont avenants : "&amp;FIXED(MontantAvenants,2)&amp;" € HT)"</f>
        <v>406.400,00 € HT  ·  487.680,00 € TTC  (dont avenants : 27.400,00 € HT)</v>
      </c>
      <c r="E14" s="159"/>
      <c r="F14" s="159"/>
    </row>
    <row r="15" spans="1:8" ht="18.95" customHeight="1" x14ac:dyDescent="0.25">
      <c r="C15" s="39" t="s">
        <v>54</v>
      </c>
      <c r="D15" s="158" t="str">
        <f>FormePrix&amp;IF(FormePrix="Prix révisables","  ·  mois zéro : "&amp;CHOOSE(MONTH(MoisZero),"janvier","février","mars","avril","mai","juin","juillet","août","septembre","octobre","novembre","décembre")&amp;" "&amp;YEAR(MoisZero),"")</f>
        <v>Prix révisables  ·  mois zéro : octobre 2026</v>
      </c>
      <c r="E15" s="159"/>
      <c r="F15" s="159"/>
    </row>
    <row r="16" spans="1:8" ht="18.95" customHeight="1" x14ac:dyDescent="0.25">
      <c r="C16" s="39" t="s">
        <v>55</v>
      </c>
      <c r="D16" s="158" t="str">
        <f>NumEJ&amp;"  ·  "&amp;Comptable</f>
        <v>EJ-2027-00458  ·  Service de gestion comptable de Val-Fleuri</v>
      </c>
      <c r="E16" s="159"/>
      <c r="F16" s="159"/>
    </row>
    <row r="18" spans="2:6" ht="24" customHeight="1" x14ac:dyDescent="0.25">
      <c r="B18" s="37" t="s">
        <v>56</v>
      </c>
      <c r="C18" s="38" t="s">
        <v>57</v>
      </c>
      <c r="D18" s="4"/>
      <c r="E18" s="4"/>
      <c r="F18" s="4"/>
    </row>
    <row r="19" spans="2:6" ht="20.100000000000001" customHeight="1" x14ac:dyDescent="0.25">
      <c r="C19" s="40" t="s">
        <v>58</v>
      </c>
      <c r="D19" s="41" t="s">
        <v>59</v>
      </c>
      <c r="E19" s="41" t="s">
        <v>60</v>
      </c>
      <c r="F19" s="41" t="s">
        <v>61</v>
      </c>
    </row>
    <row r="20" spans="2:6" ht="20.100000000000001" customHeight="1" x14ac:dyDescent="0.25">
      <c r="C20" s="42" t="s">
        <v>62</v>
      </c>
      <c r="D20" s="43">
        <f>N(INDEX(Situations!$E$10:$E$33,$H$6))</f>
        <v>363357.5</v>
      </c>
      <c r="E20" s="43">
        <f>IF($H$6=1,0,N(INDEX(Situations!$E$10:$E$33,$H$6-1)))</f>
        <v>317257.5</v>
      </c>
      <c r="F20" s="44">
        <f t="shared" ref="F20:F25" si="0">D20-E20</f>
        <v>46100</v>
      </c>
    </row>
    <row r="21" spans="2:6" ht="20.100000000000001" customHeight="1" x14ac:dyDescent="0.25">
      <c r="C21" s="42" t="s">
        <v>63</v>
      </c>
      <c r="D21" s="43">
        <f>N(INDEX(Situations!$F$10:$F$33,$H$6))</f>
        <v>0</v>
      </c>
      <c r="E21" s="43">
        <f>IF($H$6=1,0,N(INDEX(Situations!$F$10:$F$33,$H$6-1)))</f>
        <v>0</v>
      </c>
      <c r="F21" s="44">
        <f t="shared" si="0"/>
        <v>0</v>
      </c>
    </row>
    <row r="22" spans="2:6" ht="20.100000000000001" customHeight="1" x14ac:dyDescent="0.25">
      <c r="C22" s="42" t="str">
        <f>"3 · Révision des prix (HT) – coefficient "&amp;FIXED(INDEX(Situations!$H$10:$H$33,$H$6),3)&amp;" · indice "&amp;LOWER(INDEX(Situations!$I$10:$I$33,$H$6))</f>
        <v>3 · Révision des prix (HT) – coefficient 1,014 · indice provisoire</v>
      </c>
      <c r="D22" s="43">
        <f>N(INDEX(Situations!$K$10:$K$33,$H$6))</f>
        <v>4587.9799999999996</v>
      </c>
      <c r="E22" s="43">
        <f>IF($H$6=1,0,N(INDEX(Situations!$K$10:$K$33,$H$6-1)))</f>
        <v>3942.58</v>
      </c>
      <c r="F22" s="44">
        <f t="shared" si="0"/>
        <v>645.39999999999964</v>
      </c>
    </row>
    <row r="23" spans="2:6" ht="20.100000000000001" customHeight="1" x14ac:dyDescent="0.25">
      <c r="C23" s="45" t="s">
        <v>64</v>
      </c>
      <c r="D23" s="46">
        <f>N(INDEX(Situations!$L$10:$L$33,$H$6))</f>
        <v>367945.48</v>
      </c>
      <c r="E23" s="46">
        <f>IF($H$6=1,0,N(INDEX(Situations!$L$10:$L$33,$H$6-1)))</f>
        <v>321200.08</v>
      </c>
      <c r="F23" s="46">
        <f t="shared" si="0"/>
        <v>46745.399999999965</v>
      </c>
    </row>
    <row r="24" spans="2:6" ht="20.100000000000001" customHeight="1" x14ac:dyDescent="0.25">
      <c r="C24" s="42" t="str">
        <f>"5 · TVA à "&amp;FIXED(TauxTVA*100,1)&amp;" %"</f>
        <v>5 · TVA à 20,0 %</v>
      </c>
      <c r="D24" s="43">
        <f>N(INDEX(Situations!$M$10:$M$33,$H$6))</f>
        <v>73589.100000000006</v>
      </c>
      <c r="E24" s="43">
        <f>IF($H$6=1,0,N(INDEX(Situations!$M$10:$M$33,$H$6-1)))</f>
        <v>64240.02</v>
      </c>
      <c r="F24" s="44">
        <f t="shared" si="0"/>
        <v>9349.080000000009</v>
      </c>
    </row>
    <row r="25" spans="2:6" ht="20.100000000000001" customHeight="1" x14ac:dyDescent="0.25">
      <c r="C25" s="45" t="s">
        <v>65</v>
      </c>
      <c r="D25" s="46">
        <f>N(INDEX(Situations!$N$10:$N$33,$H$6))</f>
        <v>441534.57999999996</v>
      </c>
      <c r="E25" s="46">
        <f>IF($H$6=1,0,N(INDEX(Situations!$N$10:$N$33,$H$6-1)))</f>
        <v>385440.10000000003</v>
      </c>
      <c r="F25" s="46">
        <f t="shared" si="0"/>
        <v>56094.479999999923</v>
      </c>
    </row>
    <row r="26" spans="2:6" ht="18" customHeight="1" x14ac:dyDescent="0.25">
      <c r="C26" s="47" t="s">
        <v>66</v>
      </c>
    </row>
    <row r="27" spans="2:6" ht="20.100000000000001" customHeight="1" x14ac:dyDescent="0.25">
      <c r="C27" s="42" t="s">
        <v>67</v>
      </c>
      <c r="D27" s="43">
        <f>N(INDEX(Situations!$O$10:$O$33,$H$6))</f>
        <v>45480</v>
      </c>
      <c r="E27" s="43">
        <f>IF($H$6=1,0,N(INDEX(Situations!$O$10:$O$33,$H$6-1)))</f>
        <v>39614.080000000002</v>
      </c>
      <c r="F27" s="44">
        <f>D27-E27</f>
        <v>5865.9199999999983</v>
      </c>
    </row>
    <row r="28" spans="2:6" ht="20.100000000000001" customHeight="1" x14ac:dyDescent="0.25">
      <c r="C28" s="42" t="str">
        <f>"8 · Retenue de garantie ("&amp;IF(RGGarantie="Oui","remplacée par une garantie",FIXED(TauxRG*100,1)&amp;" %")&amp;")"</f>
        <v>8 · Retenue de garantie (5,0 %)</v>
      </c>
      <c r="D28" s="43">
        <f>N(INDEX(Situations!$P$10:$P$33,$H$6))</f>
        <v>21801.45</v>
      </c>
      <c r="E28" s="43">
        <f>IF($H$6=1,0,N(INDEX(Situations!$P$10:$P$33,$H$6-1)))</f>
        <v>19035.45</v>
      </c>
      <c r="F28" s="44">
        <f>D28-E28</f>
        <v>2766</v>
      </c>
    </row>
    <row r="29" spans="2:6" ht="20.100000000000001" customHeight="1" x14ac:dyDescent="0.25">
      <c r="C29" s="42" t="s">
        <v>68</v>
      </c>
      <c r="D29" s="43">
        <f>N(INDEX(Situations!$S$10:$S$33,$H$6))</f>
        <v>1083.76</v>
      </c>
      <c r="E29" s="43">
        <f>IF($H$6=1,0,N(INDEX(Situations!$S$10:$S$33,$H$6-1)))</f>
        <v>0</v>
      </c>
      <c r="F29" s="44">
        <f>D29-E29</f>
        <v>1083.76</v>
      </c>
    </row>
    <row r="30" spans="2:6" ht="20.100000000000001" customHeight="1" x14ac:dyDescent="0.25">
      <c r="C30" s="48" t="s">
        <v>69</v>
      </c>
      <c r="D30" s="46">
        <f>D27+D28+D29</f>
        <v>68365.209999999992</v>
      </c>
      <c r="E30" s="46">
        <f>E27+E28+E29</f>
        <v>58649.53</v>
      </c>
      <c r="F30" s="46">
        <f>F27+F28+F29</f>
        <v>9715.6799999999985</v>
      </c>
    </row>
    <row r="31" spans="2:6" ht="20.100000000000001" customHeight="1" x14ac:dyDescent="0.25">
      <c r="C31" s="49" t="s">
        <v>70</v>
      </c>
      <c r="D31" s="50">
        <f>N(INDEX(Situations!$T$10:$T$33,$H$6))</f>
        <v>373169.36999999994</v>
      </c>
      <c r="E31" s="50">
        <f>IF($H$6=1,0,N(INDEX(Situations!$T$10:$T$33,$H$6-1)))</f>
        <v>326790.57</v>
      </c>
      <c r="F31" s="50">
        <f>D31-E31</f>
        <v>46378.79999999993</v>
      </c>
    </row>
    <row r="32" spans="2:6" ht="8.1" customHeight="1" x14ac:dyDescent="0.25"/>
    <row r="33" spans="2:6" ht="32.1" customHeight="1" x14ac:dyDescent="0.25">
      <c r="C33" s="51" t="s">
        <v>71</v>
      </c>
      <c r="D33" s="174">
        <f>F31</f>
        <v>46378.79999999993</v>
      </c>
      <c r="E33" s="175"/>
      <c r="F33" s="175"/>
    </row>
    <row r="34" spans="2:6" ht="26.1" customHeight="1" x14ac:dyDescent="0.25">
      <c r="C34" s="172" t="str">
        <f>"Arrêté le présent état d'acompte à la somme de "&amp;FIXED(F31,2)&amp;" € TTC, après déduction du remboursement de l'avance, "&amp;"de la retenue de garantie et des pénalités de la période."</f>
        <v>Arrêté le présent état d'acompte à la somme de 46.378,80 € TTC, après déduction du remboursement de l'avance, de la retenue de garantie et des pénalités de la période.</v>
      </c>
      <c r="D34" s="138"/>
      <c r="E34" s="138"/>
      <c r="F34" s="138"/>
    </row>
    <row r="36" spans="2:6" ht="24" customHeight="1" x14ac:dyDescent="0.25">
      <c r="B36" s="37" t="s">
        <v>72</v>
      </c>
      <c r="C36" s="38" t="s">
        <v>73</v>
      </c>
      <c r="D36" s="4"/>
      <c r="E36" s="4"/>
      <c r="F36" s="4"/>
    </row>
    <row r="37" spans="2:6" x14ac:dyDescent="0.25">
      <c r="C37" s="40" t="s">
        <v>74</v>
      </c>
      <c r="D37" s="41" t="s">
        <v>59</v>
      </c>
      <c r="E37" s="41" t="s">
        <v>60</v>
      </c>
      <c r="F37" s="41" t="s">
        <v>61</v>
      </c>
    </row>
    <row r="38" spans="2:6" ht="18.95" customHeight="1" x14ac:dyDescent="0.25">
      <c r="C38" s="42" t="str">
        <f>IF(ST1Nom="","Sous-traitant n° 1 (non déclaré)",ST1Nom&amp;" – paiement direct"&amp;IF(ST1Autoliq="Oui"," (TVA autoliquidée)",""))</f>
        <v>Stores &amp; Fermetures du Val – paiement direct (TVA autoliquidée)</v>
      </c>
      <c r="D38" s="43">
        <f>ROUND(SUMIFS(Situations!$V$10:$V$33,Situations!$B$10:$B$33,"&lt;="&amp;$H$6)*IF(ST1Direct="Oui",1+IF(ST1Autoliq="Oui",0,TauxTVA),0),2)</f>
        <v>34900</v>
      </c>
      <c r="E38" s="43">
        <f>IF($H$6=1,0,ROUND(SUMIFS(Situations!$V$10:$V$33,Situations!$B$10:$B$33,"&lt;="&amp;($H$6-1))*IF(ST1Direct="Oui",1+IF(ST1Autoliq="Oui",0,TauxTVA),0),2))</f>
        <v>25300</v>
      </c>
      <c r="F38" s="44">
        <f>D38-E38</f>
        <v>9600</v>
      </c>
    </row>
    <row r="39" spans="2:6" ht="18.95" customHeight="1" x14ac:dyDescent="0.25">
      <c r="C39" s="42" t="str">
        <f>IF(ST2Nom="","Sous-traitant n° 2 (non déclaré)",ST2Nom&amp;" – paiement direct"&amp;IF(ST2Autoliq="Oui"," (TVA autoliquidée)",""))</f>
        <v>Métallerie Aubrac – paiement direct (TVA autoliquidée)</v>
      </c>
      <c r="D39" s="43">
        <f>ROUND(SUMIFS(Situations!$W$10:$W$33,Situations!$B$10:$B$33,"&lt;="&amp;$H$6)*IF(ST2Direct="Oui",1+IF(ST2Autoliq="Oui",0,TauxTVA),0),2)</f>
        <v>8400</v>
      </c>
      <c r="E39" s="43">
        <f>IF($H$6=1,0,ROUND(SUMIFS(Situations!$W$10:$W$33,Situations!$B$10:$B$33,"&lt;="&amp;($H$6-1))*IF(ST2Direct="Oui",1+IF(ST2Autoliq="Oui",0,TauxTVA),0),2))</f>
        <v>6000</v>
      </c>
      <c r="F39" s="44">
        <f>D39-E39</f>
        <v>2400</v>
      </c>
    </row>
    <row r="40" spans="2:6" ht="18.95" customHeight="1" x14ac:dyDescent="0.25">
      <c r="C40" s="42" t="str">
        <f>IF(ST3Nom="","Sous-traitant n° 3 (non déclaré)",ST3Nom&amp;" – paiement direct"&amp;IF(ST3Autoliq="Oui"," (TVA autoliquidée)",""))</f>
        <v>Sous-traitant n° 3 (non déclaré)</v>
      </c>
      <c r="D40" s="43">
        <f>ROUND(SUMIFS(Situations!$X$10:$X$33,Situations!$B$10:$B$33,"&lt;="&amp;$H$6)*IF(ST3Direct="Oui",1+IF(ST3Autoliq="Oui",0,TauxTVA),0),2)</f>
        <v>0</v>
      </c>
      <c r="E40" s="43">
        <f>IF($H$6=1,0,ROUND(SUMIFS(Situations!$X$10:$X$33,Situations!$B$10:$B$33,"&lt;="&amp;($H$6-1))*IF(ST3Direct="Oui",1+IF(ST3Autoliq="Oui",0,TauxTVA),0),2))</f>
        <v>0</v>
      </c>
      <c r="F40" s="44">
        <f>D40-E40</f>
        <v>0</v>
      </c>
    </row>
    <row r="41" spans="2:6" ht="20.100000000000001" customHeight="1" x14ac:dyDescent="0.25">
      <c r="C41" s="52" t="s">
        <v>75</v>
      </c>
      <c r="D41" s="50">
        <f>D31-SUM(D38:D40)</f>
        <v>329869.36999999994</v>
      </c>
      <c r="E41" s="50">
        <f>E31-SUM(E38:E40)</f>
        <v>295490.57</v>
      </c>
      <c r="F41" s="50">
        <f>F31-SUM(F38:F40)</f>
        <v>34378.79999999993</v>
      </c>
    </row>
    <row r="43" spans="2:6" ht="24" customHeight="1" x14ac:dyDescent="0.25">
      <c r="B43" s="37" t="s">
        <v>76</v>
      </c>
      <c r="C43" s="38" t="s">
        <v>77</v>
      </c>
      <c r="D43" s="4"/>
      <c r="E43" s="4"/>
      <c r="F43" s="4"/>
    </row>
    <row r="44" spans="2:6" ht="18.95" customHeight="1" x14ac:dyDescent="0.25">
      <c r="C44" s="53" t="s">
        <v>78</v>
      </c>
      <c r="D44" s="54">
        <f>N(INDEX(Situations!$AI$10:$AI$33,$H$6))</f>
        <v>0.8940883366141732</v>
      </c>
      <c r="E44" s="53" t="s">
        <v>79</v>
      </c>
      <c r="F44" s="55">
        <f>MontantHT-N(INDEX(Situations!$E$10:$E$33,$H$6))</f>
        <v>43042.5</v>
      </c>
    </row>
    <row r="45" spans="2:6" ht="18.95" customHeight="1" x14ac:dyDescent="0.25">
      <c r="C45" s="53" t="s">
        <v>80</v>
      </c>
      <c r="D45" s="55">
        <f>MontantAvance</f>
        <v>45480</v>
      </c>
      <c r="E45" s="53" t="s">
        <v>81</v>
      </c>
      <c r="F45" s="55">
        <f>MontantAvance-N(INDEX(Situations!$O$10:$O$33,$H$6))</f>
        <v>0</v>
      </c>
    </row>
    <row r="46" spans="2:6" ht="18.95" customHeight="1" x14ac:dyDescent="0.25">
      <c r="C46" s="53" t="s">
        <v>82</v>
      </c>
      <c r="D46" s="55">
        <f>N(INDEX(Situations!$P$10:$P$33,$H$6))</f>
        <v>21801.45</v>
      </c>
      <c r="E46" s="53" t="s">
        <v>83</v>
      </c>
      <c r="F46" s="55">
        <f>N(INDEX(Situations!$AH$10:$AH$33,$H$6))</f>
        <v>1083.76</v>
      </c>
    </row>
    <row r="47" spans="2:6" ht="18.95" customHeight="1" x14ac:dyDescent="0.25">
      <c r="C47" s="53" t="s">
        <v>84</v>
      </c>
      <c r="D47" s="56">
        <f>IF(INDEX(Situations!$AA$10:$AA$33,$H$6)="","",INDEX(Situations!$AA$10:$AA$33,$H$6))</f>
        <v>46637</v>
      </c>
      <c r="E47" s="53" t="s">
        <v>85</v>
      </c>
      <c r="F47" s="56">
        <f>IF(INDEX(Situations!$AB$10:$AB$33,$H$6)="","",INDEX(Situations!$AB$10:$AB$33,$H$6))</f>
        <v>46667</v>
      </c>
    </row>
    <row r="48" spans="2:6" ht="18.95" customHeight="1" x14ac:dyDescent="0.25">
      <c r="C48" s="53" t="s">
        <v>86</v>
      </c>
      <c r="D48" s="57" t="str">
        <f ca="1">INDEX(Situations!$AF$10:$AF$33,$H$6)</f>
        <v>En attente</v>
      </c>
      <c r="E48" s="53" t="s">
        <v>87</v>
      </c>
      <c r="F48" s="58">
        <f ca="1">N(INDEX(Situations!$AE$10:$AE$33,$H$6))</f>
        <v>0</v>
      </c>
    </row>
    <row r="50" spans="2:6" ht="24" customHeight="1" x14ac:dyDescent="0.25">
      <c r="B50" s="37" t="s">
        <v>88</v>
      </c>
      <c r="C50" s="38" t="s">
        <v>89</v>
      </c>
      <c r="D50" s="4"/>
      <c r="E50" s="4"/>
      <c r="F50" s="4"/>
    </row>
    <row r="51" spans="2:6" x14ac:dyDescent="0.25">
      <c r="C51" s="59" t="s">
        <v>90</v>
      </c>
      <c r="D51" s="176" t="s">
        <v>91</v>
      </c>
      <c r="E51" s="138"/>
      <c r="F51" s="138"/>
    </row>
    <row r="52" spans="2:6" ht="17.100000000000001" customHeight="1" x14ac:dyDescent="0.25">
      <c r="C52" s="168" t="s">
        <v>92</v>
      </c>
      <c r="D52" s="160" t="s">
        <v>92</v>
      </c>
      <c r="E52" s="161"/>
      <c r="F52" s="162"/>
    </row>
    <row r="53" spans="2:6" ht="17.100000000000001" customHeight="1" x14ac:dyDescent="0.25">
      <c r="C53" s="169"/>
      <c r="D53" s="163"/>
      <c r="E53" s="122"/>
      <c r="F53" s="164"/>
    </row>
    <row r="54" spans="2:6" ht="17.100000000000001" customHeight="1" x14ac:dyDescent="0.25">
      <c r="C54" s="169"/>
      <c r="D54" s="163"/>
      <c r="E54" s="122"/>
      <c r="F54" s="164"/>
    </row>
    <row r="55" spans="2:6" ht="17.100000000000001" customHeight="1" x14ac:dyDescent="0.25">
      <c r="C55" s="170"/>
      <c r="D55" s="165"/>
      <c r="E55" s="166"/>
      <c r="F55" s="167"/>
    </row>
    <row r="57" spans="2:6" x14ac:dyDescent="0.25">
      <c r="C57" s="59" t="s">
        <v>93</v>
      </c>
      <c r="D57" s="176" t="s">
        <v>94</v>
      </c>
      <c r="E57" s="138"/>
      <c r="F57" s="138"/>
    </row>
    <row r="58" spans="2:6" ht="17.100000000000001" customHeight="1" x14ac:dyDescent="0.25">
      <c r="C58" s="168" t="s">
        <v>92</v>
      </c>
      <c r="D58" s="160"/>
      <c r="E58" s="161"/>
      <c r="F58" s="162"/>
    </row>
    <row r="59" spans="2:6" ht="17.100000000000001" customHeight="1" x14ac:dyDescent="0.25">
      <c r="C59" s="169"/>
      <c r="D59" s="163"/>
      <c r="E59" s="122"/>
      <c r="F59" s="164"/>
    </row>
    <row r="60" spans="2:6" ht="17.100000000000001" customHeight="1" x14ac:dyDescent="0.25">
      <c r="C60" s="169"/>
      <c r="D60" s="163"/>
      <c r="E60" s="122"/>
      <c r="F60" s="164"/>
    </row>
    <row r="61" spans="2:6" ht="17.100000000000001" customHeight="1" x14ac:dyDescent="0.25">
      <c r="C61" s="170"/>
      <c r="D61" s="165"/>
      <c r="E61" s="166"/>
      <c r="F61" s="167"/>
    </row>
  </sheetData>
  <mergeCells count="21">
    <mergeCell ref="D14:F14"/>
    <mergeCell ref="C52:C55"/>
    <mergeCell ref="D52:F55"/>
    <mergeCell ref="D10:F10"/>
    <mergeCell ref="D57:F57"/>
    <mergeCell ref="D2:F2"/>
    <mergeCell ref="D11:F11"/>
    <mergeCell ref="D13:F13"/>
    <mergeCell ref="D58:F61"/>
    <mergeCell ref="B3:C3"/>
    <mergeCell ref="C58:C61"/>
    <mergeCell ref="D16:F16"/>
    <mergeCell ref="B2:C2"/>
    <mergeCell ref="C34:F34"/>
    <mergeCell ref="D12:F12"/>
    <mergeCell ref="D3:F3"/>
    <mergeCell ref="D9:F9"/>
    <mergeCell ref="D15:F15"/>
    <mergeCell ref="D33:F33"/>
    <mergeCell ref="D51:F51"/>
    <mergeCell ref="E6:F6"/>
  </mergeCells>
  <conditionalFormatting sqref="C38:F40">
    <cfRule type="expression" dxfId="23" priority="1">
      <formula>LEFT($C38,13)="Sous-traitant"</formula>
    </cfRule>
  </conditionalFormatting>
  <conditionalFormatting sqref="D48">
    <cfRule type="expression" dxfId="22" priority="2" stopIfTrue="1">
      <formula>$D$48="Échu – non payé"</formula>
    </cfRule>
    <cfRule type="expression" dxfId="21" priority="3" stopIfTrue="1">
      <formula>OR($D$48="En attente",$D$48="Demande à transmettre",$D$48="Payé en retard")</formula>
    </cfRule>
    <cfRule type="expression" dxfId="20" priority="4" stopIfTrue="1">
      <formula>$D$48="Payé"</formula>
    </cfRule>
  </conditionalFormatting>
  <conditionalFormatting sqref="F48">
    <cfRule type="expression" dxfId="19" priority="5">
      <formula>$F$48&gt;0</formula>
    </cfRule>
  </conditionalFormatting>
  <dataValidations count="1">
    <dataValidation type="list" allowBlank="1" showInputMessage="1" showErrorMessage="1" errorTitle="Valeur non prévue" error="Choisissez une valeur dans la liste déroulante." promptTitle="État d'acompte" prompt="Choisissez le numéro de la situation (onglet Situations)." sqref="D6" xr:uid="{00000000-0002-0000-0100-000000000000}">
      <formula1>ListeEtats</formula1>
    </dataValidation>
  </dataValidations>
  <printOptions horizontalCentered="1"/>
  <pageMargins left="0.4" right="0.4" top="0.45" bottom="0.55000000000000004" header="0.5" footer="0.5"/>
  <pageSetup paperSize="9" orientation="portrait"/>
  <headerFooter>
    <oddFooter>&amp;L&amp;8 &amp;K8A91A0État d'acompte – &amp;A&amp;R&amp;8 &amp;K8A91A0Page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D4A9A"/>
    <pageSetUpPr fitToPage="1"/>
  </sheetPr>
  <dimension ref="A1:AI34"/>
  <sheetViews>
    <sheetView showGridLines="0" zoomScale="90" workbookViewId="0">
      <pane xSplit="3" ySplit="9" topLeftCell="D10" activePane="bottomRight" state="frozen"/>
      <selection pane="topRight"/>
      <selection pane="bottomLeft"/>
      <selection pane="bottomRight"/>
    </sheetView>
  </sheetViews>
  <sheetFormatPr baseColWidth="10" defaultColWidth="9.140625" defaultRowHeight="15" outlineLevelCol="1" x14ac:dyDescent="0.25"/>
  <cols>
    <col min="1" max="1" width="2" customWidth="1"/>
    <col min="2" max="2" width="5" customWidth="1"/>
    <col min="3" max="3" width="14" customWidth="1"/>
    <col min="4" max="4" width="11" customWidth="1"/>
    <col min="5" max="5" width="13" customWidth="1"/>
    <col min="6" max="6" width="12" customWidth="1"/>
    <col min="7" max="7" width="13" customWidth="1"/>
    <col min="8" max="8" width="9" customWidth="1"/>
    <col min="9" max="10" width="11" customWidth="1"/>
    <col min="11" max="11" width="12" customWidth="1"/>
    <col min="12" max="12" width="13" customWidth="1"/>
    <col min="13" max="13" width="12" customWidth="1"/>
    <col min="14" max="15" width="13" customWidth="1"/>
    <col min="16" max="16" width="12" customWidth="1"/>
    <col min="17" max="17" width="9" customWidth="1"/>
    <col min="18" max="19" width="11" customWidth="1"/>
    <col min="20" max="20" width="13" customWidth="1"/>
    <col min="21" max="21" width="14" customWidth="1"/>
    <col min="22" max="24" width="11" customWidth="1"/>
    <col min="25" max="25" width="12" customWidth="1"/>
    <col min="26" max="26" width="13" customWidth="1"/>
    <col min="27" max="29" width="11" customWidth="1"/>
    <col min="30" max="30" width="8" customWidth="1"/>
    <col min="31" max="31" width="11" customWidth="1"/>
    <col min="32" max="32" width="20" customWidth="1"/>
    <col min="33" max="33" width="2" customWidth="1"/>
    <col min="34" max="35" width="12" hidden="1" customWidth="1" outlineLevel="1"/>
  </cols>
  <sheetData>
    <row r="1" spans="1:35" ht="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5" ht="30" customHeight="1" x14ac:dyDescent="0.35">
      <c r="B2" s="60" t="s">
        <v>95</v>
      </c>
      <c r="AF2" s="61" t="str">
        <f>"Marché n° "&amp;NumMarche&amp;"   ·   "&amp;Lot</f>
        <v>Marché n° 2026-TRX-014   ·   Lot 03 – Menuiseries extérieures</v>
      </c>
    </row>
    <row r="3" spans="1:35" ht="18" customHeight="1" x14ac:dyDescent="0.25">
      <c r="B3" s="3" t="s">
        <v>96</v>
      </c>
      <c r="AF3" s="62" t="str">
        <f>"Titulaire : "&amp;Titulaire</f>
        <v>Titulaire : Menuiseries Durand &amp; Associés SAS</v>
      </c>
    </row>
    <row r="4" spans="1:35" ht="3.9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5" ht="8.1" customHeight="1" x14ac:dyDescent="0.25"/>
    <row r="6" spans="1:35" ht="20.100000000000001" customHeight="1" x14ac:dyDescent="0.25">
      <c r="B6" s="63" t="s">
        <v>97</v>
      </c>
      <c r="AD6" s="180" t="s">
        <v>98</v>
      </c>
      <c r="AE6" s="181"/>
      <c r="AF6" s="65" t="s">
        <v>99</v>
      </c>
    </row>
    <row r="7" spans="1:35" ht="8.1" customHeight="1" x14ac:dyDescent="0.25"/>
    <row r="8" spans="1:35" ht="18" customHeight="1" x14ac:dyDescent="0.25">
      <c r="B8" s="178" t="s">
        <v>100</v>
      </c>
      <c r="C8" s="179"/>
      <c r="D8" s="179"/>
      <c r="E8" s="178" t="s">
        <v>101</v>
      </c>
      <c r="F8" s="179"/>
      <c r="G8" s="179"/>
      <c r="H8" s="178" t="s">
        <v>102</v>
      </c>
      <c r="I8" s="179"/>
      <c r="J8" s="179"/>
      <c r="K8" s="179"/>
      <c r="L8" s="178" t="s">
        <v>103</v>
      </c>
      <c r="M8" s="179"/>
      <c r="N8" s="179"/>
      <c r="O8" s="178" t="s">
        <v>104</v>
      </c>
      <c r="P8" s="179"/>
      <c r="Q8" s="179"/>
      <c r="R8" s="179"/>
      <c r="S8" s="179"/>
      <c r="T8" s="178" t="s">
        <v>105</v>
      </c>
      <c r="U8" s="179"/>
      <c r="V8" s="178" t="s">
        <v>106</v>
      </c>
      <c r="W8" s="179"/>
      <c r="X8" s="179"/>
      <c r="Y8" s="179"/>
      <c r="Z8" s="179"/>
      <c r="AA8" s="178" t="s">
        <v>107</v>
      </c>
      <c r="AB8" s="179"/>
      <c r="AC8" s="179"/>
      <c r="AD8" s="179"/>
      <c r="AE8" s="179"/>
      <c r="AF8" s="179"/>
    </row>
    <row r="9" spans="1:35" ht="42" customHeight="1" x14ac:dyDescent="0.25">
      <c r="B9" s="67" t="s">
        <v>17</v>
      </c>
      <c r="C9" s="68" t="s">
        <v>108</v>
      </c>
      <c r="D9" s="67" t="s">
        <v>109</v>
      </c>
      <c r="E9" s="67" t="s">
        <v>110</v>
      </c>
      <c r="F9" s="68" t="s">
        <v>111</v>
      </c>
      <c r="G9" s="67" t="s">
        <v>32</v>
      </c>
      <c r="H9" s="67" t="s">
        <v>112</v>
      </c>
      <c r="I9" s="67" t="s">
        <v>113</v>
      </c>
      <c r="J9" s="67" t="s">
        <v>33</v>
      </c>
      <c r="K9" s="67" t="s">
        <v>114</v>
      </c>
      <c r="L9" s="67" t="s">
        <v>115</v>
      </c>
      <c r="M9" s="67" t="s">
        <v>116</v>
      </c>
      <c r="N9" s="67" t="s">
        <v>117</v>
      </c>
      <c r="O9" s="67" t="s">
        <v>118</v>
      </c>
      <c r="P9" s="67" t="s">
        <v>119</v>
      </c>
      <c r="Q9" s="68" t="s">
        <v>120</v>
      </c>
      <c r="R9" s="68" t="s">
        <v>121</v>
      </c>
      <c r="S9" s="67" t="s">
        <v>122</v>
      </c>
      <c r="T9" s="67" t="s">
        <v>123</v>
      </c>
      <c r="U9" s="67" t="s">
        <v>124</v>
      </c>
      <c r="V9" s="68" t="str">
        <f>"ST 1 HT"&amp;CHAR(10)&amp;IF(ST1Nom="","",LEFT(ST1Nom,14))</f>
        <v>ST 1 HT
Stores &amp; Ferme</v>
      </c>
      <c r="W9" s="68" t="str">
        <f>"ST 2 HT"&amp;CHAR(10)&amp;IF(ST2Nom="","",LEFT(ST2Nom,14))</f>
        <v>ST 2 HT
Métallerie Aub</v>
      </c>
      <c r="X9" s="68" t="str">
        <f>"ST 3 HT"&amp;CHAR(10)&amp;IF(ST3Nom="","",LEFT(ST3Nom,14))</f>
        <v xml:space="preserve">ST 3 HT
</v>
      </c>
      <c r="Y9" s="67" t="s">
        <v>125</v>
      </c>
      <c r="Z9" s="67" t="s">
        <v>126</v>
      </c>
      <c r="AA9" s="68" t="s">
        <v>38</v>
      </c>
      <c r="AB9" s="67" t="s">
        <v>39</v>
      </c>
      <c r="AC9" s="68" t="s">
        <v>40</v>
      </c>
      <c r="AD9" s="67" t="s">
        <v>127</v>
      </c>
      <c r="AE9" s="67" t="s">
        <v>128</v>
      </c>
      <c r="AF9" s="67" t="s">
        <v>41</v>
      </c>
      <c r="AH9" s="69" t="s">
        <v>129</v>
      </c>
      <c r="AI9" s="69" t="s">
        <v>130</v>
      </c>
    </row>
    <row r="10" spans="1:35" ht="18.95" customHeight="1" x14ac:dyDescent="0.25">
      <c r="B10" s="70">
        <v>1</v>
      </c>
      <c r="C10" s="71">
        <v>46388</v>
      </c>
      <c r="D10" s="72">
        <f t="shared" ref="D10:D33" si="0">IF(C10="","",DATE(YEAR(C10),MONTH(C10)+1,1)-1)</f>
        <v>46418</v>
      </c>
      <c r="E10" s="73">
        <f>IF(C10="","",N(INDEX(Avancement!$I$51:$AF$51,1,B10)))</f>
        <v>5390</v>
      </c>
      <c r="F10" s="74"/>
      <c r="G10" s="73">
        <f>IF(C10="","",E10-0)</f>
        <v>5390</v>
      </c>
      <c r="H10" s="75">
        <f t="shared" ref="H10:H33" si="1">IF(C10="","",IFERROR(INDEX(IndCoef,MATCH(DATE(YEAR(C10),MONTH(C10),1),IndMois,0)),1))</f>
        <v>1.0059999999999998</v>
      </c>
      <c r="I10" s="76" t="str">
        <f t="shared" ref="I10:I33" si="2">IF(C10="","",IF(FormePrix&lt;&gt;"Prix révisables","Sans objet",IFERROR(INDEX(IndStatut,MATCH(DATE(YEAR(C10),MONTH(C10),1),IndMois,0)),"Absent")))</f>
        <v>Définitif</v>
      </c>
      <c r="J10" s="73">
        <f t="shared" ref="J10:J33" si="3">IF(C10="","",ROUND(G10*(H10-1),2))</f>
        <v>32.340000000000003</v>
      </c>
      <c r="K10" s="73">
        <f>IF(C10="","",J10+0)</f>
        <v>32.340000000000003</v>
      </c>
      <c r="L10" s="73">
        <f t="shared" ref="L10:L33" si="4">IF(C10="","",E10+N(F10)+K10)</f>
        <v>5422.34</v>
      </c>
      <c r="M10" s="73">
        <f t="shared" ref="M10:M33" si="5">IF(C10="","",ROUND(L10*TauxTVA,2))</f>
        <v>1084.47</v>
      </c>
      <c r="N10" s="73">
        <f t="shared" ref="N10:N33" si="6">IF(C10="","",L10+M10)</f>
        <v>6506.81</v>
      </c>
      <c r="O10" s="73">
        <f t="shared" ref="O10:O33" si="7">IF(C10="","",IF(AvanceOui="Oui",ROUND(MontantAvance*MAX(0,MIN(1,(AI10-DebutRemb)/MAX(FinRemb-DebutRemb,0.0001))),2),0))</f>
        <v>0</v>
      </c>
      <c r="P10" s="73">
        <f t="shared" ref="P10:P33" si="8">IF(C10="","",IF(RGGarantie="Oui",0,ROUND(TauxRG*IF(AssietteRG="TTC révision comprise",N10,(E10+N(F10))*(1+TauxTVA)),2)))</f>
        <v>323.39999999999998</v>
      </c>
      <c r="Q10" s="77"/>
      <c r="R10" s="74"/>
      <c r="S10" s="73">
        <f t="shared" ref="S10:S33" si="9">IF(C10="","",IF(AH10&lt;=ExoPen,0,MIN(AH10,ROUND(PlafondPen*MontantHT,2))))</f>
        <v>0</v>
      </c>
      <c r="T10" s="78">
        <f t="shared" ref="T10:T33" si="10">IF(C10="","",N10-O10-P10-S10)</f>
        <v>6183.4100000000008</v>
      </c>
      <c r="U10" s="79">
        <f>IF(C10="","",T10-0)</f>
        <v>6183.4100000000008</v>
      </c>
      <c r="V10" s="74"/>
      <c r="W10" s="74"/>
      <c r="X10" s="74"/>
      <c r="Y10" s="73">
        <f t="shared" ref="Y10:Y33" si="11">IF(C10="","",ROUND(IF(ST1Direct="Oui",N(V10)*(1+IF(ST1Autoliq="Oui",0,TauxTVA)),0)+IF(ST2Direct="Oui",N(W10)*(1+IF(ST2Autoliq="Oui",0,TauxTVA)),0)+IF(ST3Direct="Oui",N(X10)*(1+IF(ST3Autoliq="Oui",0,TauxTVA)),0),2))</f>
        <v>0</v>
      </c>
      <c r="Z10" s="73">
        <f t="shared" ref="Z10:Z33" si="12">IF(C10="","",U10-Y10)</f>
        <v>6183.4100000000008</v>
      </c>
      <c r="AA10" s="80">
        <v>46423</v>
      </c>
      <c r="AB10" s="72">
        <f t="shared" ref="AB10:AB33" si="13">IF(OR(C10="",AA10=""),"",AA10+DelaiPaiement)</f>
        <v>46453</v>
      </c>
      <c r="AC10" s="80">
        <v>46448</v>
      </c>
      <c r="AD10" s="81">
        <f t="shared" ref="AD10:AD33" si="14">IF(AB10="","",IF(ISNUMBER(AC10),MAX(0,AC10-AB10),MAX(0,DateSituation-AB10)))</f>
        <v>0</v>
      </c>
      <c r="AE10" s="73" t="str">
        <f t="shared" ref="AE10:AE33" si="15">IF(OR(AD10="",N(AD10)=0),"",ROUND(MAX(U10,0)*TauxIM*AD10/365,2)+IndemniteForf)</f>
        <v/>
      </c>
      <c r="AF10" s="82" t="str">
        <f t="shared" ref="AF10:AF33" si="16">IF(C10="","",IF(AA10="","Demande à transmettre",IF(ISNUMBER(AC10),IF(N(AD10)&gt;0,"Payé en retard","Payé"),IF(DateSituation&gt;AB10,"Échu – non payé","En attente"))))</f>
        <v>Payé</v>
      </c>
      <c r="AH10" s="83">
        <f>IF(C10="","",ROUND(N(Q10)*PenJour,2)+N(R10)+0)</f>
        <v>0</v>
      </c>
      <c r="AI10" s="84">
        <f t="shared" ref="AI10:AI33" si="17">IF(C10="","",IF(MontantHT=0,0,E10/MontantHT))</f>
        <v>1.3262795275590551E-2</v>
      </c>
    </row>
    <row r="11" spans="1:35" ht="18.95" customHeight="1" x14ac:dyDescent="0.25">
      <c r="B11" s="70">
        <v>2</v>
      </c>
      <c r="C11" s="71">
        <v>46419</v>
      </c>
      <c r="D11" s="72">
        <f t="shared" si="0"/>
        <v>46446</v>
      </c>
      <c r="E11" s="73">
        <f>IF(C11="","",N(INDEX(Avancement!$I$51:$AF$51,1,B11)))</f>
        <v>21700</v>
      </c>
      <c r="F11" s="74"/>
      <c r="G11" s="73">
        <f t="shared" ref="G11:G33" si="18">IF(C11="","",E11-N(E10))</f>
        <v>16310</v>
      </c>
      <c r="H11" s="75">
        <f t="shared" si="1"/>
        <v>1.0079999999999998</v>
      </c>
      <c r="I11" s="76" t="str">
        <f t="shared" si="2"/>
        <v>Définitif</v>
      </c>
      <c r="J11" s="73">
        <f t="shared" si="3"/>
        <v>130.47999999999999</v>
      </c>
      <c r="K11" s="73">
        <f t="shared" ref="K11:K33" si="19">IF(C11="","",J11+N(K10))</f>
        <v>162.82</v>
      </c>
      <c r="L11" s="73">
        <f t="shared" si="4"/>
        <v>21862.82</v>
      </c>
      <c r="M11" s="73">
        <f t="shared" si="5"/>
        <v>4372.5600000000004</v>
      </c>
      <c r="N11" s="73">
        <f t="shared" si="6"/>
        <v>26235.38</v>
      </c>
      <c r="O11" s="73">
        <f t="shared" si="7"/>
        <v>0</v>
      </c>
      <c r="P11" s="73">
        <f t="shared" si="8"/>
        <v>1302</v>
      </c>
      <c r="Q11" s="77"/>
      <c r="R11" s="74"/>
      <c r="S11" s="73">
        <f t="shared" si="9"/>
        <v>0</v>
      </c>
      <c r="T11" s="78">
        <f t="shared" si="10"/>
        <v>24933.38</v>
      </c>
      <c r="U11" s="79">
        <f t="shared" ref="U11:U33" si="20">IF(C11="","",T11-N(T10))</f>
        <v>18749.97</v>
      </c>
      <c r="V11" s="74"/>
      <c r="W11" s="74"/>
      <c r="X11" s="74"/>
      <c r="Y11" s="73">
        <f t="shared" si="11"/>
        <v>0</v>
      </c>
      <c r="Z11" s="73">
        <f t="shared" si="12"/>
        <v>18749.97</v>
      </c>
      <c r="AA11" s="80">
        <v>46450</v>
      </c>
      <c r="AB11" s="72">
        <f t="shared" si="13"/>
        <v>46480</v>
      </c>
      <c r="AC11" s="80">
        <v>46476</v>
      </c>
      <c r="AD11" s="81">
        <f t="shared" si="14"/>
        <v>0</v>
      </c>
      <c r="AE11" s="73" t="str">
        <f t="shared" si="15"/>
        <v/>
      </c>
      <c r="AF11" s="82" t="str">
        <f t="shared" si="16"/>
        <v>Payé</v>
      </c>
      <c r="AH11" s="83">
        <f t="shared" ref="AH11:AH33" si="21">IF(C11="","",ROUND(N(Q11)*PenJour,2)+N(R11)+N(AH10))</f>
        <v>0</v>
      </c>
      <c r="AI11" s="84">
        <f t="shared" si="17"/>
        <v>5.3395669291338585E-2</v>
      </c>
    </row>
    <row r="12" spans="1:35" ht="18.95" customHeight="1" x14ac:dyDescent="0.25">
      <c r="B12" s="70">
        <v>3</v>
      </c>
      <c r="C12" s="71">
        <v>46447</v>
      </c>
      <c r="D12" s="72">
        <f t="shared" si="0"/>
        <v>46477</v>
      </c>
      <c r="E12" s="73">
        <f>IF(C12="","",N(INDEX(Avancement!$I$51:$AF$51,1,B12)))</f>
        <v>55910</v>
      </c>
      <c r="F12" s="74">
        <v>12000</v>
      </c>
      <c r="G12" s="73">
        <f t="shared" si="18"/>
        <v>34210</v>
      </c>
      <c r="H12" s="75">
        <f t="shared" si="1"/>
        <v>1.0099999999999998</v>
      </c>
      <c r="I12" s="76" t="str">
        <f t="shared" si="2"/>
        <v>Définitif</v>
      </c>
      <c r="J12" s="73">
        <f t="shared" si="3"/>
        <v>342.1</v>
      </c>
      <c r="K12" s="73">
        <f t="shared" si="19"/>
        <v>504.92</v>
      </c>
      <c r="L12" s="73">
        <f t="shared" si="4"/>
        <v>68414.92</v>
      </c>
      <c r="M12" s="73">
        <f t="shared" si="5"/>
        <v>13682.98</v>
      </c>
      <c r="N12" s="73">
        <f t="shared" si="6"/>
        <v>82097.899999999994</v>
      </c>
      <c r="O12" s="73">
        <f t="shared" si="7"/>
        <v>0</v>
      </c>
      <c r="P12" s="73">
        <f t="shared" si="8"/>
        <v>4074.6</v>
      </c>
      <c r="Q12" s="77"/>
      <c r="R12" s="74"/>
      <c r="S12" s="73">
        <f t="shared" si="9"/>
        <v>0</v>
      </c>
      <c r="T12" s="78">
        <f t="shared" si="10"/>
        <v>78023.299999999988</v>
      </c>
      <c r="U12" s="79">
        <f t="shared" si="20"/>
        <v>53089.919999999984</v>
      </c>
      <c r="V12" s="74"/>
      <c r="W12" s="74"/>
      <c r="X12" s="74"/>
      <c r="Y12" s="73">
        <f t="shared" si="11"/>
        <v>0</v>
      </c>
      <c r="Z12" s="73">
        <f t="shared" si="12"/>
        <v>53089.919999999984</v>
      </c>
      <c r="AA12" s="80">
        <v>46482</v>
      </c>
      <c r="AB12" s="72">
        <f t="shared" si="13"/>
        <v>46512</v>
      </c>
      <c r="AC12" s="80">
        <v>46506</v>
      </c>
      <c r="AD12" s="81">
        <f t="shared" si="14"/>
        <v>0</v>
      </c>
      <c r="AE12" s="73" t="str">
        <f t="shared" si="15"/>
        <v/>
      </c>
      <c r="AF12" s="82" t="str">
        <f t="shared" si="16"/>
        <v>Payé</v>
      </c>
      <c r="AH12" s="83">
        <f t="shared" si="21"/>
        <v>0</v>
      </c>
      <c r="AI12" s="84">
        <f t="shared" si="17"/>
        <v>0.13757381889763778</v>
      </c>
    </row>
    <row r="13" spans="1:35" ht="18.95" customHeight="1" x14ac:dyDescent="0.25">
      <c r="B13" s="70">
        <v>4</v>
      </c>
      <c r="C13" s="71">
        <v>46478</v>
      </c>
      <c r="D13" s="72">
        <f t="shared" si="0"/>
        <v>46507</v>
      </c>
      <c r="E13" s="73">
        <f>IF(C13="","",N(INDEX(Avancement!$I$51:$AF$51,1,B13)))</f>
        <v>108975</v>
      </c>
      <c r="F13" s="74">
        <v>18500</v>
      </c>
      <c r="G13" s="73">
        <f t="shared" si="18"/>
        <v>53065</v>
      </c>
      <c r="H13" s="75">
        <f t="shared" si="1"/>
        <v>1.0109999999999999</v>
      </c>
      <c r="I13" s="76" t="str">
        <f t="shared" si="2"/>
        <v>Définitif</v>
      </c>
      <c r="J13" s="73">
        <f t="shared" si="3"/>
        <v>583.71</v>
      </c>
      <c r="K13" s="73">
        <f t="shared" si="19"/>
        <v>1088.6300000000001</v>
      </c>
      <c r="L13" s="73">
        <f t="shared" si="4"/>
        <v>128563.63</v>
      </c>
      <c r="M13" s="73">
        <f t="shared" si="5"/>
        <v>25712.73</v>
      </c>
      <c r="N13" s="73">
        <f t="shared" si="6"/>
        <v>154276.36000000002</v>
      </c>
      <c r="O13" s="73">
        <f t="shared" si="7"/>
        <v>0</v>
      </c>
      <c r="P13" s="73">
        <f t="shared" si="8"/>
        <v>7648.5</v>
      </c>
      <c r="Q13" s="77"/>
      <c r="R13" s="74"/>
      <c r="S13" s="73">
        <f t="shared" si="9"/>
        <v>0</v>
      </c>
      <c r="T13" s="78">
        <f t="shared" si="10"/>
        <v>146627.86000000002</v>
      </c>
      <c r="U13" s="79">
        <f t="shared" si="20"/>
        <v>68604.560000000027</v>
      </c>
      <c r="V13" s="74"/>
      <c r="W13" s="74"/>
      <c r="X13" s="74"/>
      <c r="Y13" s="73">
        <f t="shared" si="11"/>
        <v>0</v>
      </c>
      <c r="Z13" s="73">
        <f t="shared" si="12"/>
        <v>68604.560000000027</v>
      </c>
      <c r="AA13" s="80">
        <v>46512</v>
      </c>
      <c r="AB13" s="72">
        <f t="shared" si="13"/>
        <v>46542</v>
      </c>
      <c r="AC13" s="80">
        <v>46555</v>
      </c>
      <c r="AD13" s="81">
        <f t="shared" si="14"/>
        <v>13</v>
      </c>
      <c r="AE13" s="73">
        <f t="shared" si="15"/>
        <v>284.35000000000002</v>
      </c>
      <c r="AF13" s="82" t="str">
        <f t="shared" si="16"/>
        <v>Payé en retard</v>
      </c>
      <c r="AH13" s="83">
        <f t="shared" si="21"/>
        <v>0</v>
      </c>
      <c r="AI13" s="84">
        <f t="shared" si="17"/>
        <v>0.26814714566929132</v>
      </c>
    </row>
    <row r="14" spans="1:35" ht="18.95" customHeight="1" x14ac:dyDescent="0.25">
      <c r="B14" s="70">
        <v>5</v>
      </c>
      <c r="C14" s="71">
        <v>46508</v>
      </c>
      <c r="D14" s="72">
        <f t="shared" si="0"/>
        <v>46538</v>
      </c>
      <c r="E14" s="73">
        <f>IF(C14="","",N(INDEX(Avancement!$I$51:$AF$51,1,B14)))</f>
        <v>170970</v>
      </c>
      <c r="F14" s="74">
        <v>9000</v>
      </c>
      <c r="G14" s="73">
        <f t="shared" si="18"/>
        <v>61995</v>
      </c>
      <c r="H14" s="75">
        <f t="shared" si="1"/>
        <v>1.0129999999999999</v>
      </c>
      <c r="I14" s="76" t="str">
        <f t="shared" si="2"/>
        <v>Définitif</v>
      </c>
      <c r="J14" s="73">
        <f t="shared" si="3"/>
        <v>805.93</v>
      </c>
      <c r="K14" s="73">
        <f t="shared" si="19"/>
        <v>1894.56</v>
      </c>
      <c r="L14" s="73">
        <f t="shared" si="4"/>
        <v>181864.56</v>
      </c>
      <c r="M14" s="73">
        <f t="shared" si="5"/>
        <v>36372.910000000003</v>
      </c>
      <c r="N14" s="73">
        <f t="shared" si="6"/>
        <v>218237.47</v>
      </c>
      <c r="O14" s="73">
        <f t="shared" si="7"/>
        <v>0</v>
      </c>
      <c r="P14" s="73">
        <f t="shared" si="8"/>
        <v>10798.2</v>
      </c>
      <c r="Q14" s="77"/>
      <c r="R14" s="74"/>
      <c r="S14" s="73">
        <f t="shared" si="9"/>
        <v>0</v>
      </c>
      <c r="T14" s="78">
        <f t="shared" si="10"/>
        <v>207439.27</v>
      </c>
      <c r="U14" s="79">
        <f t="shared" si="20"/>
        <v>60811.409999999974</v>
      </c>
      <c r="V14" s="74">
        <v>4800</v>
      </c>
      <c r="W14" s="74"/>
      <c r="X14" s="74"/>
      <c r="Y14" s="73">
        <f t="shared" si="11"/>
        <v>4800</v>
      </c>
      <c r="Z14" s="73">
        <f t="shared" si="12"/>
        <v>56011.409999999974</v>
      </c>
      <c r="AA14" s="80">
        <v>46542</v>
      </c>
      <c r="AB14" s="72">
        <f t="shared" si="13"/>
        <v>46572</v>
      </c>
      <c r="AC14" s="80">
        <v>46569</v>
      </c>
      <c r="AD14" s="81">
        <f t="shared" si="14"/>
        <v>0</v>
      </c>
      <c r="AE14" s="73" t="str">
        <f t="shared" si="15"/>
        <v/>
      </c>
      <c r="AF14" s="82" t="str">
        <f t="shared" si="16"/>
        <v>Payé</v>
      </c>
      <c r="AH14" s="83">
        <f t="shared" si="21"/>
        <v>0</v>
      </c>
      <c r="AI14" s="84">
        <f t="shared" si="17"/>
        <v>0.4206938976377953</v>
      </c>
    </row>
    <row r="15" spans="1:35" ht="18.95" customHeight="1" x14ac:dyDescent="0.25">
      <c r="B15" s="70">
        <v>6</v>
      </c>
      <c r="C15" s="71">
        <v>46539</v>
      </c>
      <c r="D15" s="72">
        <f t="shared" si="0"/>
        <v>46568</v>
      </c>
      <c r="E15" s="73">
        <f>IF(C15="","",N(INDEX(Avancement!$I$51:$AF$51,1,B15)))</f>
        <v>245940</v>
      </c>
      <c r="F15" s="74">
        <v>4000</v>
      </c>
      <c r="G15" s="73">
        <f t="shared" si="18"/>
        <v>74970</v>
      </c>
      <c r="H15" s="75">
        <f t="shared" si="1"/>
        <v>1.0139999999999998</v>
      </c>
      <c r="I15" s="76" t="str">
        <f t="shared" si="2"/>
        <v>Définitif</v>
      </c>
      <c r="J15" s="73">
        <f t="shared" si="3"/>
        <v>1049.58</v>
      </c>
      <c r="K15" s="73">
        <f t="shared" si="19"/>
        <v>2944.14</v>
      </c>
      <c r="L15" s="73">
        <f t="shared" si="4"/>
        <v>252884.14</v>
      </c>
      <c r="M15" s="73">
        <f t="shared" si="5"/>
        <v>50576.83</v>
      </c>
      <c r="N15" s="73">
        <f t="shared" si="6"/>
        <v>303460.97000000003</v>
      </c>
      <c r="O15" s="73">
        <f t="shared" si="7"/>
        <v>0</v>
      </c>
      <c r="P15" s="73">
        <f t="shared" si="8"/>
        <v>14996.4</v>
      </c>
      <c r="Q15" s="77">
        <v>3</v>
      </c>
      <c r="R15" s="74"/>
      <c r="S15" s="73">
        <f t="shared" si="9"/>
        <v>0</v>
      </c>
      <c r="T15" s="78">
        <f t="shared" si="10"/>
        <v>288464.57</v>
      </c>
      <c r="U15" s="79">
        <f t="shared" si="20"/>
        <v>81025.300000000017</v>
      </c>
      <c r="V15" s="74">
        <v>9200</v>
      </c>
      <c r="W15" s="74">
        <v>2900</v>
      </c>
      <c r="X15" s="74"/>
      <c r="Y15" s="73">
        <f t="shared" si="11"/>
        <v>12100</v>
      </c>
      <c r="Z15" s="73">
        <f t="shared" si="12"/>
        <v>68925.300000000017</v>
      </c>
      <c r="AA15" s="80">
        <v>46573</v>
      </c>
      <c r="AB15" s="72">
        <f t="shared" si="13"/>
        <v>46603</v>
      </c>
      <c r="AC15" s="80">
        <v>46598</v>
      </c>
      <c r="AD15" s="81">
        <f t="shared" si="14"/>
        <v>0</v>
      </c>
      <c r="AE15" s="73" t="str">
        <f t="shared" si="15"/>
        <v/>
      </c>
      <c r="AF15" s="82" t="str">
        <f t="shared" si="16"/>
        <v>Payé</v>
      </c>
      <c r="AH15" s="83">
        <f t="shared" si="21"/>
        <v>406.41</v>
      </c>
      <c r="AI15" s="84">
        <f t="shared" si="17"/>
        <v>0.60516732283464569</v>
      </c>
    </row>
    <row r="16" spans="1:35" ht="18.95" customHeight="1" x14ac:dyDescent="0.25">
      <c r="B16" s="70">
        <v>7</v>
      </c>
      <c r="C16" s="71">
        <v>46569</v>
      </c>
      <c r="D16" s="72">
        <f t="shared" si="0"/>
        <v>46599</v>
      </c>
      <c r="E16" s="73">
        <f>IF(C16="","",N(INDEX(Avancement!$I$51:$AF$51,1,B16)))</f>
        <v>317257.5</v>
      </c>
      <c r="F16" s="74"/>
      <c r="G16" s="73">
        <f t="shared" si="18"/>
        <v>71317.5</v>
      </c>
      <c r="H16" s="75">
        <f t="shared" si="1"/>
        <v>1.0139999999999998</v>
      </c>
      <c r="I16" s="76" t="str">
        <f t="shared" si="2"/>
        <v>Provisoire</v>
      </c>
      <c r="J16" s="73">
        <f t="shared" si="3"/>
        <v>998.44</v>
      </c>
      <c r="K16" s="73">
        <f t="shared" si="19"/>
        <v>3942.58</v>
      </c>
      <c r="L16" s="73">
        <f t="shared" si="4"/>
        <v>321200.08</v>
      </c>
      <c r="M16" s="73">
        <f t="shared" si="5"/>
        <v>64240.02</v>
      </c>
      <c r="N16" s="73">
        <f t="shared" si="6"/>
        <v>385440.10000000003</v>
      </c>
      <c r="O16" s="73">
        <f t="shared" si="7"/>
        <v>39614.080000000002</v>
      </c>
      <c r="P16" s="73">
        <f t="shared" si="8"/>
        <v>19035.45</v>
      </c>
      <c r="Q16" s="77"/>
      <c r="R16" s="74"/>
      <c r="S16" s="73">
        <f t="shared" si="9"/>
        <v>0</v>
      </c>
      <c r="T16" s="78">
        <f t="shared" si="10"/>
        <v>326790.57</v>
      </c>
      <c r="U16" s="79">
        <f t="shared" si="20"/>
        <v>38326</v>
      </c>
      <c r="V16" s="74">
        <v>11300</v>
      </c>
      <c r="W16" s="74">
        <v>3100</v>
      </c>
      <c r="X16" s="74"/>
      <c r="Y16" s="73">
        <f t="shared" si="11"/>
        <v>14400</v>
      </c>
      <c r="Z16" s="73">
        <f t="shared" si="12"/>
        <v>23926</v>
      </c>
      <c r="AA16" s="80">
        <v>46604</v>
      </c>
      <c r="AB16" s="72">
        <f t="shared" si="13"/>
        <v>46634</v>
      </c>
      <c r="AC16" s="80">
        <v>46631</v>
      </c>
      <c r="AD16" s="81">
        <f t="shared" si="14"/>
        <v>0</v>
      </c>
      <c r="AE16" s="73" t="str">
        <f t="shared" si="15"/>
        <v/>
      </c>
      <c r="AF16" s="82" t="str">
        <f t="shared" si="16"/>
        <v>Payé</v>
      </c>
      <c r="AH16" s="83">
        <f t="shared" si="21"/>
        <v>406.41</v>
      </c>
      <c r="AI16" s="84">
        <f t="shared" si="17"/>
        <v>0.78065329724409449</v>
      </c>
    </row>
    <row r="17" spans="2:35" ht="18.95" customHeight="1" x14ac:dyDescent="0.25">
      <c r="B17" s="70">
        <v>8</v>
      </c>
      <c r="C17" s="71">
        <v>46600</v>
      </c>
      <c r="D17" s="72">
        <f t="shared" si="0"/>
        <v>46630</v>
      </c>
      <c r="E17" s="73">
        <f>IF(C17="","",N(INDEX(Avancement!$I$51:$AF$51,1,B17)))</f>
        <v>363357.5</v>
      </c>
      <c r="F17" s="74"/>
      <c r="G17" s="73">
        <f t="shared" si="18"/>
        <v>46100</v>
      </c>
      <c r="H17" s="75">
        <f t="shared" si="1"/>
        <v>1.0139999999999998</v>
      </c>
      <c r="I17" s="76" t="str">
        <f t="shared" si="2"/>
        <v>Provisoire</v>
      </c>
      <c r="J17" s="73">
        <f t="shared" si="3"/>
        <v>645.4</v>
      </c>
      <c r="K17" s="73">
        <f t="shared" si="19"/>
        <v>4587.9799999999996</v>
      </c>
      <c r="L17" s="73">
        <f t="shared" si="4"/>
        <v>367945.48</v>
      </c>
      <c r="M17" s="73">
        <f t="shared" si="5"/>
        <v>73589.100000000006</v>
      </c>
      <c r="N17" s="73">
        <f t="shared" si="6"/>
        <v>441534.57999999996</v>
      </c>
      <c r="O17" s="73">
        <f t="shared" si="7"/>
        <v>45480</v>
      </c>
      <c r="P17" s="73">
        <f t="shared" si="8"/>
        <v>21801.45</v>
      </c>
      <c r="Q17" s="77">
        <v>5</v>
      </c>
      <c r="R17" s="74"/>
      <c r="S17" s="73">
        <f t="shared" si="9"/>
        <v>1083.76</v>
      </c>
      <c r="T17" s="78">
        <f t="shared" si="10"/>
        <v>373169.36999999994</v>
      </c>
      <c r="U17" s="79">
        <f t="shared" si="20"/>
        <v>46378.79999999993</v>
      </c>
      <c r="V17" s="74">
        <v>9600</v>
      </c>
      <c r="W17" s="74">
        <v>2400</v>
      </c>
      <c r="X17" s="74"/>
      <c r="Y17" s="73">
        <f t="shared" si="11"/>
        <v>12000</v>
      </c>
      <c r="Z17" s="73">
        <f t="shared" si="12"/>
        <v>34378.79999999993</v>
      </c>
      <c r="AA17" s="80">
        <v>46637</v>
      </c>
      <c r="AB17" s="72">
        <f t="shared" si="13"/>
        <v>46667</v>
      </c>
      <c r="AC17" s="80"/>
      <c r="AD17" s="81">
        <f t="shared" ca="1" si="14"/>
        <v>0</v>
      </c>
      <c r="AE17" s="73" t="str">
        <f t="shared" ca="1" si="15"/>
        <v/>
      </c>
      <c r="AF17" s="82" t="str">
        <f t="shared" ca="1" si="16"/>
        <v>En attente</v>
      </c>
      <c r="AH17" s="83">
        <f t="shared" si="21"/>
        <v>1083.76</v>
      </c>
      <c r="AI17" s="84">
        <f t="shared" si="17"/>
        <v>0.8940883366141732</v>
      </c>
    </row>
    <row r="18" spans="2:35" ht="18.95" customHeight="1" x14ac:dyDescent="0.25">
      <c r="B18" s="70">
        <v>9</v>
      </c>
      <c r="C18" s="71"/>
      <c r="D18" s="72" t="str">
        <f t="shared" si="0"/>
        <v/>
      </c>
      <c r="E18" s="73" t="str">
        <f>IF(C18="","",N(INDEX(Avancement!$I$51:$AF$51,1,B18)))</f>
        <v/>
      </c>
      <c r="F18" s="74"/>
      <c r="G18" s="73" t="str">
        <f t="shared" si="18"/>
        <v/>
      </c>
      <c r="H18" s="75" t="str">
        <f t="shared" si="1"/>
        <v/>
      </c>
      <c r="I18" s="76" t="str">
        <f t="shared" si="2"/>
        <v/>
      </c>
      <c r="J18" s="73" t="str">
        <f t="shared" si="3"/>
        <v/>
      </c>
      <c r="K18" s="73" t="str">
        <f t="shared" si="19"/>
        <v/>
      </c>
      <c r="L18" s="73" t="str">
        <f t="shared" si="4"/>
        <v/>
      </c>
      <c r="M18" s="73" t="str">
        <f t="shared" si="5"/>
        <v/>
      </c>
      <c r="N18" s="73" t="str">
        <f t="shared" si="6"/>
        <v/>
      </c>
      <c r="O18" s="73" t="str">
        <f t="shared" si="7"/>
        <v/>
      </c>
      <c r="P18" s="73" t="str">
        <f t="shared" si="8"/>
        <v/>
      </c>
      <c r="Q18" s="77"/>
      <c r="R18" s="74"/>
      <c r="S18" s="73" t="str">
        <f t="shared" si="9"/>
        <v/>
      </c>
      <c r="T18" s="78" t="str">
        <f t="shared" si="10"/>
        <v/>
      </c>
      <c r="U18" s="79" t="str">
        <f t="shared" si="20"/>
        <v/>
      </c>
      <c r="V18" s="74"/>
      <c r="W18" s="74"/>
      <c r="X18" s="74"/>
      <c r="Y18" s="73" t="str">
        <f t="shared" si="11"/>
        <v/>
      </c>
      <c r="Z18" s="73" t="str">
        <f t="shared" si="12"/>
        <v/>
      </c>
      <c r="AA18" s="80"/>
      <c r="AB18" s="72" t="str">
        <f t="shared" si="13"/>
        <v/>
      </c>
      <c r="AC18" s="80"/>
      <c r="AD18" s="81" t="str">
        <f t="shared" si="14"/>
        <v/>
      </c>
      <c r="AE18" s="73" t="str">
        <f t="shared" si="15"/>
        <v/>
      </c>
      <c r="AF18" s="82" t="str">
        <f t="shared" si="16"/>
        <v/>
      </c>
      <c r="AH18" s="83" t="str">
        <f t="shared" si="21"/>
        <v/>
      </c>
      <c r="AI18" s="84" t="str">
        <f t="shared" si="17"/>
        <v/>
      </c>
    </row>
    <row r="19" spans="2:35" ht="18.95" customHeight="1" x14ac:dyDescent="0.25">
      <c r="B19" s="70">
        <v>10</v>
      </c>
      <c r="C19" s="71"/>
      <c r="D19" s="72" t="str">
        <f t="shared" si="0"/>
        <v/>
      </c>
      <c r="E19" s="73" t="str">
        <f>IF(C19="","",N(INDEX(Avancement!$I$51:$AF$51,1,B19)))</f>
        <v/>
      </c>
      <c r="F19" s="74"/>
      <c r="G19" s="73" t="str">
        <f t="shared" si="18"/>
        <v/>
      </c>
      <c r="H19" s="75" t="str">
        <f t="shared" si="1"/>
        <v/>
      </c>
      <c r="I19" s="76" t="str">
        <f t="shared" si="2"/>
        <v/>
      </c>
      <c r="J19" s="73" t="str">
        <f t="shared" si="3"/>
        <v/>
      </c>
      <c r="K19" s="73" t="str">
        <f t="shared" si="19"/>
        <v/>
      </c>
      <c r="L19" s="73" t="str">
        <f t="shared" si="4"/>
        <v/>
      </c>
      <c r="M19" s="73" t="str">
        <f t="shared" si="5"/>
        <v/>
      </c>
      <c r="N19" s="73" t="str">
        <f t="shared" si="6"/>
        <v/>
      </c>
      <c r="O19" s="73" t="str">
        <f t="shared" si="7"/>
        <v/>
      </c>
      <c r="P19" s="73" t="str">
        <f t="shared" si="8"/>
        <v/>
      </c>
      <c r="Q19" s="77"/>
      <c r="R19" s="74"/>
      <c r="S19" s="73" t="str">
        <f t="shared" si="9"/>
        <v/>
      </c>
      <c r="T19" s="78" t="str">
        <f t="shared" si="10"/>
        <v/>
      </c>
      <c r="U19" s="79" t="str">
        <f t="shared" si="20"/>
        <v/>
      </c>
      <c r="V19" s="74"/>
      <c r="W19" s="74"/>
      <c r="X19" s="74"/>
      <c r="Y19" s="73" t="str">
        <f t="shared" si="11"/>
        <v/>
      </c>
      <c r="Z19" s="73" t="str">
        <f t="shared" si="12"/>
        <v/>
      </c>
      <c r="AA19" s="80"/>
      <c r="AB19" s="72" t="str">
        <f t="shared" si="13"/>
        <v/>
      </c>
      <c r="AC19" s="80"/>
      <c r="AD19" s="81" t="str">
        <f t="shared" si="14"/>
        <v/>
      </c>
      <c r="AE19" s="73" t="str">
        <f t="shared" si="15"/>
        <v/>
      </c>
      <c r="AF19" s="82" t="str">
        <f t="shared" si="16"/>
        <v/>
      </c>
      <c r="AH19" s="83" t="str">
        <f t="shared" si="21"/>
        <v/>
      </c>
      <c r="AI19" s="84" t="str">
        <f t="shared" si="17"/>
        <v/>
      </c>
    </row>
    <row r="20" spans="2:35" ht="18.95" customHeight="1" x14ac:dyDescent="0.25">
      <c r="B20" s="70">
        <v>11</v>
      </c>
      <c r="C20" s="71"/>
      <c r="D20" s="72" t="str">
        <f t="shared" si="0"/>
        <v/>
      </c>
      <c r="E20" s="73" t="str">
        <f>IF(C20="","",N(INDEX(Avancement!$I$51:$AF$51,1,B20)))</f>
        <v/>
      </c>
      <c r="F20" s="74"/>
      <c r="G20" s="73" t="str">
        <f t="shared" si="18"/>
        <v/>
      </c>
      <c r="H20" s="75" t="str">
        <f t="shared" si="1"/>
        <v/>
      </c>
      <c r="I20" s="76" t="str">
        <f t="shared" si="2"/>
        <v/>
      </c>
      <c r="J20" s="73" t="str">
        <f t="shared" si="3"/>
        <v/>
      </c>
      <c r="K20" s="73" t="str">
        <f t="shared" si="19"/>
        <v/>
      </c>
      <c r="L20" s="73" t="str">
        <f t="shared" si="4"/>
        <v/>
      </c>
      <c r="M20" s="73" t="str">
        <f t="shared" si="5"/>
        <v/>
      </c>
      <c r="N20" s="73" t="str">
        <f t="shared" si="6"/>
        <v/>
      </c>
      <c r="O20" s="73" t="str">
        <f t="shared" si="7"/>
        <v/>
      </c>
      <c r="P20" s="73" t="str">
        <f t="shared" si="8"/>
        <v/>
      </c>
      <c r="Q20" s="77"/>
      <c r="R20" s="74"/>
      <c r="S20" s="73" t="str">
        <f t="shared" si="9"/>
        <v/>
      </c>
      <c r="T20" s="78" t="str">
        <f t="shared" si="10"/>
        <v/>
      </c>
      <c r="U20" s="79" t="str">
        <f t="shared" si="20"/>
        <v/>
      </c>
      <c r="V20" s="74"/>
      <c r="W20" s="74"/>
      <c r="X20" s="74"/>
      <c r="Y20" s="73" t="str">
        <f t="shared" si="11"/>
        <v/>
      </c>
      <c r="Z20" s="73" t="str">
        <f t="shared" si="12"/>
        <v/>
      </c>
      <c r="AA20" s="80"/>
      <c r="AB20" s="72" t="str">
        <f t="shared" si="13"/>
        <v/>
      </c>
      <c r="AC20" s="80"/>
      <c r="AD20" s="81" t="str">
        <f t="shared" si="14"/>
        <v/>
      </c>
      <c r="AE20" s="73" t="str">
        <f t="shared" si="15"/>
        <v/>
      </c>
      <c r="AF20" s="82" t="str">
        <f t="shared" si="16"/>
        <v/>
      </c>
      <c r="AH20" s="83" t="str">
        <f t="shared" si="21"/>
        <v/>
      </c>
      <c r="AI20" s="84" t="str">
        <f t="shared" si="17"/>
        <v/>
      </c>
    </row>
    <row r="21" spans="2:35" ht="18.95" customHeight="1" x14ac:dyDescent="0.25">
      <c r="B21" s="70">
        <v>12</v>
      </c>
      <c r="C21" s="71"/>
      <c r="D21" s="72" t="str">
        <f t="shared" si="0"/>
        <v/>
      </c>
      <c r="E21" s="73" t="str">
        <f>IF(C21="","",N(INDEX(Avancement!$I$51:$AF$51,1,B21)))</f>
        <v/>
      </c>
      <c r="F21" s="74"/>
      <c r="G21" s="73" t="str">
        <f t="shared" si="18"/>
        <v/>
      </c>
      <c r="H21" s="75" t="str">
        <f t="shared" si="1"/>
        <v/>
      </c>
      <c r="I21" s="76" t="str">
        <f t="shared" si="2"/>
        <v/>
      </c>
      <c r="J21" s="73" t="str">
        <f t="shared" si="3"/>
        <v/>
      </c>
      <c r="K21" s="73" t="str">
        <f t="shared" si="19"/>
        <v/>
      </c>
      <c r="L21" s="73" t="str">
        <f t="shared" si="4"/>
        <v/>
      </c>
      <c r="M21" s="73" t="str">
        <f t="shared" si="5"/>
        <v/>
      </c>
      <c r="N21" s="73" t="str">
        <f t="shared" si="6"/>
        <v/>
      </c>
      <c r="O21" s="73" t="str">
        <f t="shared" si="7"/>
        <v/>
      </c>
      <c r="P21" s="73" t="str">
        <f t="shared" si="8"/>
        <v/>
      </c>
      <c r="Q21" s="77"/>
      <c r="R21" s="74"/>
      <c r="S21" s="73" t="str">
        <f t="shared" si="9"/>
        <v/>
      </c>
      <c r="T21" s="78" t="str">
        <f t="shared" si="10"/>
        <v/>
      </c>
      <c r="U21" s="79" t="str">
        <f t="shared" si="20"/>
        <v/>
      </c>
      <c r="V21" s="74"/>
      <c r="W21" s="74"/>
      <c r="X21" s="74"/>
      <c r="Y21" s="73" t="str">
        <f t="shared" si="11"/>
        <v/>
      </c>
      <c r="Z21" s="73" t="str">
        <f t="shared" si="12"/>
        <v/>
      </c>
      <c r="AA21" s="80"/>
      <c r="AB21" s="72" t="str">
        <f t="shared" si="13"/>
        <v/>
      </c>
      <c r="AC21" s="80"/>
      <c r="AD21" s="81" t="str">
        <f t="shared" si="14"/>
        <v/>
      </c>
      <c r="AE21" s="73" t="str">
        <f t="shared" si="15"/>
        <v/>
      </c>
      <c r="AF21" s="82" t="str">
        <f t="shared" si="16"/>
        <v/>
      </c>
      <c r="AH21" s="83" t="str">
        <f t="shared" si="21"/>
        <v/>
      </c>
      <c r="AI21" s="84" t="str">
        <f t="shared" si="17"/>
        <v/>
      </c>
    </row>
    <row r="22" spans="2:35" ht="18.95" customHeight="1" x14ac:dyDescent="0.25">
      <c r="B22" s="70">
        <v>13</v>
      </c>
      <c r="C22" s="71"/>
      <c r="D22" s="72" t="str">
        <f t="shared" si="0"/>
        <v/>
      </c>
      <c r="E22" s="73" t="str">
        <f>IF(C22="","",N(INDEX(Avancement!$I$51:$AF$51,1,B22)))</f>
        <v/>
      </c>
      <c r="F22" s="74"/>
      <c r="G22" s="73" t="str">
        <f t="shared" si="18"/>
        <v/>
      </c>
      <c r="H22" s="75" t="str">
        <f t="shared" si="1"/>
        <v/>
      </c>
      <c r="I22" s="76" t="str">
        <f t="shared" si="2"/>
        <v/>
      </c>
      <c r="J22" s="73" t="str">
        <f t="shared" si="3"/>
        <v/>
      </c>
      <c r="K22" s="73" t="str">
        <f t="shared" si="19"/>
        <v/>
      </c>
      <c r="L22" s="73" t="str">
        <f t="shared" si="4"/>
        <v/>
      </c>
      <c r="M22" s="73" t="str">
        <f t="shared" si="5"/>
        <v/>
      </c>
      <c r="N22" s="73" t="str">
        <f t="shared" si="6"/>
        <v/>
      </c>
      <c r="O22" s="73" t="str">
        <f t="shared" si="7"/>
        <v/>
      </c>
      <c r="P22" s="73" t="str">
        <f t="shared" si="8"/>
        <v/>
      </c>
      <c r="Q22" s="77"/>
      <c r="R22" s="74"/>
      <c r="S22" s="73" t="str">
        <f t="shared" si="9"/>
        <v/>
      </c>
      <c r="T22" s="78" t="str">
        <f t="shared" si="10"/>
        <v/>
      </c>
      <c r="U22" s="79" t="str">
        <f t="shared" si="20"/>
        <v/>
      </c>
      <c r="V22" s="74"/>
      <c r="W22" s="74"/>
      <c r="X22" s="74"/>
      <c r="Y22" s="73" t="str">
        <f t="shared" si="11"/>
        <v/>
      </c>
      <c r="Z22" s="73" t="str">
        <f t="shared" si="12"/>
        <v/>
      </c>
      <c r="AA22" s="80"/>
      <c r="AB22" s="72" t="str">
        <f t="shared" si="13"/>
        <v/>
      </c>
      <c r="AC22" s="80"/>
      <c r="AD22" s="81" t="str">
        <f t="shared" si="14"/>
        <v/>
      </c>
      <c r="AE22" s="73" t="str">
        <f t="shared" si="15"/>
        <v/>
      </c>
      <c r="AF22" s="82" t="str">
        <f t="shared" si="16"/>
        <v/>
      </c>
      <c r="AH22" s="83" t="str">
        <f t="shared" si="21"/>
        <v/>
      </c>
      <c r="AI22" s="84" t="str">
        <f t="shared" si="17"/>
        <v/>
      </c>
    </row>
    <row r="23" spans="2:35" ht="18.95" customHeight="1" x14ac:dyDescent="0.25">
      <c r="B23" s="70">
        <v>14</v>
      </c>
      <c r="C23" s="71"/>
      <c r="D23" s="72" t="str">
        <f t="shared" si="0"/>
        <v/>
      </c>
      <c r="E23" s="73" t="str">
        <f>IF(C23="","",N(INDEX(Avancement!$I$51:$AF$51,1,B23)))</f>
        <v/>
      </c>
      <c r="F23" s="74"/>
      <c r="G23" s="73" t="str">
        <f t="shared" si="18"/>
        <v/>
      </c>
      <c r="H23" s="75" t="str">
        <f t="shared" si="1"/>
        <v/>
      </c>
      <c r="I23" s="76" t="str">
        <f t="shared" si="2"/>
        <v/>
      </c>
      <c r="J23" s="73" t="str">
        <f t="shared" si="3"/>
        <v/>
      </c>
      <c r="K23" s="73" t="str">
        <f t="shared" si="19"/>
        <v/>
      </c>
      <c r="L23" s="73" t="str">
        <f t="shared" si="4"/>
        <v/>
      </c>
      <c r="M23" s="73" t="str">
        <f t="shared" si="5"/>
        <v/>
      </c>
      <c r="N23" s="73" t="str">
        <f t="shared" si="6"/>
        <v/>
      </c>
      <c r="O23" s="73" t="str">
        <f t="shared" si="7"/>
        <v/>
      </c>
      <c r="P23" s="73" t="str">
        <f t="shared" si="8"/>
        <v/>
      </c>
      <c r="Q23" s="77"/>
      <c r="R23" s="74"/>
      <c r="S23" s="73" t="str">
        <f t="shared" si="9"/>
        <v/>
      </c>
      <c r="T23" s="78" t="str">
        <f t="shared" si="10"/>
        <v/>
      </c>
      <c r="U23" s="79" t="str">
        <f t="shared" si="20"/>
        <v/>
      </c>
      <c r="V23" s="74"/>
      <c r="W23" s="74"/>
      <c r="X23" s="74"/>
      <c r="Y23" s="73" t="str">
        <f t="shared" si="11"/>
        <v/>
      </c>
      <c r="Z23" s="73" t="str">
        <f t="shared" si="12"/>
        <v/>
      </c>
      <c r="AA23" s="80"/>
      <c r="AB23" s="72" t="str">
        <f t="shared" si="13"/>
        <v/>
      </c>
      <c r="AC23" s="80"/>
      <c r="AD23" s="81" t="str">
        <f t="shared" si="14"/>
        <v/>
      </c>
      <c r="AE23" s="73" t="str">
        <f t="shared" si="15"/>
        <v/>
      </c>
      <c r="AF23" s="82" t="str">
        <f t="shared" si="16"/>
        <v/>
      </c>
      <c r="AH23" s="83" t="str">
        <f t="shared" si="21"/>
        <v/>
      </c>
      <c r="AI23" s="84" t="str">
        <f t="shared" si="17"/>
        <v/>
      </c>
    </row>
    <row r="24" spans="2:35" ht="18.95" customHeight="1" x14ac:dyDescent="0.25">
      <c r="B24" s="70">
        <v>15</v>
      </c>
      <c r="C24" s="71"/>
      <c r="D24" s="72" t="str">
        <f t="shared" si="0"/>
        <v/>
      </c>
      <c r="E24" s="73" t="str">
        <f>IF(C24="","",N(INDEX(Avancement!$I$51:$AF$51,1,B24)))</f>
        <v/>
      </c>
      <c r="F24" s="74"/>
      <c r="G24" s="73" t="str">
        <f t="shared" si="18"/>
        <v/>
      </c>
      <c r="H24" s="75" t="str">
        <f t="shared" si="1"/>
        <v/>
      </c>
      <c r="I24" s="76" t="str">
        <f t="shared" si="2"/>
        <v/>
      </c>
      <c r="J24" s="73" t="str">
        <f t="shared" si="3"/>
        <v/>
      </c>
      <c r="K24" s="73" t="str">
        <f t="shared" si="19"/>
        <v/>
      </c>
      <c r="L24" s="73" t="str">
        <f t="shared" si="4"/>
        <v/>
      </c>
      <c r="M24" s="73" t="str">
        <f t="shared" si="5"/>
        <v/>
      </c>
      <c r="N24" s="73" t="str">
        <f t="shared" si="6"/>
        <v/>
      </c>
      <c r="O24" s="73" t="str">
        <f t="shared" si="7"/>
        <v/>
      </c>
      <c r="P24" s="73" t="str">
        <f t="shared" si="8"/>
        <v/>
      </c>
      <c r="Q24" s="77"/>
      <c r="R24" s="74"/>
      <c r="S24" s="73" t="str">
        <f t="shared" si="9"/>
        <v/>
      </c>
      <c r="T24" s="78" t="str">
        <f t="shared" si="10"/>
        <v/>
      </c>
      <c r="U24" s="79" t="str">
        <f t="shared" si="20"/>
        <v/>
      </c>
      <c r="V24" s="74"/>
      <c r="W24" s="74"/>
      <c r="X24" s="74"/>
      <c r="Y24" s="73" t="str">
        <f t="shared" si="11"/>
        <v/>
      </c>
      <c r="Z24" s="73" t="str">
        <f t="shared" si="12"/>
        <v/>
      </c>
      <c r="AA24" s="80"/>
      <c r="AB24" s="72" t="str">
        <f t="shared" si="13"/>
        <v/>
      </c>
      <c r="AC24" s="80"/>
      <c r="AD24" s="81" t="str">
        <f t="shared" si="14"/>
        <v/>
      </c>
      <c r="AE24" s="73" t="str">
        <f t="shared" si="15"/>
        <v/>
      </c>
      <c r="AF24" s="82" t="str">
        <f t="shared" si="16"/>
        <v/>
      </c>
      <c r="AH24" s="83" t="str">
        <f t="shared" si="21"/>
        <v/>
      </c>
      <c r="AI24" s="84" t="str">
        <f t="shared" si="17"/>
        <v/>
      </c>
    </row>
    <row r="25" spans="2:35" ht="18.95" customHeight="1" x14ac:dyDescent="0.25">
      <c r="B25" s="70">
        <v>16</v>
      </c>
      <c r="C25" s="71"/>
      <c r="D25" s="72" t="str">
        <f t="shared" si="0"/>
        <v/>
      </c>
      <c r="E25" s="73" t="str">
        <f>IF(C25="","",N(INDEX(Avancement!$I$51:$AF$51,1,B25)))</f>
        <v/>
      </c>
      <c r="F25" s="74"/>
      <c r="G25" s="73" t="str">
        <f t="shared" si="18"/>
        <v/>
      </c>
      <c r="H25" s="75" t="str">
        <f t="shared" si="1"/>
        <v/>
      </c>
      <c r="I25" s="76" t="str">
        <f t="shared" si="2"/>
        <v/>
      </c>
      <c r="J25" s="73" t="str">
        <f t="shared" si="3"/>
        <v/>
      </c>
      <c r="K25" s="73" t="str">
        <f t="shared" si="19"/>
        <v/>
      </c>
      <c r="L25" s="73" t="str">
        <f t="shared" si="4"/>
        <v/>
      </c>
      <c r="M25" s="73" t="str">
        <f t="shared" si="5"/>
        <v/>
      </c>
      <c r="N25" s="73" t="str">
        <f t="shared" si="6"/>
        <v/>
      </c>
      <c r="O25" s="73" t="str">
        <f t="shared" si="7"/>
        <v/>
      </c>
      <c r="P25" s="73" t="str">
        <f t="shared" si="8"/>
        <v/>
      </c>
      <c r="Q25" s="77"/>
      <c r="R25" s="74"/>
      <c r="S25" s="73" t="str">
        <f t="shared" si="9"/>
        <v/>
      </c>
      <c r="T25" s="78" t="str">
        <f t="shared" si="10"/>
        <v/>
      </c>
      <c r="U25" s="79" t="str">
        <f t="shared" si="20"/>
        <v/>
      </c>
      <c r="V25" s="74"/>
      <c r="W25" s="74"/>
      <c r="X25" s="74"/>
      <c r="Y25" s="73" t="str">
        <f t="shared" si="11"/>
        <v/>
      </c>
      <c r="Z25" s="73" t="str">
        <f t="shared" si="12"/>
        <v/>
      </c>
      <c r="AA25" s="80"/>
      <c r="AB25" s="72" t="str">
        <f t="shared" si="13"/>
        <v/>
      </c>
      <c r="AC25" s="80"/>
      <c r="AD25" s="81" t="str">
        <f t="shared" si="14"/>
        <v/>
      </c>
      <c r="AE25" s="73" t="str">
        <f t="shared" si="15"/>
        <v/>
      </c>
      <c r="AF25" s="82" t="str">
        <f t="shared" si="16"/>
        <v/>
      </c>
      <c r="AH25" s="83" t="str">
        <f t="shared" si="21"/>
        <v/>
      </c>
      <c r="AI25" s="84" t="str">
        <f t="shared" si="17"/>
        <v/>
      </c>
    </row>
    <row r="26" spans="2:35" ht="18.95" customHeight="1" x14ac:dyDescent="0.25">
      <c r="B26" s="70">
        <v>17</v>
      </c>
      <c r="C26" s="71"/>
      <c r="D26" s="72" t="str">
        <f t="shared" si="0"/>
        <v/>
      </c>
      <c r="E26" s="73" t="str">
        <f>IF(C26="","",N(INDEX(Avancement!$I$51:$AF$51,1,B26)))</f>
        <v/>
      </c>
      <c r="F26" s="74"/>
      <c r="G26" s="73" t="str">
        <f t="shared" si="18"/>
        <v/>
      </c>
      <c r="H26" s="75" t="str">
        <f t="shared" si="1"/>
        <v/>
      </c>
      <c r="I26" s="76" t="str">
        <f t="shared" si="2"/>
        <v/>
      </c>
      <c r="J26" s="73" t="str">
        <f t="shared" si="3"/>
        <v/>
      </c>
      <c r="K26" s="73" t="str">
        <f t="shared" si="19"/>
        <v/>
      </c>
      <c r="L26" s="73" t="str">
        <f t="shared" si="4"/>
        <v/>
      </c>
      <c r="M26" s="73" t="str">
        <f t="shared" si="5"/>
        <v/>
      </c>
      <c r="N26" s="73" t="str">
        <f t="shared" si="6"/>
        <v/>
      </c>
      <c r="O26" s="73" t="str">
        <f t="shared" si="7"/>
        <v/>
      </c>
      <c r="P26" s="73" t="str">
        <f t="shared" si="8"/>
        <v/>
      </c>
      <c r="Q26" s="77"/>
      <c r="R26" s="74"/>
      <c r="S26" s="73" t="str">
        <f t="shared" si="9"/>
        <v/>
      </c>
      <c r="T26" s="78" t="str">
        <f t="shared" si="10"/>
        <v/>
      </c>
      <c r="U26" s="79" t="str">
        <f t="shared" si="20"/>
        <v/>
      </c>
      <c r="V26" s="74"/>
      <c r="W26" s="74"/>
      <c r="X26" s="74"/>
      <c r="Y26" s="73" t="str">
        <f t="shared" si="11"/>
        <v/>
      </c>
      <c r="Z26" s="73" t="str">
        <f t="shared" si="12"/>
        <v/>
      </c>
      <c r="AA26" s="80"/>
      <c r="AB26" s="72" t="str">
        <f t="shared" si="13"/>
        <v/>
      </c>
      <c r="AC26" s="80"/>
      <c r="AD26" s="81" t="str">
        <f t="shared" si="14"/>
        <v/>
      </c>
      <c r="AE26" s="73" t="str">
        <f t="shared" si="15"/>
        <v/>
      </c>
      <c r="AF26" s="82" t="str">
        <f t="shared" si="16"/>
        <v/>
      </c>
      <c r="AH26" s="83" t="str">
        <f t="shared" si="21"/>
        <v/>
      </c>
      <c r="AI26" s="84" t="str">
        <f t="shared" si="17"/>
        <v/>
      </c>
    </row>
    <row r="27" spans="2:35" ht="18.95" customHeight="1" x14ac:dyDescent="0.25">
      <c r="B27" s="70">
        <v>18</v>
      </c>
      <c r="C27" s="71"/>
      <c r="D27" s="72" t="str">
        <f t="shared" si="0"/>
        <v/>
      </c>
      <c r="E27" s="73" t="str">
        <f>IF(C27="","",N(INDEX(Avancement!$I$51:$AF$51,1,B27)))</f>
        <v/>
      </c>
      <c r="F27" s="74"/>
      <c r="G27" s="73" t="str">
        <f t="shared" si="18"/>
        <v/>
      </c>
      <c r="H27" s="75" t="str">
        <f t="shared" si="1"/>
        <v/>
      </c>
      <c r="I27" s="76" t="str">
        <f t="shared" si="2"/>
        <v/>
      </c>
      <c r="J27" s="73" t="str">
        <f t="shared" si="3"/>
        <v/>
      </c>
      <c r="K27" s="73" t="str">
        <f t="shared" si="19"/>
        <v/>
      </c>
      <c r="L27" s="73" t="str">
        <f t="shared" si="4"/>
        <v/>
      </c>
      <c r="M27" s="73" t="str">
        <f t="shared" si="5"/>
        <v/>
      </c>
      <c r="N27" s="73" t="str">
        <f t="shared" si="6"/>
        <v/>
      </c>
      <c r="O27" s="73" t="str">
        <f t="shared" si="7"/>
        <v/>
      </c>
      <c r="P27" s="73" t="str">
        <f t="shared" si="8"/>
        <v/>
      </c>
      <c r="Q27" s="77"/>
      <c r="R27" s="74"/>
      <c r="S27" s="73" t="str">
        <f t="shared" si="9"/>
        <v/>
      </c>
      <c r="T27" s="78" t="str">
        <f t="shared" si="10"/>
        <v/>
      </c>
      <c r="U27" s="79" t="str">
        <f t="shared" si="20"/>
        <v/>
      </c>
      <c r="V27" s="74"/>
      <c r="W27" s="74"/>
      <c r="X27" s="74"/>
      <c r="Y27" s="73" t="str">
        <f t="shared" si="11"/>
        <v/>
      </c>
      <c r="Z27" s="73" t="str">
        <f t="shared" si="12"/>
        <v/>
      </c>
      <c r="AA27" s="80"/>
      <c r="AB27" s="72" t="str">
        <f t="shared" si="13"/>
        <v/>
      </c>
      <c r="AC27" s="80"/>
      <c r="AD27" s="81" t="str">
        <f t="shared" si="14"/>
        <v/>
      </c>
      <c r="AE27" s="73" t="str">
        <f t="shared" si="15"/>
        <v/>
      </c>
      <c r="AF27" s="82" t="str">
        <f t="shared" si="16"/>
        <v/>
      </c>
      <c r="AH27" s="83" t="str">
        <f t="shared" si="21"/>
        <v/>
      </c>
      <c r="AI27" s="84" t="str">
        <f t="shared" si="17"/>
        <v/>
      </c>
    </row>
    <row r="28" spans="2:35" ht="18.95" customHeight="1" x14ac:dyDescent="0.25">
      <c r="B28" s="70">
        <v>19</v>
      </c>
      <c r="C28" s="71"/>
      <c r="D28" s="72" t="str">
        <f t="shared" si="0"/>
        <v/>
      </c>
      <c r="E28" s="73" t="str">
        <f>IF(C28="","",N(INDEX(Avancement!$I$51:$AF$51,1,B28)))</f>
        <v/>
      </c>
      <c r="F28" s="74"/>
      <c r="G28" s="73" t="str">
        <f t="shared" si="18"/>
        <v/>
      </c>
      <c r="H28" s="75" t="str">
        <f t="shared" si="1"/>
        <v/>
      </c>
      <c r="I28" s="76" t="str">
        <f t="shared" si="2"/>
        <v/>
      </c>
      <c r="J28" s="73" t="str">
        <f t="shared" si="3"/>
        <v/>
      </c>
      <c r="K28" s="73" t="str">
        <f t="shared" si="19"/>
        <v/>
      </c>
      <c r="L28" s="73" t="str">
        <f t="shared" si="4"/>
        <v/>
      </c>
      <c r="M28" s="73" t="str">
        <f t="shared" si="5"/>
        <v/>
      </c>
      <c r="N28" s="73" t="str">
        <f t="shared" si="6"/>
        <v/>
      </c>
      <c r="O28" s="73" t="str">
        <f t="shared" si="7"/>
        <v/>
      </c>
      <c r="P28" s="73" t="str">
        <f t="shared" si="8"/>
        <v/>
      </c>
      <c r="Q28" s="77"/>
      <c r="R28" s="74"/>
      <c r="S28" s="73" t="str">
        <f t="shared" si="9"/>
        <v/>
      </c>
      <c r="T28" s="78" t="str">
        <f t="shared" si="10"/>
        <v/>
      </c>
      <c r="U28" s="79" t="str">
        <f t="shared" si="20"/>
        <v/>
      </c>
      <c r="V28" s="74"/>
      <c r="W28" s="74"/>
      <c r="X28" s="74"/>
      <c r="Y28" s="73" t="str">
        <f t="shared" si="11"/>
        <v/>
      </c>
      <c r="Z28" s="73" t="str">
        <f t="shared" si="12"/>
        <v/>
      </c>
      <c r="AA28" s="80"/>
      <c r="AB28" s="72" t="str">
        <f t="shared" si="13"/>
        <v/>
      </c>
      <c r="AC28" s="80"/>
      <c r="AD28" s="81" t="str">
        <f t="shared" si="14"/>
        <v/>
      </c>
      <c r="AE28" s="73" t="str">
        <f t="shared" si="15"/>
        <v/>
      </c>
      <c r="AF28" s="82" t="str">
        <f t="shared" si="16"/>
        <v/>
      </c>
      <c r="AH28" s="83" t="str">
        <f t="shared" si="21"/>
        <v/>
      </c>
      <c r="AI28" s="84" t="str">
        <f t="shared" si="17"/>
        <v/>
      </c>
    </row>
    <row r="29" spans="2:35" ht="18.95" customHeight="1" x14ac:dyDescent="0.25">
      <c r="B29" s="70">
        <v>20</v>
      </c>
      <c r="C29" s="71"/>
      <c r="D29" s="72" t="str">
        <f t="shared" si="0"/>
        <v/>
      </c>
      <c r="E29" s="73" t="str">
        <f>IF(C29="","",N(INDEX(Avancement!$I$51:$AF$51,1,B29)))</f>
        <v/>
      </c>
      <c r="F29" s="74"/>
      <c r="G29" s="73" t="str">
        <f t="shared" si="18"/>
        <v/>
      </c>
      <c r="H29" s="75" t="str">
        <f t="shared" si="1"/>
        <v/>
      </c>
      <c r="I29" s="76" t="str">
        <f t="shared" si="2"/>
        <v/>
      </c>
      <c r="J29" s="73" t="str">
        <f t="shared" si="3"/>
        <v/>
      </c>
      <c r="K29" s="73" t="str">
        <f t="shared" si="19"/>
        <v/>
      </c>
      <c r="L29" s="73" t="str">
        <f t="shared" si="4"/>
        <v/>
      </c>
      <c r="M29" s="73" t="str">
        <f t="shared" si="5"/>
        <v/>
      </c>
      <c r="N29" s="73" t="str">
        <f t="shared" si="6"/>
        <v/>
      </c>
      <c r="O29" s="73" t="str">
        <f t="shared" si="7"/>
        <v/>
      </c>
      <c r="P29" s="73" t="str">
        <f t="shared" si="8"/>
        <v/>
      </c>
      <c r="Q29" s="77"/>
      <c r="R29" s="74"/>
      <c r="S29" s="73" t="str">
        <f t="shared" si="9"/>
        <v/>
      </c>
      <c r="T29" s="78" t="str">
        <f t="shared" si="10"/>
        <v/>
      </c>
      <c r="U29" s="79" t="str">
        <f t="shared" si="20"/>
        <v/>
      </c>
      <c r="V29" s="74"/>
      <c r="W29" s="74"/>
      <c r="X29" s="74"/>
      <c r="Y29" s="73" t="str">
        <f t="shared" si="11"/>
        <v/>
      </c>
      <c r="Z29" s="73" t="str">
        <f t="shared" si="12"/>
        <v/>
      </c>
      <c r="AA29" s="80"/>
      <c r="AB29" s="72" t="str">
        <f t="shared" si="13"/>
        <v/>
      </c>
      <c r="AC29" s="80"/>
      <c r="AD29" s="81" t="str">
        <f t="shared" si="14"/>
        <v/>
      </c>
      <c r="AE29" s="73" t="str">
        <f t="shared" si="15"/>
        <v/>
      </c>
      <c r="AF29" s="82" t="str">
        <f t="shared" si="16"/>
        <v/>
      </c>
      <c r="AH29" s="83" t="str">
        <f t="shared" si="21"/>
        <v/>
      </c>
      <c r="AI29" s="84" t="str">
        <f t="shared" si="17"/>
        <v/>
      </c>
    </row>
    <row r="30" spans="2:35" ht="18.95" customHeight="1" x14ac:dyDescent="0.25">
      <c r="B30" s="70">
        <v>21</v>
      </c>
      <c r="C30" s="71"/>
      <c r="D30" s="72" t="str">
        <f t="shared" si="0"/>
        <v/>
      </c>
      <c r="E30" s="73" t="str">
        <f>IF(C30="","",N(INDEX(Avancement!$I$51:$AF$51,1,B30)))</f>
        <v/>
      </c>
      <c r="F30" s="74"/>
      <c r="G30" s="73" t="str">
        <f t="shared" si="18"/>
        <v/>
      </c>
      <c r="H30" s="75" t="str">
        <f t="shared" si="1"/>
        <v/>
      </c>
      <c r="I30" s="76" t="str">
        <f t="shared" si="2"/>
        <v/>
      </c>
      <c r="J30" s="73" t="str">
        <f t="shared" si="3"/>
        <v/>
      </c>
      <c r="K30" s="73" t="str">
        <f t="shared" si="19"/>
        <v/>
      </c>
      <c r="L30" s="73" t="str">
        <f t="shared" si="4"/>
        <v/>
      </c>
      <c r="M30" s="73" t="str">
        <f t="shared" si="5"/>
        <v/>
      </c>
      <c r="N30" s="73" t="str">
        <f t="shared" si="6"/>
        <v/>
      </c>
      <c r="O30" s="73" t="str">
        <f t="shared" si="7"/>
        <v/>
      </c>
      <c r="P30" s="73" t="str">
        <f t="shared" si="8"/>
        <v/>
      </c>
      <c r="Q30" s="77"/>
      <c r="R30" s="74"/>
      <c r="S30" s="73" t="str">
        <f t="shared" si="9"/>
        <v/>
      </c>
      <c r="T30" s="78" t="str">
        <f t="shared" si="10"/>
        <v/>
      </c>
      <c r="U30" s="79" t="str">
        <f t="shared" si="20"/>
        <v/>
      </c>
      <c r="V30" s="74"/>
      <c r="W30" s="74"/>
      <c r="X30" s="74"/>
      <c r="Y30" s="73" t="str">
        <f t="shared" si="11"/>
        <v/>
      </c>
      <c r="Z30" s="73" t="str">
        <f t="shared" si="12"/>
        <v/>
      </c>
      <c r="AA30" s="80"/>
      <c r="AB30" s="72" t="str">
        <f t="shared" si="13"/>
        <v/>
      </c>
      <c r="AC30" s="80"/>
      <c r="AD30" s="81" t="str">
        <f t="shared" si="14"/>
        <v/>
      </c>
      <c r="AE30" s="73" t="str">
        <f t="shared" si="15"/>
        <v/>
      </c>
      <c r="AF30" s="82" t="str">
        <f t="shared" si="16"/>
        <v/>
      </c>
      <c r="AH30" s="83" t="str">
        <f t="shared" si="21"/>
        <v/>
      </c>
      <c r="AI30" s="84" t="str">
        <f t="shared" si="17"/>
        <v/>
      </c>
    </row>
    <row r="31" spans="2:35" ht="18.95" customHeight="1" x14ac:dyDescent="0.25">
      <c r="B31" s="70">
        <v>22</v>
      </c>
      <c r="C31" s="71"/>
      <c r="D31" s="72" t="str">
        <f t="shared" si="0"/>
        <v/>
      </c>
      <c r="E31" s="73" t="str">
        <f>IF(C31="","",N(INDEX(Avancement!$I$51:$AF$51,1,B31)))</f>
        <v/>
      </c>
      <c r="F31" s="74"/>
      <c r="G31" s="73" t="str">
        <f t="shared" si="18"/>
        <v/>
      </c>
      <c r="H31" s="75" t="str">
        <f t="shared" si="1"/>
        <v/>
      </c>
      <c r="I31" s="76" t="str">
        <f t="shared" si="2"/>
        <v/>
      </c>
      <c r="J31" s="73" t="str">
        <f t="shared" si="3"/>
        <v/>
      </c>
      <c r="K31" s="73" t="str">
        <f t="shared" si="19"/>
        <v/>
      </c>
      <c r="L31" s="73" t="str">
        <f t="shared" si="4"/>
        <v/>
      </c>
      <c r="M31" s="73" t="str">
        <f t="shared" si="5"/>
        <v/>
      </c>
      <c r="N31" s="73" t="str">
        <f t="shared" si="6"/>
        <v/>
      </c>
      <c r="O31" s="73" t="str">
        <f t="shared" si="7"/>
        <v/>
      </c>
      <c r="P31" s="73" t="str">
        <f t="shared" si="8"/>
        <v/>
      </c>
      <c r="Q31" s="77"/>
      <c r="R31" s="74"/>
      <c r="S31" s="73" t="str">
        <f t="shared" si="9"/>
        <v/>
      </c>
      <c r="T31" s="78" t="str">
        <f t="shared" si="10"/>
        <v/>
      </c>
      <c r="U31" s="79" t="str">
        <f t="shared" si="20"/>
        <v/>
      </c>
      <c r="V31" s="74"/>
      <c r="W31" s="74"/>
      <c r="X31" s="74"/>
      <c r="Y31" s="73" t="str">
        <f t="shared" si="11"/>
        <v/>
      </c>
      <c r="Z31" s="73" t="str">
        <f t="shared" si="12"/>
        <v/>
      </c>
      <c r="AA31" s="80"/>
      <c r="AB31" s="72" t="str">
        <f t="shared" si="13"/>
        <v/>
      </c>
      <c r="AC31" s="80"/>
      <c r="AD31" s="81" t="str">
        <f t="shared" si="14"/>
        <v/>
      </c>
      <c r="AE31" s="73" t="str">
        <f t="shared" si="15"/>
        <v/>
      </c>
      <c r="AF31" s="82" t="str">
        <f t="shared" si="16"/>
        <v/>
      </c>
      <c r="AH31" s="83" t="str">
        <f t="shared" si="21"/>
        <v/>
      </c>
      <c r="AI31" s="84" t="str">
        <f t="shared" si="17"/>
        <v/>
      </c>
    </row>
    <row r="32" spans="2:35" ht="18.95" customHeight="1" x14ac:dyDescent="0.25">
      <c r="B32" s="70">
        <v>23</v>
      </c>
      <c r="C32" s="71"/>
      <c r="D32" s="72" t="str">
        <f t="shared" si="0"/>
        <v/>
      </c>
      <c r="E32" s="73" t="str">
        <f>IF(C32="","",N(INDEX(Avancement!$I$51:$AF$51,1,B32)))</f>
        <v/>
      </c>
      <c r="F32" s="74"/>
      <c r="G32" s="73" t="str">
        <f t="shared" si="18"/>
        <v/>
      </c>
      <c r="H32" s="75" t="str">
        <f t="shared" si="1"/>
        <v/>
      </c>
      <c r="I32" s="76" t="str">
        <f t="shared" si="2"/>
        <v/>
      </c>
      <c r="J32" s="73" t="str">
        <f t="shared" si="3"/>
        <v/>
      </c>
      <c r="K32" s="73" t="str">
        <f t="shared" si="19"/>
        <v/>
      </c>
      <c r="L32" s="73" t="str">
        <f t="shared" si="4"/>
        <v/>
      </c>
      <c r="M32" s="73" t="str">
        <f t="shared" si="5"/>
        <v/>
      </c>
      <c r="N32" s="73" t="str">
        <f t="shared" si="6"/>
        <v/>
      </c>
      <c r="O32" s="73" t="str">
        <f t="shared" si="7"/>
        <v/>
      </c>
      <c r="P32" s="73" t="str">
        <f t="shared" si="8"/>
        <v/>
      </c>
      <c r="Q32" s="77"/>
      <c r="R32" s="74"/>
      <c r="S32" s="73" t="str">
        <f t="shared" si="9"/>
        <v/>
      </c>
      <c r="T32" s="78" t="str">
        <f t="shared" si="10"/>
        <v/>
      </c>
      <c r="U32" s="79" t="str">
        <f t="shared" si="20"/>
        <v/>
      </c>
      <c r="V32" s="74"/>
      <c r="W32" s="74"/>
      <c r="X32" s="74"/>
      <c r="Y32" s="73" t="str">
        <f t="shared" si="11"/>
        <v/>
      </c>
      <c r="Z32" s="73" t="str">
        <f t="shared" si="12"/>
        <v/>
      </c>
      <c r="AA32" s="80"/>
      <c r="AB32" s="72" t="str">
        <f t="shared" si="13"/>
        <v/>
      </c>
      <c r="AC32" s="80"/>
      <c r="AD32" s="81" t="str">
        <f t="shared" si="14"/>
        <v/>
      </c>
      <c r="AE32" s="73" t="str">
        <f t="shared" si="15"/>
        <v/>
      </c>
      <c r="AF32" s="82" t="str">
        <f t="shared" si="16"/>
        <v/>
      </c>
      <c r="AH32" s="83" t="str">
        <f t="shared" si="21"/>
        <v/>
      </c>
      <c r="AI32" s="84" t="str">
        <f t="shared" si="17"/>
        <v/>
      </c>
    </row>
    <row r="33" spans="2:35" ht="18.95" customHeight="1" x14ac:dyDescent="0.25">
      <c r="B33" s="70">
        <v>24</v>
      </c>
      <c r="C33" s="71"/>
      <c r="D33" s="72" t="str">
        <f t="shared" si="0"/>
        <v/>
      </c>
      <c r="E33" s="73" t="str">
        <f>IF(C33="","",N(INDEX(Avancement!$I$51:$AF$51,1,B33)))</f>
        <v/>
      </c>
      <c r="F33" s="74"/>
      <c r="G33" s="73" t="str">
        <f t="shared" si="18"/>
        <v/>
      </c>
      <c r="H33" s="75" t="str">
        <f t="shared" si="1"/>
        <v/>
      </c>
      <c r="I33" s="76" t="str">
        <f t="shared" si="2"/>
        <v/>
      </c>
      <c r="J33" s="73" t="str">
        <f t="shared" si="3"/>
        <v/>
      </c>
      <c r="K33" s="73" t="str">
        <f t="shared" si="19"/>
        <v/>
      </c>
      <c r="L33" s="73" t="str">
        <f t="shared" si="4"/>
        <v/>
      </c>
      <c r="M33" s="73" t="str">
        <f t="shared" si="5"/>
        <v/>
      </c>
      <c r="N33" s="73" t="str">
        <f t="shared" si="6"/>
        <v/>
      </c>
      <c r="O33" s="73" t="str">
        <f t="shared" si="7"/>
        <v/>
      </c>
      <c r="P33" s="73" t="str">
        <f t="shared" si="8"/>
        <v/>
      </c>
      <c r="Q33" s="77"/>
      <c r="R33" s="74"/>
      <c r="S33" s="73" t="str">
        <f t="shared" si="9"/>
        <v/>
      </c>
      <c r="T33" s="78" t="str">
        <f t="shared" si="10"/>
        <v/>
      </c>
      <c r="U33" s="79" t="str">
        <f t="shared" si="20"/>
        <v/>
      </c>
      <c r="V33" s="74"/>
      <c r="W33" s="74"/>
      <c r="X33" s="74"/>
      <c r="Y33" s="73" t="str">
        <f t="shared" si="11"/>
        <v/>
      </c>
      <c r="Z33" s="73" t="str">
        <f t="shared" si="12"/>
        <v/>
      </c>
      <c r="AA33" s="80"/>
      <c r="AB33" s="72" t="str">
        <f t="shared" si="13"/>
        <v/>
      </c>
      <c r="AC33" s="80"/>
      <c r="AD33" s="81" t="str">
        <f t="shared" si="14"/>
        <v/>
      </c>
      <c r="AE33" s="73" t="str">
        <f t="shared" si="15"/>
        <v/>
      </c>
      <c r="AF33" s="82" t="str">
        <f t="shared" si="16"/>
        <v/>
      </c>
      <c r="AH33" s="83" t="str">
        <f t="shared" si="21"/>
        <v/>
      </c>
      <c r="AI33" s="84" t="str">
        <f t="shared" si="17"/>
        <v/>
      </c>
    </row>
    <row r="34" spans="2:35" ht="21.95" customHeight="1" x14ac:dyDescent="0.25">
      <c r="B34" s="182" t="s">
        <v>131</v>
      </c>
      <c r="C34" s="130"/>
      <c r="D34" s="130"/>
      <c r="E34" s="30"/>
      <c r="F34" s="30"/>
      <c r="G34" s="85">
        <f>SUM(G10:G33)</f>
        <v>363357.5</v>
      </c>
      <c r="H34" s="30"/>
      <c r="I34" s="30"/>
      <c r="J34" s="85">
        <f>SUM(J10:J33)</f>
        <v>4587.9799999999996</v>
      </c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85">
        <f t="shared" ref="U34:Z34" si="22">SUM(U10:U33)</f>
        <v>373169.36999999994</v>
      </c>
      <c r="V34" s="85">
        <f t="shared" si="22"/>
        <v>34900</v>
      </c>
      <c r="W34" s="85">
        <f t="shared" si="22"/>
        <v>8400</v>
      </c>
      <c r="X34" s="85">
        <f t="shared" si="22"/>
        <v>0</v>
      </c>
      <c r="Y34" s="85">
        <f t="shared" si="22"/>
        <v>43300</v>
      </c>
      <c r="Z34" s="85">
        <f t="shared" si="22"/>
        <v>329869.36999999994</v>
      </c>
      <c r="AA34" s="30"/>
      <c r="AB34" s="30"/>
      <c r="AC34" s="30"/>
      <c r="AD34" s="30"/>
      <c r="AE34" s="85">
        <f ca="1">SUM(AE10:AE33)</f>
        <v>284.35000000000002</v>
      </c>
      <c r="AF34" s="30"/>
    </row>
  </sheetData>
  <mergeCells count="10">
    <mergeCell ref="B34:D34"/>
    <mergeCell ref="O8:S8"/>
    <mergeCell ref="H8:K8"/>
    <mergeCell ref="B8:D8"/>
    <mergeCell ref="E8:G8"/>
    <mergeCell ref="AD6:AE6"/>
    <mergeCell ref="L8:N8"/>
    <mergeCell ref="T8:U8"/>
    <mergeCell ref="AA8:AF8"/>
    <mergeCell ref="V8:Z8"/>
  </mergeCells>
  <conditionalFormatting sqref="B10:B33">
    <cfRule type="expression" dxfId="18" priority="10">
      <formula>$C10=""</formula>
    </cfRule>
  </conditionalFormatting>
  <conditionalFormatting sqref="B10:AF33">
    <cfRule type="expression" dxfId="17" priority="9">
      <formula>$B10=EtatChoisi</formula>
    </cfRule>
  </conditionalFormatting>
  <conditionalFormatting sqref="I10:I33">
    <cfRule type="expression" dxfId="16" priority="4" stopIfTrue="1">
      <formula>$I10="Absent"</formula>
    </cfRule>
    <cfRule type="expression" dxfId="15" priority="5" stopIfTrue="1">
      <formula>$I10="Provisoire"</formula>
    </cfRule>
    <cfRule type="expression" dxfId="14" priority="6" stopIfTrue="1">
      <formula>$I10="Définitif"</formula>
    </cfRule>
    <cfRule type="expression" dxfId="13" priority="7" stopIfTrue="1">
      <formula>$I10="Sans objet"</formula>
    </cfRule>
  </conditionalFormatting>
  <conditionalFormatting sqref="AD10:AE33">
    <cfRule type="expression" dxfId="12" priority="8">
      <formula>N($AD10)&gt;0</formula>
    </cfRule>
  </conditionalFormatting>
  <conditionalFormatting sqref="AF10:AF33">
    <cfRule type="expression" dxfId="11" priority="1" stopIfTrue="1">
      <formula>$AF10="Échu – non payé"</formula>
    </cfRule>
    <cfRule type="expression" dxfId="10" priority="2" stopIfTrue="1">
      <formula>OR($AF10="En attente",$AF10="Demande à transmettre",$AF10="Payé en retard")</formula>
    </cfRule>
    <cfRule type="expression" dxfId="9" priority="3" stopIfTrue="1">
      <formula>$AF10="Payé"</formula>
    </cfRule>
  </conditionalFormatting>
  <dataValidations count="7">
    <dataValidation type="date" allowBlank="1" showInputMessage="1" showErrorMessage="1" errorTitle="Date non valide" error="Saisissez une date au format jj/mm/aaaa." promptTitle="Mois d'exécution" prompt="Premier jour du mois d'exécution (ex. 01/03/2027). Saisissez les mois sans laisser de ligne vide." sqref="C10:C33" xr:uid="{00000000-0002-0000-0200-000000000000}">
      <formula1>36526</formula1>
      <formula2>73051</formula2>
    </dataValidation>
    <dataValidation type="decimal" allowBlank="1" showInputMessage="1" showErrorMessage="1" errorTitle="Valeur non valide" error="Solde des approvisionnements présents sur le chantier à la fin du mois (HT)." prompt="Approvisionnements" sqref="F10:F33" xr:uid="{00000000-0002-0000-0200-000001000000}">
      <formula1>0</formula1>
      <formula2>100000000</formula2>
    </dataValidation>
    <dataValidation type="whole" allowBlank="1" showErrorMessage="1" errorTitle="Valeur non valide" error="Nombre de jours de retard constatés sur la période." sqref="Q10:Q33" xr:uid="{00000000-0002-0000-0200-000002000000}">
      <formula1>0</formula1>
      <formula2>3650</formula2>
    </dataValidation>
    <dataValidation type="decimal" allowBlank="1" showErrorMessage="1" errorTitle="Valeur non valide" error="Autres pénalités prévues au CCAP pour la période (€)." sqref="R10:R33" xr:uid="{00000000-0002-0000-0200-000003000000}">
      <formula1>0</formula1>
      <formula2>100000000</formula2>
    </dataValidation>
    <dataValidation type="decimal" allowBlank="1" showErrorMessage="1" errorTitle="Valeur non valide" error="Montant HT des prestations du sous-traitant sur la période." sqref="V10:X33" xr:uid="{00000000-0002-0000-0200-000004000000}">
      <formula1>0</formula1>
      <formula2>100000000</formula2>
    </dataValidation>
    <dataValidation type="date" allowBlank="1" showInputMessage="1" showErrorMessage="1" errorTitle="Date non valide" error="Saisissez une date au format jj/mm/aaaa." promptTitle="Demande reçue" prompt="Date de réception de la demande de paiement : point de départ du délai de paiement." sqref="AA10:AA33" xr:uid="{00000000-0002-0000-0200-000005000000}">
      <formula1>36526</formula1>
      <formula2>73051</formula2>
    </dataValidation>
    <dataValidation type="date" allowBlank="1" showErrorMessage="1" errorTitle="Date non valide" error="Saisissez une date au format jj/mm/aaaa." sqref="AC10:AC33" xr:uid="{00000000-0002-0000-0200-000006000000}">
      <formula1>36526</formula1>
      <formula2>73051</formula2>
    </dataValidation>
  </dataValidations>
  <printOptions horizontalCentered="1"/>
  <pageMargins left="0.4" right="0.4" top="0.45" bottom="0.55000000000000004" header="0.5" footer="0.5"/>
  <pageSetup paperSize="9" fitToHeight="0" orientation="landscape"/>
  <headerFooter>
    <oddFooter>&amp;L&amp;8 &amp;K8A91A0État d'acompte – &amp;A&amp;R&amp;8 &amp;K8A91A0Page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D4A9A"/>
    <pageSetUpPr fitToPage="1"/>
  </sheetPr>
  <dimension ref="A1:AG53"/>
  <sheetViews>
    <sheetView showGridLines="0" zoomScale="90" workbookViewId="0">
      <pane xSplit="8" ySplit="10" topLeftCell="I11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" customWidth="1"/>
    <col min="2" max="2" width="7" customWidth="1"/>
    <col min="3" max="3" width="44" customWidth="1"/>
    <col min="4" max="4" width="16" customWidth="1"/>
    <col min="5" max="5" width="14" customWidth="1"/>
    <col min="6" max="6" width="11" customWidth="1"/>
    <col min="7" max="8" width="14" customWidth="1"/>
    <col min="9" max="32" width="7.42578125" customWidth="1"/>
    <col min="33" max="33" width="2" customWidth="1"/>
  </cols>
  <sheetData>
    <row r="1" spans="1:33" ht="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30" customHeight="1" x14ac:dyDescent="0.35">
      <c r="B2" s="60" t="s">
        <v>132</v>
      </c>
      <c r="H2" s="61" t="str">
        <f>"Marché n° "&amp;NumMarche&amp;"   ·   "&amp;Lot</f>
        <v>Marché n° 2026-TRX-014   ·   Lot 03 – Menuiseries extérieures</v>
      </c>
    </row>
    <row r="3" spans="1:33" ht="18" customHeight="1" x14ac:dyDescent="0.25">
      <c r="B3" s="3" t="s">
        <v>133</v>
      </c>
      <c r="H3" s="62" t="str">
        <f>"Titulaire : "&amp;Titulaire</f>
        <v>Titulaire : Menuiseries Durand &amp; Associés SAS</v>
      </c>
    </row>
    <row r="4" spans="1:33" ht="3.9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8.1" customHeight="1" x14ac:dyDescent="0.25"/>
    <row r="6" spans="1:33" ht="20.100000000000001" customHeight="1" x14ac:dyDescent="0.25">
      <c r="B6" s="63" t="s">
        <v>134</v>
      </c>
      <c r="F6" s="64" t="s">
        <v>98</v>
      </c>
      <c r="G6" s="186" t="s">
        <v>99</v>
      </c>
      <c r="H6" s="187"/>
    </row>
    <row r="7" spans="1:33" ht="8.1" customHeight="1" x14ac:dyDescent="0.25"/>
    <row r="8" spans="1:33" ht="18" customHeight="1" x14ac:dyDescent="0.25">
      <c r="B8" s="178" t="s">
        <v>135</v>
      </c>
      <c r="C8" s="179"/>
      <c r="D8" s="179"/>
      <c r="E8" s="179"/>
      <c r="F8" s="179"/>
      <c r="G8" s="179"/>
      <c r="H8" s="179"/>
      <c r="I8" s="178" t="s">
        <v>136</v>
      </c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</row>
    <row r="9" spans="1:33" ht="36" customHeight="1" x14ac:dyDescent="0.25">
      <c r="B9" s="68" t="s">
        <v>137</v>
      </c>
      <c r="C9" s="68" t="s">
        <v>138</v>
      </c>
      <c r="D9" s="68" t="s">
        <v>139</v>
      </c>
      <c r="E9" s="68" t="s">
        <v>140</v>
      </c>
      <c r="F9" s="67" t="s">
        <v>141</v>
      </c>
      <c r="G9" s="67" t="s">
        <v>142</v>
      </c>
      <c r="H9" s="67" t="s">
        <v>143</v>
      </c>
      <c r="I9" s="68" t="s">
        <v>144</v>
      </c>
      <c r="J9" s="68" t="s">
        <v>145</v>
      </c>
      <c r="K9" s="68" t="s">
        <v>146</v>
      </c>
      <c r="L9" s="68" t="s">
        <v>147</v>
      </c>
      <c r="M9" s="68" t="s">
        <v>148</v>
      </c>
      <c r="N9" s="68" t="s">
        <v>149</v>
      </c>
      <c r="O9" s="68" t="s">
        <v>150</v>
      </c>
      <c r="P9" s="68" t="s">
        <v>151</v>
      </c>
      <c r="Q9" s="68" t="s">
        <v>152</v>
      </c>
      <c r="R9" s="68" t="s">
        <v>153</v>
      </c>
      <c r="S9" s="68" t="s">
        <v>154</v>
      </c>
      <c r="T9" s="68" t="s">
        <v>155</v>
      </c>
      <c r="U9" s="68" t="s">
        <v>156</v>
      </c>
      <c r="V9" s="68" t="s">
        <v>157</v>
      </c>
      <c r="W9" s="68" t="s">
        <v>158</v>
      </c>
      <c r="X9" s="68" t="s">
        <v>159</v>
      </c>
      <c r="Y9" s="68" t="s">
        <v>160</v>
      </c>
      <c r="Z9" s="68" t="s">
        <v>161</v>
      </c>
      <c r="AA9" s="68" t="s">
        <v>162</v>
      </c>
      <c r="AB9" s="68" t="s">
        <v>163</v>
      </c>
      <c r="AC9" s="68" t="s">
        <v>164</v>
      </c>
      <c r="AD9" s="68" t="s">
        <v>165</v>
      </c>
      <c r="AE9" s="68" t="s">
        <v>166</v>
      </c>
      <c r="AF9" s="68" t="s">
        <v>167</v>
      </c>
    </row>
    <row r="10" spans="1:33" ht="15.95" customHeight="1" x14ac:dyDescent="0.25">
      <c r="B10" s="185" t="s">
        <v>168</v>
      </c>
      <c r="C10" s="138"/>
      <c r="D10" s="138"/>
      <c r="E10" s="138"/>
      <c r="F10" s="138"/>
      <c r="G10" s="138"/>
      <c r="H10" s="138"/>
      <c r="I10" s="86">
        <f>IF(Situations!$C$10="","",Situations!$C$10)</f>
        <v>46388</v>
      </c>
      <c r="J10" s="86">
        <f>IF(Situations!$C$11="","",Situations!$C$11)</f>
        <v>46419</v>
      </c>
      <c r="K10" s="86">
        <f>IF(Situations!$C$12="","",Situations!$C$12)</f>
        <v>46447</v>
      </c>
      <c r="L10" s="86">
        <f>IF(Situations!$C$13="","",Situations!$C$13)</f>
        <v>46478</v>
      </c>
      <c r="M10" s="86">
        <f>IF(Situations!$C$14="","",Situations!$C$14)</f>
        <v>46508</v>
      </c>
      <c r="N10" s="86">
        <f>IF(Situations!$C$15="","",Situations!$C$15)</f>
        <v>46539</v>
      </c>
      <c r="O10" s="86">
        <f>IF(Situations!$C$16="","",Situations!$C$16)</f>
        <v>46569</v>
      </c>
      <c r="P10" s="86">
        <f>IF(Situations!$C$17="","",Situations!$C$17)</f>
        <v>46600</v>
      </c>
      <c r="Q10" s="86" t="str">
        <f>IF(Situations!$C$18="","",Situations!$C$18)</f>
        <v/>
      </c>
      <c r="R10" s="86" t="str">
        <f>IF(Situations!$C$19="","",Situations!$C$19)</f>
        <v/>
      </c>
      <c r="S10" s="86" t="str">
        <f>IF(Situations!$C$20="","",Situations!$C$20)</f>
        <v/>
      </c>
      <c r="T10" s="86" t="str">
        <f>IF(Situations!$C$21="","",Situations!$C$21)</f>
        <v/>
      </c>
      <c r="U10" s="86" t="str">
        <f>IF(Situations!$C$22="","",Situations!$C$22)</f>
        <v/>
      </c>
      <c r="V10" s="86" t="str">
        <f>IF(Situations!$C$23="","",Situations!$C$23)</f>
        <v/>
      </c>
      <c r="W10" s="86" t="str">
        <f>IF(Situations!$C$24="","",Situations!$C$24)</f>
        <v/>
      </c>
      <c r="X10" s="86" t="str">
        <f>IF(Situations!$C$25="","",Situations!$C$25)</f>
        <v/>
      </c>
      <c r="Y10" s="86" t="str">
        <f>IF(Situations!$C$26="","",Situations!$C$26)</f>
        <v/>
      </c>
      <c r="Z10" s="86" t="str">
        <f>IF(Situations!$C$27="","",Situations!$C$27)</f>
        <v/>
      </c>
      <c r="AA10" s="86" t="str">
        <f>IF(Situations!$C$28="","",Situations!$C$28)</f>
        <v/>
      </c>
      <c r="AB10" s="86" t="str">
        <f>IF(Situations!$C$29="","",Situations!$C$29)</f>
        <v/>
      </c>
      <c r="AC10" s="86" t="str">
        <f>IF(Situations!$C$30="","",Situations!$C$30)</f>
        <v/>
      </c>
      <c r="AD10" s="86" t="str">
        <f>IF(Situations!$C$31="","",Situations!$C$31)</f>
        <v/>
      </c>
      <c r="AE10" s="86" t="str">
        <f>IF(Situations!$C$32="","",Situations!$C$32)</f>
        <v/>
      </c>
      <c r="AF10" s="86" t="str">
        <f>IF(Situations!$C$33="","",Situations!$C$33)</f>
        <v/>
      </c>
    </row>
    <row r="11" spans="1:33" ht="18" customHeight="1" x14ac:dyDescent="0.25">
      <c r="B11" s="87" t="s">
        <v>169</v>
      </c>
      <c r="C11" s="88" t="s">
        <v>170</v>
      </c>
      <c r="D11" s="88" t="s">
        <v>171</v>
      </c>
      <c r="E11" s="89">
        <v>8500</v>
      </c>
      <c r="F11" s="90">
        <f t="shared" ref="F11:F50" si="0">IF(E11="","",IF(NbSit=0,0,N(INDEX($I11:$AF11,1,NbSit))))</f>
        <v>1</v>
      </c>
      <c r="G11" s="73">
        <f t="shared" ref="G11:G50" si="1">IF(E11="","",ROUND(E11*F11,2))</f>
        <v>8500</v>
      </c>
      <c r="H11" s="73">
        <f t="shared" ref="H11:H50" si="2">IF(E11="","",E11-G11)</f>
        <v>0</v>
      </c>
      <c r="I11" s="91">
        <v>0.3</v>
      </c>
      <c r="J11" s="91">
        <v>0.5</v>
      </c>
      <c r="K11" s="91">
        <v>0.6</v>
      </c>
      <c r="L11" s="91">
        <v>0.7</v>
      </c>
      <c r="M11" s="91">
        <v>0.8</v>
      </c>
      <c r="N11" s="91">
        <v>0.9</v>
      </c>
      <c r="O11" s="91">
        <v>0.95</v>
      </c>
      <c r="P11" s="91">
        <v>1</v>
      </c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</row>
    <row r="12" spans="1:33" ht="18" customHeight="1" x14ac:dyDescent="0.25">
      <c r="B12" s="87" t="s">
        <v>172</v>
      </c>
      <c r="C12" s="88" t="s">
        <v>173</v>
      </c>
      <c r="D12" s="88" t="s">
        <v>171</v>
      </c>
      <c r="E12" s="89">
        <v>14200</v>
      </c>
      <c r="F12" s="90">
        <f t="shared" si="0"/>
        <v>1</v>
      </c>
      <c r="G12" s="73">
        <f t="shared" si="1"/>
        <v>14200</v>
      </c>
      <c r="H12" s="73">
        <f t="shared" si="2"/>
        <v>0</v>
      </c>
      <c r="I12" s="91">
        <v>0.2</v>
      </c>
      <c r="J12" s="91">
        <v>0.55000000000000004</v>
      </c>
      <c r="K12" s="91">
        <v>0.85</v>
      </c>
      <c r="L12" s="91">
        <v>1</v>
      </c>
      <c r="M12" s="91">
        <v>1</v>
      </c>
      <c r="N12" s="91">
        <v>1</v>
      </c>
      <c r="O12" s="91">
        <v>1</v>
      </c>
      <c r="P12" s="91">
        <v>1</v>
      </c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</row>
    <row r="13" spans="1:33" ht="18" customHeight="1" x14ac:dyDescent="0.25">
      <c r="B13" s="87" t="s">
        <v>174</v>
      </c>
      <c r="C13" s="88" t="s">
        <v>175</v>
      </c>
      <c r="D13" s="88" t="s">
        <v>171</v>
      </c>
      <c r="E13" s="89">
        <v>96400</v>
      </c>
      <c r="F13" s="90">
        <f t="shared" si="0"/>
        <v>1</v>
      </c>
      <c r="G13" s="73">
        <f t="shared" si="1"/>
        <v>96400</v>
      </c>
      <c r="H13" s="73">
        <f t="shared" si="2"/>
        <v>0</v>
      </c>
      <c r="I13" s="91">
        <v>0</v>
      </c>
      <c r="J13" s="91">
        <v>0.1</v>
      </c>
      <c r="K13" s="91">
        <v>0.3</v>
      </c>
      <c r="L13" s="91">
        <v>0.55000000000000004</v>
      </c>
      <c r="M13" s="91">
        <v>0.75</v>
      </c>
      <c r="N13" s="91">
        <v>0.9</v>
      </c>
      <c r="O13" s="91">
        <v>1</v>
      </c>
      <c r="P13" s="91">
        <v>1</v>
      </c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</row>
    <row r="14" spans="1:33" ht="18" customHeight="1" x14ac:dyDescent="0.25">
      <c r="B14" s="87" t="s">
        <v>176</v>
      </c>
      <c r="C14" s="88" t="s">
        <v>177</v>
      </c>
      <c r="D14" s="88" t="s">
        <v>171</v>
      </c>
      <c r="E14" s="89">
        <v>88750</v>
      </c>
      <c r="F14" s="90">
        <f t="shared" si="0"/>
        <v>0.95</v>
      </c>
      <c r="G14" s="73">
        <f t="shared" si="1"/>
        <v>84312.5</v>
      </c>
      <c r="H14" s="73">
        <f t="shared" si="2"/>
        <v>4437.5</v>
      </c>
      <c r="I14" s="91">
        <v>0</v>
      </c>
      <c r="J14" s="91">
        <v>0</v>
      </c>
      <c r="K14" s="91">
        <v>0.1</v>
      </c>
      <c r="L14" s="91">
        <v>0.3</v>
      </c>
      <c r="M14" s="91">
        <v>0.5</v>
      </c>
      <c r="N14" s="91">
        <v>0.7</v>
      </c>
      <c r="O14" s="91">
        <v>0.85</v>
      </c>
      <c r="P14" s="91">
        <v>0.95</v>
      </c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</row>
    <row r="15" spans="1:33" ht="18" customHeight="1" x14ac:dyDescent="0.25">
      <c r="B15" s="87" t="s">
        <v>178</v>
      </c>
      <c r="C15" s="88" t="s">
        <v>179</v>
      </c>
      <c r="D15" s="88" t="s">
        <v>171</v>
      </c>
      <c r="E15" s="89">
        <v>42300</v>
      </c>
      <c r="F15" s="90">
        <f t="shared" si="0"/>
        <v>0.9</v>
      </c>
      <c r="G15" s="73">
        <f t="shared" si="1"/>
        <v>38070</v>
      </c>
      <c r="H15" s="73">
        <f t="shared" si="2"/>
        <v>4230</v>
      </c>
      <c r="I15" s="91">
        <v>0</v>
      </c>
      <c r="J15" s="91">
        <v>0</v>
      </c>
      <c r="K15" s="91">
        <v>0</v>
      </c>
      <c r="L15" s="91">
        <v>0.15</v>
      </c>
      <c r="M15" s="91">
        <v>0.35</v>
      </c>
      <c r="N15" s="91">
        <v>0.6</v>
      </c>
      <c r="O15" s="91">
        <v>0.8</v>
      </c>
      <c r="P15" s="91">
        <v>0.9</v>
      </c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</row>
    <row r="16" spans="1:33" ht="18" customHeight="1" x14ac:dyDescent="0.25">
      <c r="B16" s="87" t="s">
        <v>180</v>
      </c>
      <c r="C16" s="88" t="s">
        <v>181</v>
      </c>
      <c r="D16" s="88" t="s">
        <v>171</v>
      </c>
      <c r="E16" s="89">
        <v>36800</v>
      </c>
      <c r="F16" s="90">
        <f t="shared" si="0"/>
        <v>0.8</v>
      </c>
      <c r="G16" s="73">
        <f t="shared" si="1"/>
        <v>29440</v>
      </c>
      <c r="H16" s="73">
        <f t="shared" si="2"/>
        <v>7360</v>
      </c>
      <c r="I16" s="91">
        <v>0</v>
      </c>
      <c r="J16" s="91">
        <v>0</v>
      </c>
      <c r="K16" s="91">
        <v>0</v>
      </c>
      <c r="L16" s="91">
        <v>0</v>
      </c>
      <c r="M16" s="91">
        <v>0.2</v>
      </c>
      <c r="N16" s="91">
        <v>0.4</v>
      </c>
      <c r="O16" s="91">
        <v>0.6</v>
      </c>
      <c r="P16" s="91">
        <v>0.8</v>
      </c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</row>
    <row r="17" spans="2:32" ht="18" customHeight="1" x14ac:dyDescent="0.25">
      <c r="B17" s="87" t="s">
        <v>182</v>
      </c>
      <c r="C17" s="88" t="s">
        <v>183</v>
      </c>
      <c r="D17" s="88" t="s">
        <v>171</v>
      </c>
      <c r="E17" s="89">
        <v>54600</v>
      </c>
      <c r="F17" s="90">
        <f t="shared" si="0"/>
        <v>0.75</v>
      </c>
      <c r="G17" s="73">
        <f t="shared" si="1"/>
        <v>40950</v>
      </c>
      <c r="H17" s="73">
        <f t="shared" si="2"/>
        <v>13650</v>
      </c>
      <c r="I17" s="91">
        <v>0</v>
      </c>
      <c r="J17" s="91">
        <v>0</v>
      </c>
      <c r="K17" s="91">
        <v>0</v>
      </c>
      <c r="L17" s="91">
        <v>0</v>
      </c>
      <c r="M17" s="91">
        <v>0.1</v>
      </c>
      <c r="N17" s="91">
        <v>0.3</v>
      </c>
      <c r="O17" s="91">
        <v>0.55000000000000004</v>
      </c>
      <c r="P17" s="91">
        <v>0.75</v>
      </c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</row>
    <row r="18" spans="2:32" ht="18" customHeight="1" x14ac:dyDescent="0.25">
      <c r="B18" s="87" t="s">
        <v>184</v>
      </c>
      <c r="C18" s="88" t="s">
        <v>185</v>
      </c>
      <c r="D18" s="88" t="s">
        <v>171</v>
      </c>
      <c r="E18" s="89">
        <v>18900</v>
      </c>
      <c r="F18" s="90">
        <f t="shared" si="0"/>
        <v>0.75</v>
      </c>
      <c r="G18" s="73">
        <f t="shared" si="1"/>
        <v>14175</v>
      </c>
      <c r="H18" s="73">
        <f t="shared" si="2"/>
        <v>4725</v>
      </c>
      <c r="I18" s="91">
        <v>0</v>
      </c>
      <c r="J18" s="91">
        <v>0</v>
      </c>
      <c r="K18" s="91">
        <v>0.05</v>
      </c>
      <c r="L18" s="91">
        <v>0.15</v>
      </c>
      <c r="M18" s="91">
        <v>0.3</v>
      </c>
      <c r="N18" s="91">
        <v>0.45</v>
      </c>
      <c r="O18" s="91">
        <v>0.6</v>
      </c>
      <c r="P18" s="91">
        <v>0.75</v>
      </c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</row>
    <row r="19" spans="2:32" ht="18" customHeight="1" x14ac:dyDescent="0.25">
      <c r="B19" s="87" t="s">
        <v>186</v>
      </c>
      <c r="C19" s="88" t="s">
        <v>187</v>
      </c>
      <c r="D19" s="88" t="s">
        <v>171</v>
      </c>
      <c r="E19" s="89">
        <v>12400</v>
      </c>
      <c r="F19" s="90">
        <f t="shared" si="0"/>
        <v>0.7</v>
      </c>
      <c r="G19" s="73">
        <f t="shared" si="1"/>
        <v>8680</v>
      </c>
      <c r="H19" s="73">
        <f t="shared" si="2"/>
        <v>3720</v>
      </c>
      <c r="I19" s="91">
        <v>0</v>
      </c>
      <c r="J19" s="91">
        <v>0</v>
      </c>
      <c r="K19" s="91">
        <v>0</v>
      </c>
      <c r="L19" s="91">
        <v>0</v>
      </c>
      <c r="M19" s="91">
        <v>0</v>
      </c>
      <c r="N19" s="91">
        <v>0.25</v>
      </c>
      <c r="O19" s="91">
        <v>0.5</v>
      </c>
      <c r="P19" s="91">
        <v>0.7</v>
      </c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</row>
    <row r="20" spans="2:32" ht="18" customHeight="1" x14ac:dyDescent="0.25">
      <c r="B20" s="87" t="s">
        <v>188</v>
      </c>
      <c r="C20" s="88" t="s">
        <v>189</v>
      </c>
      <c r="D20" s="88" t="s">
        <v>171</v>
      </c>
      <c r="E20" s="89">
        <v>6150</v>
      </c>
      <c r="F20" s="90">
        <f t="shared" si="0"/>
        <v>0.2</v>
      </c>
      <c r="G20" s="73">
        <f t="shared" si="1"/>
        <v>1230</v>
      </c>
      <c r="H20" s="73">
        <f t="shared" si="2"/>
        <v>4920</v>
      </c>
      <c r="I20" s="91">
        <v>0</v>
      </c>
      <c r="J20" s="91">
        <v>0</v>
      </c>
      <c r="K20" s="91">
        <v>0</v>
      </c>
      <c r="L20" s="91">
        <v>0</v>
      </c>
      <c r="M20" s="91">
        <v>0</v>
      </c>
      <c r="N20" s="91">
        <v>0</v>
      </c>
      <c r="O20" s="91">
        <v>0.1</v>
      </c>
      <c r="P20" s="91">
        <v>0.2</v>
      </c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</row>
    <row r="21" spans="2:32" ht="18" customHeight="1" x14ac:dyDescent="0.25">
      <c r="B21" s="87" t="s">
        <v>190</v>
      </c>
      <c r="C21" s="88" t="s">
        <v>191</v>
      </c>
      <c r="D21" s="88" t="s">
        <v>192</v>
      </c>
      <c r="E21" s="89">
        <v>17800</v>
      </c>
      <c r="F21" s="90">
        <f t="shared" si="0"/>
        <v>1</v>
      </c>
      <c r="G21" s="73">
        <f t="shared" si="1"/>
        <v>17800</v>
      </c>
      <c r="H21" s="73">
        <f t="shared" si="2"/>
        <v>0</v>
      </c>
      <c r="I21" s="91">
        <v>0</v>
      </c>
      <c r="J21" s="91">
        <v>0</v>
      </c>
      <c r="K21" s="91">
        <v>0</v>
      </c>
      <c r="L21" s="91">
        <v>0</v>
      </c>
      <c r="M21" s="91">
        <v>0</v>
      </c>
      <c r="N21" s="91">
        <v>0.4</v>
      </c>
      <c r="O21" s="91">
        <v>0.8</v>
      </c>
      <c r="P21" s="91">
        <v>1</v>
      </c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</row>
    <row r="22" spans="2:32" ht="18" customHeight="1" x14ac:dyDescent="0.25">
      <c r="B22" s="87" t="s">
        <v>193</v>
      </c>
      <c r="C22" s="88" t="s">
        <v>194</v>
      </c>
      <c r="D22" s="88" t="s">
        <v>192</v>
      </c>
      <c r="E22" s="89">
        <v>9600</v>
      </c>
      <c r="F22" s="90">
        <f t="shared" si="0"/>
        <v>1</v>
      </c>
      <c r="G22" s="73">
        <f t="shared" si="1"/>
        <v>9600</v>
      </c>
      <c r="H22" s="73">
        <f t="shared" si="2"/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91">
        <v>0</v>
      </c>
      <c r="O22" s="91">
        <v>0.5</v>
      </c>
      <c r="P22" s="91">
        <v>1</v>
      </c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</row>
    <row r="23" spans="2:32" ht="18" customHeight="1" x14ac:dyDescent="0.25">
      <c r="B23" s="87"/>
      <c r="C23" s="88"/>
      <c r="D23" s="88"/>
      <c r="E23" s="89"/>
      <c r="F23" s="90" t="str">
        <f t="shared" si="0"/>
        <v/>
      </c>
      <c r="G23" s="73" t="str">
        <f t="shared" si="1"/>
        <v/>
      </c>
      <c r="H23" s="73" t="str">
        <f t="shared" si="2"/>
        <v/>
      </c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</row>
    <row r="24" spans="2:32" ht="18" customHeight="1" x14ac:dyDescent="0.25">
      <c r="B24" s="87"/>
      <c r="C24" s="88"/>
      <c r="D24" s="88"/>
      <c r="E24" s="89"/>
      <c r="F24" s="90" t="str">
        <f t="shared" si="0"/>
        <v/>
      </c>
      <c r="G24" s="73" t="str">
        <f t="shared" si="1"/>
        <v/>
      </c>
      <c r="H24" s="73" t="str">
        <f t="shared" si="2"/>
        <v/>
      </c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</row>
    <row r="25" spans="2:32" ht="18" customHeight="1" x14ac:dyDescent="0.25">
      <c r="B25" s="87"/>
      <c r="C25" s="88"/>
      <c r="D25" s="88"/>
      <c r="E25" s="89"/>
      <c r="F25" s="90" t="str">
        <f t="shared" si="0"/>
        <v/>
      </c>
      <c r="G25" s="73" t="str">
        <f t="shared" si="1"/>
        <v/>
      </c>
      <c r="H25" s="73" t="str">
        <f t="shared" si="2"/>
        <v/>
      </c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</row>
    <row r="26" spans="2:32" ht="18" customHeight="1" x14ac:dyDescent="0.25">
      <c r="B26" s="87"/>
      <c r="C26" s="88"/>
      <c r="D26" s="88"/>
      <c r="E26" s="89"/>
      <c r="F26" s="90" t="str">
        <f t="shared" si="0"/>
        <v/>
      </c>
      <c r="G26" s="73" t="str">
        <f t="shared" si="1"/>
        <v/>
      </c>
      <c r="H26" s="73" t="str">
        <f t="shared" si="2"/>
        <v/>
      </c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</row>
    <row r="27" spans="2:32" ht="18" customHeight="1" x14ac:dyDescent="0.25">
      <c r="B27" s="87"/>
      <c r="C27" s="88"/>
      <c r="D27" s="88"/>
      <c r="E27" s="89"/>
      <c r="F27" s="90" t="str">
        <f t="shared" si="0"/>
        <v/>
      </c>
      <c r="G27" s="73" t="str">
        <f t="shared" si="1"/>
        <v/>
      </c>
      <c r="H27" s="73" t="str">
        <f t="shared" si="2"/>
        <v/>
      </c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</row>
    <row r="28" spans="2:32" ht="18" customHeight="1" x14ac:dyDescent="0.25">
      <c r="B28" s="87"/>
      <c r="C28" s="88"/>
      <c r="D28" s="88"/>
      <c r="E28" s="89"/>
      <c r="F28" s="90" t="str">
        <f t="shared" si="0"/>
        <v/>
      </c>
      <c r="G28" s="73" t="str">
        <f t="shared" si="1"/>
        <v/>
      </c>
      <c r="H28" s="73" t="str">
        <f t="shared" si="2"/>
        <v/>
      </c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</row>
    <row r="29" spans="2:32" ht="18" customHeight="1" x14ac:dyDescent="0.25">
      <c r="B29" s="87"/>
      <c r="C29" s="88"/>
      <c r="D29" s="88"/>
      <c r="E29" s="89"/>
      <c r="F29" s="90" t="str">
        <f t="shared" si="0"/>
        <v/>
      </c>
      <c r="G29" s="73" t="str">
        <f t="shared" si="1"/>
        <v/>
      </c>
      <c r="H29" s="73" t="str">
        <f t="shared" si="2"/>
        <v/>
      </c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</row>
    <row r="30" spans="2:32" ht="18" customHeight="1" x14ac:dyDescent="0.25">
      <c r="B30" s="87"/>
      <c r="C30" s="88"/>
      <c r="D30" s="88"/>
      <c r="E30" s="89"/>
      <c r="F30" s="90" t="str">
        <f t="shared" si="0"/>
        <v/>
      </c>
      <c r="G30" s="73" t="str">
        <f t="shared" si="1"/>
        <v/>
      </c>
      <c r="H30" s="73" t="str">
        <f t="shared" si="2"/>
        <v/>
      </c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</row>
    <row r="31" spans="2:32" ht="18" customHeight="1" x14ac:dyDescent="0.25">
      <c r="B31" s="87"/>
      <c r="C31" s="88"/>
      <c r="D31" s="88"/>
      <c r="E31" s="89"/>
      <c r="F31" s="90" t="str">
        <f t="shared" si="0"/>
        <v/>
      </c>
      <c r="G31" s="73" t="str">
        <f t="shared" si="1"/>
        <v/>
      </c>
      <c r="H31" s="73" t="str">
        <f t="shared" si="2"/>
        <v/>
      </c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</row>
    <row r="32" spans="2:32" ht="18" customHeight="1" x14ac:dyDescent="0.25">
      <c r="B32" s="87"/>
      <c r="C32" s="88"/>
      <c r="D32" s="88"/>
      <c r="E32" s="89"/>
      <c r="F32" s="90" t="str">
        <f t="shared" si="0"/>
        <v/>
      </c>
      <c r="G32" s="73" t="str">
        <f t="shared" si="1"/>
        <v/>
      </c>
      <c r="H32" s="73" t="str">
        <f t="shared" si="2"/>
        <v/>
      </c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</row>
    <row r="33" spans="2:32" ht="18" customHeight="1" x14ac:dyDescent="0.25">
      <c r="B33" s="87"/>
      <c r="C33" s="88"/>
      <c r="D33" s="88"/>
      <c r="E33" s="89"/>
      <c r="F33" s="90" t="str">
        <f t="shared" si="0"/>
        <v/>
      </c>
      <c r="G33" s="73" t="str">
        <f t="shared" si="1"/>
        <v/>
      </c>
      <c r="H33" s="73" t="str">
        <f t="shared" si="2"/>
        <v/>
      </c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</row>
    <row r="34" spans="2:32" ht="18" customHeight="1" x14ac:dyDescent="0.25">
      <c r="B34" s="87"/>
      <c r="C34" s="88"/>
      <c r="D34" s="88"/>
      <c r="E34" s="89"/>
      <c r="F34" s="90" t="str">
        <f t="shared" si="0"/>
        <v/>
      </c>
      <c r="G34" s="73" t="str">
        <f t="shared" si="1"/>
        <v/>
      </c>
      <c r="H34" s="73" t="str">
        <f t="shared" si="2"/>
        <v/>
      </c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ht="18" customHeight="1" x14ac:dyDescent="0.25">
      <c r="B35" s="87"/>
      <c r="C35" s="88"/>
      <c r="D35" s="88"/>
      <c r="E35" s="89"/>
      <c r="F35" s="90" t="str">
        <f t="shared" si="0"/>
        <v/>
      </c>
      <c r="G35" s="73" t="str">
        <f t="shared" si="1"/>
        <v/>
      </c>
      <c r="H35" s="73" t="str">
        <f t="shared" si="2"/>
        <v/>
      </c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ht="18" customHeight="1" x14ac:dyDescent="0.25">
      <c r="B36" s="87"/>
      <c r="C36" s="88"/>
      <c r="D36" s="88"/>
      <c r="E36" s="89"/>
      <c r="F36" s="90" t="str">
        <f t="shared" si="0"/>
        <v/>
      </c>
      <c r="G36" s="73" t="str">
        <f t="shared" si="1"/>
        <v/>
      </c>
      <c r="H36" s="73" t="str">
        <f t="shared" si="2"/>
        <v/>
      </c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ht="18" customHeight="1" x14ac:dyDescent="0.25">
      <c r="B37" s="87"/>
      <c r="C37" s="88"/>
      <c r="D37" s="88"/>
      <c r="E37" s="89"/>
      <c r="F37" s="90" t="str">
        <f t="shared" si="0"/>
        <v/>
      </c>
      <c r="G37" s="73" t="str">
        <f t="shared" si="1"/>
        <v/>
      </c>
      <c r="H37" s="73" t="str">
        <f t="shared" si="2"/>
        <v/>
      </c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</row>
    <row r="38" spans="2:32" ht="18" customHeight="1" x14ac:dyDescent="0.25">
      <c r="B38" s="87"/>
      <c r="C38" s="88"/>
      <c r="D38" s="88"/>
      <c r="E38" s="89"/>
      <c r="F38" s="90" t="str">
        <f t="shared" si="0"/>
        <v/>
      </c>
      <c r="G38" s="73" t="str">
        <f t="shared" si="1"/>
        <v/>
      </c>
      <c r="H38" s="73" t="str">
        <f t="shared" si="2"/>
        <v/>
      </c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</row>
    <row r="39" spans="2:32" ht="18" customHeight="1" x14ac:dyDescent="0.25">
      <c r="B39" s="87"/>
      <c r="C39" s="88"/>
      <c r="D39" s="88"/>
      <c r="E39" s="89"/>
      <c r="F39" s="90" t="str">
        <f t="shared" si="0"/>
        <v/>
      </c>
      <c r="G39" s="73" t="str">
        <f t="shared" si="1"/>
        <v/>
      </c>
      <c r="H39" s="73" t="str">
        <f t="shared" si="2"/>
        <v/>
      </c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</row>
    <row r="40" spans="2:32" ht="18" customHeight="1" x14ac:dyDescent="0.25">
      <c r="B40" s="87"/>
      <c r="C40" s="88"/>
      <c r="D40" s="88"/>
      <c r="E40" s="89"/>
      <c r="F40" s="90" t="str">
        <f t="shared" si="0"/>
        <v/>
      </c>
      <c r="G40" s="73" t="str">
        <f t="shared" si="1"/>
        <v/>
      </c>
      <c r="H40" s="73" t="str">
        <f t="shared" si="2"/>
        <v/>
      </c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</row>
    <row r="41" spans="2:32" ht="18" customHeight="1" x14ac:dyDescent="0.25">
      <c r="B41" s="87"/>
      <c r="C41" s="88"/>
      <c r="D41" s="88"/>
      <c r="E41" s="89"/>
      <c r="F41" s="90" t="str">
        <f t="shared" si="0"/>
        <v/>
      </c>
      <c r="G41" s="73" t="str">
        <f t="shared" si="1"/>
        <v/>
      </c>
      <c r="H41" s="73" t="str">
        <f t="shared" si="2"/>
        <v/>
      </c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</row>
    <row r="42" spans="2:32" ht="18" customHeight="1" x14ac:dyDescent="0.25">
      <c r="B42" s="87"/>
      <c r="C42" s="88"/>
      <c r="D42" s="88"/>
      <c r="E42" s="89"/>
      <c r="F42" s="90" t="str">
        <f t="shared" si="0"/>
        <v/>
      </c>
      <c r="G42" s="73" t="str">
        <f t="shared" si="1"/>
        <v/>
      </c>
      <c r="H42" s="73" t="str">
        <f t="shared" si="2"/>
        <v/>
      </c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</row>
    <row r="43" spans="2:32" ht="18" customHeight="1" x14ac:dyDescent="0.25">
      <c r="B43" s="87"/>
      <c r="C43" s="88"/>
      <c r="D43" s="88"/>
      <c r="E43" s="89"/>
      <c r="F43" s="90" t="str">
        <f t="shared" si="0"/>
        <v/>
      </c>
      <c r="G43" s="73" t="str">
        <f t="shared" si="1"/>
        <v/>
      </c>
      <c r="H43" s="73" t="str">
        <f t="shared" si="2"/>
        <v/>
      </c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</row>
    <row r="44" spans="2:32" ht="18" customHeight="1" x14ac:dyDescent="0.25">
      <c r="B44" s="87"/>
      <c r="C44" s="88"/>
      <c r="D44" s="88"/>
      <c r="E44" s="89"/>
      <c r="F44" s="90" t="str">
        <f t="shared" si="0"/>
        <v/>
      </c>
      <c r="G44" s="73" t="str">
        <f t="shared" si="1"/>
        <v/>
      </c>
      <c r="H44" s="73" t="str">
        <f t="shared" si="2"/>
        <v/>
      </c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</row>
    <row r="45" spans="2:32" ht="18" customHeight="1" x14ac:dyDescent="0.25">
      <c r="B45" s="87"/>
      <c r="C45" s="88"/>
      <c r="D45" s="88"/>
      <c r="E45" s="89"/>
      <c r="F45" s="90" t="str">
        <f t="shared" si="0"/>
        <v/>
      </c>
      <c r="G45" s="73" t="str">
        <f t="shared" si="1"/>
        <v/>
      </c>
      <c r="H45" s="73" t="str">
        <f t="shared" si="2"/>
        <v/>
      </c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</row>
    <row r="46" spans="2:32" ht="18" customHeight="1" x14ac:dyDescent="0.25">
      <c r="B46" s="87"/>
      <c r="C46" s="88"/>
      <c r="D46" s="88"/>
      <c r="E46" s="89"/>
      <c r="F46" s="90" t="str">
        <f t="shared" si="0"/>
        <v/>
      </c>
      <c r="G46" s="73" t="str">
        <f t="shared" si="1"/>
        <v/>
      </c>
      <c r="H46" s="73" t="str">
        <f t="shared" si="2"/>
        <v/>
      </c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</row>
    <row r="47" spans="2:32" ht="18" customHeight="1" x14ac:dyDescent="0.25">
      <c r="B47" s="87"/>
      <c r="C47" s="88"/>
      <c r="D47" s="88"/>
      <c r="E47" s="89"/>
      <c r="F47" s="90" t="str">
        <f t="shared" si="0"/>
        <v/>
      </c>
      <c r="G47" s="73" t="str">
        <f t="shared" si="1"/>
        <v/>
      </c>
      <c r="H47" s="73" t="str">
        <f t="shared" si="2"/>
        <v/>
      </c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</row>
    <row r="48" spans="2:32" ht="18" customHeight="1" x14ac:dyDescent="0.25">
      <c r="B48" s="87"/>
      <c r="C48" s="88"/>
      <c r="D48" s="88"/>
      <c r="E48" s="89"/>
      <c r="F48" s="90" t="str">
        <f t="shared" si="0"/>
        <v/>
      </c>
      <c r="G48" s="73" t="str">
        <f t="shared" si="1"/>
        <v/>
      </c>
      <c r="H48" s="73" t="str">
        <f t="shared" si="2"/>
        <v/>
      </c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</row>
    <row r="49" spans="2:32" ht="18" customHeight="1" x14ac:dyDescent="0.25">
      <c r="B49" s="87"/>
      <c r="C49" s="88"/>
      <c r="D49" s="88"/>
      <c r="E49" s="89"/>
      <c r="F49" s="90" t="str">
        <f t="shared" si="0"/>
        <v/>
      </c>
      <c r="G49" s="73" t="str">
        <f t="shared" si="1"/>
        <v/>
      </c>
      <c r="H49" s="73" t="str">
        <f t="shared" si="2"/>
        <v/>
      </c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</row>
    <row r="50" spans="2:32" ht="18" customHeight="1" x14ac:dyDescent="0.25">
      <c r="B50" s="87"/>
      <c r="C50" s="88"/>
      <c r="D50" s="88"/>
      <c r="E50" s="89"/>
      <c r="F50" s="90" t="str">
        <f t="shared" si="0"/>
        <v/>
      </c>
      <c r="G50" s="73" t="str">
        <f t="shared" si="1"/>
        <v/>
      </c>
      <c r="H50" s="73" t="str">
        <f t="shared" si="2"/>
        <v/>
      </c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</row>
    <row r="51" spans="2:32" ht="20.100000000000001" customHeight="1" x14ac:dyDescent="0.25">
      <c r="B51" s="188" t="s">
        <v>195</v>
      </c>
      <c r="C51" s="189"/>
      <c r="D51" s="189"/>
      <c r="E51" s="92">
        <f>SUM(E11:E50)</f>
        <v>406400</v>
      </c>
      <c r="F51" s="93">
        <f>IF(N(E51)=0,0,G51/E51)</f>
        <v>0.8940883366141732</v>
      </c>
      <c r="G51" s="92">
        <f>SUM(G11:G50)</f>
        <v>363357.5</v>
      </c>
      <c r="H51" s="92">
        <f>SUM(H11:H50)</f>
        <v>43042.5</v>
      </c>
      <c r="I51" s="94">
        <f t="shared" ref="I51:AF51" si="3">IF(I$10="","",SUMPRODUCT($E$11:$E$50,I11:I50))</f>
        <v>5390</v>
      </c>
      <c r="J51" s="94">
        <f t="shared" si="3"/>
        <v>21700</v>
      </c>
      <c r="K51" s="94">
        <f t="shared" si="3"/>
        <v>55910</v>
      </c>
      <c r="L51" s="94">
        <f t="shared" si="3"/>
        <v>108975</v>
      </c>
      <c r="M51" s="94">
        <f t="shared" si="3"/>
        <v>170970</v>
      </c>
      <c r="N51" s="94">
        <f t="shared" si="3"/>
        <v>245940</v>
      </c>
      <c r="O51" s="94">
        <f t="shared" si="3"/>
        <v>317257.5</v>
      </c>
      <c r="P51" s="94">
        <f t="shared" si="3"/>
        <v>363357.5</v>
      </c>
      <c r="Q51" s="94" t="str">
        <f t="shared" si="3"/>
        <v/>
      </c>
      <c r="R51" s="94" t="str">
        <f t="shared" si="3"/>
        <v/>
      </c>
      <c r="S51" s="94" t="str">
        <f t="shared" si="3"/>
        <v/>
      </c>
      <c r="T51" s="94" t="str">
        <f t="shared" si="3"/>
        <v/>
      </c>
      <c r="U51" s="94" t="str">
        <f t="shared" si="3"/>
        <v/>
      </c>
      <c r="V51" s="94" t="str">
        <f t="shared" si="3"/>
        <v/>
      </c>
      <c r="W51" s="94" t="str">
        <f t="shared" si="3"/>
        <v/>
      </c>
      <c r="X51" s="94" t="str">
        <f t="shared" si="3"/>
        <v/>
      </c>
      <c r="Y51" s="94" t="str">
        <f t="shared" si="3"/>
        <v/>
      </c>
      <c r="Z51" s="94" t="str">
        <f t="shared" si="3"/>
        <v/>
      </c>
      <c r="AA51" s="94" t="str">
        <f t="shared" si="3"/>
        <v/>
      </c>
      <c r="AB51" s="94" t="str">
        <f t="shared" si="3"/>
        <v/>
      </c>
      <c r="AC51" s="94" t="str">
        <f t="shared" si="3"/>
        <v/>
      </c>
      <c r="AD51" s="94" t="str">
        <f t="shared" si="3"/>
        <v/>
      </c>
      <c r="AE51" s="94" t="str">
        <f t="shared" si="3"/>
        <v/>
      </c>
      <c r="AF51" s="94" t="str">
        <f t="shared" si="3"/>
        <v/>
      </c>
    </row>
    <row r="52" spans="2:32" ht="20.100000000000001" customHeight="1" x14ac:dyDescent="0.25">
      <c r="B52" s="183" t="s">
        <v>196</v>
      </c>
      <c r="C52" s="184"/>
      <c r="D52" s="184"/>
      <c r="E52" s="95"/>
      <c r="F52" s="95"/>
      <c r="G52" s="95"/>
      <c r="H52" s="95"/>
      <c r="I52" s="96">
        <f t="shared" ref="I52:AF52" si="4">IF(I$10="","",IF(MontantHT=0,0,I51/MontantHT))</f>
        <v>1.3262795275590551E-2</v>
      </c>
      <c r="J52" s="96">
        <f t="shared" si="4"/>
        <v>5.3395669291338585E-2</v>
      </c>
      <c r="K52" s="96">
        <f t="shared" si="4"/>
        <v>0.13757381889763778</v>
      </c>
      <c r="L52" s="96">
        <f t="shared" si="4"/>
        <v>0.26814714566929132</v>
      </c>
      <c r="M52" s="96">
        <f t="shared" si="4"/>
        <v>0.4206938976377953</v>
      </c>
      <c r="N52" s="96">
        <f t="shared" si="4"/>
        <v>0.60516732283464569</v>
      </c>
      <c r="O52" s="96">
        <f t="shared" si="4"/>
        <v>0.78065329724409449</v>
      </c>
      <c r="P52" s="96">
        <f t="shared" si="4"/>
        <v>0.8940883366141732</v>
      </c>
      <c r="Q52" s="96" t="str">
        <f t="shared" si="4"/>
        <v/>
      </c>
      <c r="R52" s="96" t="str">
        <f t="shared" si="4"/>
        <v/>
      </c>
      <c r="S52" s="96" t="str">
        <f t="shared" si="4"/>
        <v/>
      </c>
      <c r="T52" s="96" t="str">
        <f t="shared" si="4"/>
        <v/>
      </c>
      <c r="U52" s="96" t="str">
        <f t="shared" si="4"/>
        <v/>
      </c>
      <c r="V52" s="96" t="str">
        <f t="shared" si="4"/>
        <v/>
      </c>
      <c r="W52" s="96" t="str">
        <f t="shared" si="4"/>
        <v/>
      </c>
      <c r="X52" s="96" t="str">
        <f t="shared" si="4"/>
        <v/>
      </c>
      <c r="Y52" s="96" t="str">
        <f t="shared" si="4"/>
        <v/>
      </c>
      <c r="Z52" s="96" t="str">
        <f t="shared" si="4"/>
        <v/>
      </c>
      <c r="AA52" s="96" t="str">
        <f t="shared" si="4"/>
        <v/>
      </c>
      <c r="AB52" s="96" t="str">
        <f t="shared" si="4"/>
        <v/>
      </c>
      <c r="AC52" s="96" t="str">
        <f t="shared" si="4"/>
        <v/>
      </c>
      <c r="AD52" s="96" t="str">
        <f t="shared" si="4"/>
        <v/>
      </c>
      <c r="AE52" s="96" t="str">
        <f t="shared" si="4"/>
        <v/>
      </c>
      <c r="AF52" s="96" t="str">
        <f t="shared" si="4"/>
        <v/>
      </c>
    </row>
    <row r="53" spans="2:32" ht="20.100000000000001" customHeight="1" x14ac:dyDescent="0.25">
      <c r="B53" s="183" t="s">
        <v>197</v>
      </c>
      <c r="C53" s="184"/>
      <c r="D53" s="184"/>
      <c r="E53" s="95"/>
      <c r="F53" s="95"/>
      <c r="G53" s="95"/>
      <c r="H53" s="95"/>
      <c r="I53" s="97">
        <f>IF(I$10="","",I51)</f>
        <v>5390</v>
      </c>
      <c r="J53" s="97">
        <f t="shared" ref="J53:AF53" si="5">IF(J$10="","",J51-N(I51))</f>
        <v>16310</v>
      </c>
      <c r="K53" s="97">
        <f t="shared" si="5"/>
        <v>34210</v>
      </c>
      <c r="L53" s="97">
        <f t="shared" si="5"/>
        <v>53065</v>
      </c>
      <c r="M53" s="97">
        <f t="shared" si="5"/>
        <v>61995</v>
      </c>
      <c r="N53" s="97">
        <f t="shared" si="5"/>
        <v>74970</v>
      </c>
      <c r="O53" s="97">
        <f t="shared" si="5"/>
        <v>71317.5</v>
      </c>
      <c r="P53" s="97">
        <f t="shared" si="5"/>
        <v>46100</v>
      </c>
      <c r="Q53" s="97" t="str">
        <f t="shared" si="5"/>
        <v/>
      </c>
      <c r="R53" s="97" t="str">
        <f t="shared" si="5"/>
        <v/>
      </c>
      <c r="S53" s="97" t="str">
        <f t="shared" si="5"/>
        <v/>
      </c>
      <c r="T53" s="97" t="str">
        <f t="shared" si="5"/>
        <v/>
      </c>
      <c r="U53" s="97" t="str">
        <f t="shared" si="5"/>
        <v/>
      </c>
      <c r="V53" s="97" t="str">
        <f t="shared" si="5"/>
        <v/>
      </c>
      <c r="W53" s="97" t="str">
        <f t="shared" si="5"/>
        <v/>
      </c>
      <c r="X53" s="97" t="str">
        <f t="shared" si="5"/>
        <v/>
      </c>
      <c r="Y53" s="97" t="str">
        <f t="shared" si="5"/>
        <v/>
      </c>
      <c r="Z53" s="97" t="str">
        <f t="shared" si="5"/>
        <v/>
      </c>
      <c r="AA53" s="97" t="str">
        <f t="shared" si="5"/>
        <v/>
      </c>
      <c r="AB53" s="97" t="str">
        <f t="shared" si="5"/>
        <v/>
      </c>
      <c r="AC53" s="97" t="str">
        <f t="shared" si="5"/>
        <v/>
      </c>
      <c r="AD53" s="97" t="str">
        <f t="shared" si="5"/>
        <v/>
      </c>
      <c r="AE53" s="97" t="str">
        <f t="shared" si="5"/>
        <v/>
      </c>
      <c r="AF53" s="97" t="str">
        <f t="shared" si="5"/>
        <v/>
      </c>
    </row>
  </sheetData>
  <mergeCells count="7">
    <mergeCell ref="I8:AF8"/>
    <mergeCell ref="B8:H8"/>
    <mergeCell ref="B52:D52"/>
    <mergeCell ref="B53:D53"/>
    <mergeCell ref="B10:H10"/>
    <mergeCell ref="G6:H6"/>
    <mergeCell ref="B51:D51"/>
  </mergeCells>
  <conditionalFormatting sqref="F11:F50">
    <cfRule type="dataBar" priority="5">
      <dataBar>
        <cfvo type="num" val="0"/>
        <cfvo type="num" val="1"/>
        <color rgb="FF8E97D1"/>
      </dataBar>
    </cfRule>
  </conditionalFormatting>
  <conditionalFormatting sqref="I11:AF50">
    <cfRule type="expression" dxfId="8" priority="1" stopIfTrue="1">
      <formula>AND(ISNUMBER(I11),I11&gt;1)</formula>
    </cfRule>
    <cfRule type="expression" dxfId="7" priority="3">
      <formula>I11=1</formula>
    </cfRule>
    <cfRule type="expression" dxfId="6" priority="4">
      <formula>COLUMN(I11)-8&gt;NbSit</formula>
    </cfRule>
  </conditionalFormatting>
  <conditionalFormatting sqref="J11:AF50">
    <cfRule type="expression" dxfId="5" priority="2" stopIfTrue="1">
      <formula>AND(ISNUMBER(J11),ISNUMBER(I11),J11&lt;I11)</formula>
    </cfRule>
  </conditionalFormatting>
  <dataValidations count="3">
    <dataValidation type="list" allowBlank="1" showInputMessage="1" showErrorMessage="1" errorTitle="Valeur non prévue" error="Choisissez une valeur dans la liste déroulante." promptTitle="Origine" prompt="Marché initial ou avenant (noms définis dans l'onglet Marché)." sqref="D11:D50" xr:uid="{00000000-0002-0000-0300-000000000000}">
      <formula1>ListeOrigines</formula1>
    </dataValidation>
    <dataValidation type="decimal" allowBlank="1" showErrorMessage="1" errorTitle="Valeur non valide" error="Saisissez un nombre positif." sqref="E11:E50" xr:uid="{00000000-0002-0000-0300-000001000000}">
      <formula1>0</formula1>
      <formula2>100000000</formula2>
    </dataValidation>
    <dataValidation type="decimal" allowBlank="1" showInputMessage="1" showErrorMessage="1" errorTitle="Valeur non valide" error="Saisissez un pourcentage d'avancement cumulé (ex. 45 %), entre 0 % et 100 %." promptTitle="Avancement" prompt="Avancement cumulé du poste à la fin de la période." sqref="I11:AF50" xr:uid="{00000000-0002-0000-0300-000002000000}">
      <formula1>0</formula1>
      <formula2>1</formula2>
    </dataValidation>
  </dataValidations>
  <printOptions horizontalCentered="1"/>
  <pageMargins left="0.4" right="0.4" top="0.45" bottom="0.55000000000000004" header="0.5" footer="0.5"/>
  <pageSetup paperSize="9" fitToHeight="0" orientation="landscape"/>
  <headerFooter>
    <oddFooter>&amp;L&amp;8 &amp;K8A91A0État d'acompte – &amp;A&amp;R&amp;8 &amp;K8A91A0Page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D4A9A"/>
    <pageSetUpPr fitToPage="1"/>
  </sheetPr>
  <dimension ref="A1:H57"/>
  <sheetViews>
    <sheetView showGridLines="0" workbookViewId="0">
      <pane xSplit="2" ySplit="9" topLeftCell="C10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" customWidth="1"/>
    <col min="2" max="2" width="18" customWidth="1"/>
    <col min="3" max="6" width="15" customWidth="1"/>
    <col min="7" max="7" width="42" customWidth="1"/>
    <col min="8" max="8" width="2" customWidth="1"/>
  </cols>
  <sheetData>
    <row r="1" spans="1:8" ht="6" customHeight="1" x14ac:dyDescent="0.25">
      <c r="A1" s="1"/>
      <c r="B1" s="1"/>
      <c r="C1" s="1"/>
      <c r="D1" s="1"/>
      <c r="E1" s="1"/>
      <c r="F1" s="1"/>
      <c r="G1" s="1"/>
      <c r="H1" s="1"/>
    </row>
    <row r="2" spans="1:8" ht="30" customHeight="1" x14ac:dyDescent="0.35">
      <c r="B2" s="60" t="s">
        <v>102</v>
      </c>
    </row>
    <row r="3" spans="1:8" ht="18" customHeight="1" x14ac:dyDescent="0.25">
      <c r="B3" s="3" t="s">
        <v>198</v>
      </c>
    </row>
    <row r="4" spans="1:8" ht="3.95" customHeight="1" x14ac:dyDescent="0.25">
      <c r="A4" s="4"/>
      <c r="B4" s="4"/>
      <c r="C4" s="4"/>
      <c r="D4" s="4"/>
      <c r="E4" s="4"/>
      <c r="F4" s="4"/>
      <c r="G4" s="4"/>
      <c r="H4" s="4"/>
    </row>
    <row r="5" spans="1:8" ht="8.1" customHeight="1" x14ac:dyDescent="0.25"/>
    <row r="6" spans="1:8" ht="20.100000000000001" customHeight="1" x14ac:dyDescent="0.25">
      <c r="B6" s="63" t="s">
        <v>199</v>
      </c>
      <c r="E6" s="64" t="s">
        <v>98</v>
      </c>
      <c r="F6" s="65" t="s">
        <v>99</v>
      </c>
    </row>
    <row r="7" spans="1:8" ht="8.1" customHeight="1" x14ac:dyDescent="0.25"/>
    <row r="8" spans="1:8" ht="18" customHeight="1" x14ac:dyDescent="0.25">
      <c r="B8" s="178" t="s">
        <v>200</v>
      </c>
      <c r="C8" s="179"/>
      <c r="D8" s="178" t="s">
        <v>201</v>
      </c>
      <c r="E8" s="179"/>
      <c r="F8" s="179"/>
      <c r="G8" s="66"/>
    </row>
    <row r="9" spans="1:8" ht="32.1" customHeight="1" x14ac:dyDescent="0.25">
      <c r="B9" s="68" t="s">
        <v>31</v>
      </c>
      <c r="C9" s="68" t="s">
        <v>202</v>
      </c>
      <c r="D9" s="67" t="s">
        <v>203</v>
      </c>
      <c r="E9" s="67" t="s">
        <v>41</v>
      </c>
      <c r="F9" s="67" t="s">
        <v>204</v>
      </c>
      <c r="G9" s="68" t="s">
        <v>94</v>
      </c>
    </row>
    <row r="10" spans="1:8" ht="18" customHeight="1" x14ac:dyDescent="0.25">
      <c r="B10" s="71">
        <v>46023</v>
      </c>
      <c r="C10" s="98">
        <v>129.80000000000001</v>
      </c>
      <c r="D10" s="99">
        <f>IF(ISNUMBER(C10),C10,"")</f>
        <v>129.80000000000001</v>
      </c>
      <c r="E10" s="76" t="str">
        <f t="shared" ref="E10:E57" si="0">IF(D10="","",IF(ISNUMBER(C10),"Définitif","Provisoire"))</f>
        <v>Définitif</v>
      </c>
      <c r="F10" s="100">
        <f t="shared" ref="F10:F57" si="1">IF(B10="","",IF(FormePrix="Prix fermes",1,IF(FormePrix="Prix fermes actualisables",CoefActu,IF(OR(D10="",NOT(ISNUMBER(IndiceZero))),1,ROUNDUP(PartieFixe+(1-PartieFixe)*D10/IndiceZero,3)))))</f>
        <v>0.98899999999999999</v>
      </c>
      <c r="G10" s="88"/>
    </row>
    <row r="11" spans="1:8" ht="18" customHeight="1" x14ac:dyDescent="0.25">
      <c r="B11" s="71">
        <v>46054</v>
      </c>
      <c r="C11" s="98">
        <v>130.1</v>
      </c>
      <c r="D11" s="99">
        <f t="shared" ref="D11:D57" si="2">IF(ISNUMBER(C11),C11,D10)</f>
        <v>130.1</v>
      </c>
      <c r="E11" s="76" t="str">
        <f t="shared" si="0"/>
        <v>Définitif</v>
      </c>
      <c r="F11" s="100">
        <f t="shared" si="1"/>
        <v>0.99099999999999999</v>
      </c>
      <c r="G11" s="88"/>
    </row>
    <row r="12" spans="1:8" ht="18" customHeight="1" x14ac:dyDescent="0.25">
      <c r="B12" s="71">
        <v>46082</v>
      </c>
      <c r="C12" s="98">
        <v>130.19999999999999</v>
      </c>
      <c r="D12" s="99">
        <f t="shared" si="2"/>
        <v>130.19999999999999</v>
      </c>
      <c r="E12" s="76" t="str">
        <f t="shared" si="0"/>
        <v>Définitif</v>
      </c>
      <c r="F12" s="100">
        <f t="shared" si="1"/>
        <v>0.99099999999999999</v>
      </c>
      <c r="G12" s="88"/>
    </row>
    <row r="13" spans="1:8" ht="18" customHeight="1" x14ac:dyDescent="0.25">
      <c r="B13" s="71">
        <v>46113</v>
      </c>
      <c r="C13" s="98">
        <v>130.30000000000001</v>
      </c>
      <c r="D13" s="99">
        <f t="shared" si="2"/>
        <v>130.30000000000001</v>
      </c>
      <c r="E13" s="76" t="str">
        <f t="shared" si="0"/>
        <v>Définitif</v>
      </c>
      <c r="F13" s="100">
        <f t="shared" si="1"/>
        <v>0.99199999999999999</v>
      </c>
      <c r="G13" s="88"/>
    </row>
    <row r="14" spans="1:8" ht="18" customHeight="1" x14ac:dyDescent="0.25">
      <c r="B14" s="71">
        <v>46143</v>
      </c>
      <c r="C14" s="98">
        <v>130.5</v>
      </c>
      <c r="D14" s="99">
        <f t="shared" si="2"/>
        <v>130.5</v>
      </c>
      <c r="E14" s="76" t="str">
        <f t="shared" si="0"/>
        <v>Définitif</v>
      </c>
      <c r="F14" s="100">
        <f t="shared" si="1"/>
        <v>0.99299999999999999</v>
      </c>
      <c r="G14" s="88"/>
    </row>
    <row r="15" spans="1:8" ht="18" customHeight="1" x14ac:dyDescent="0.25">
      <c r="B15" s="71">
        <v>46174</v>
      </c>
      <c r="C15" s="98">
        <v>130.6</v>
      </c>
      <c r="D15" s="99">
        <f t="shared" si="2"/>
        <v>130.6</v>
      </c>
      <c r="E15" s="76" t="str">
        <f t="shared" si="0"/>
        <v>Définitif</v>
      </c>
      <c r="F15" s="100">
        <f t="shared" si="1"/>
        <v>0.99399999999999999</v>
      </c>
      <c r="G15" s="88"/>
    </row>
    <row r="16" spans="1:8" ht="18" customHeight="1" x14ac:dyDescent="0.25">
      <c r="B16" s="71">
        <v>46204</v>
      </c>
      <c r="C16" s="98">
        <v>131</v>
      </c>
      <c r="D16" s="99">
        <f t="shared" si="2"/>
        <v>131</v>
      </c>
      <c r="E16" s="76" t="str">
        <f t="shared" si="0"/>
        <v>Définitif</v>
      </c>
      <c r="F16" s="100">
        <f t="shared" si="1"/>
        <v>0.997</v>
      </c>
      <c r="G16" s="88"/>
    </row>
    <row r="17" spans="2:7" ht="18" customHeight="1" x14ac:dyDescent="0.25">
      <c r="B17" s="71">
        <v>46235</v>
      </c>
      <c r="C17" s="98">
        <v>131.4</v>
      </c>
      <c r="D17" s="99">
        <f t="shared" si="2"/>
        <v>131.4</v>
      </c>
      <c r="E17" s="76" t="str">
        <f t="shared" si="0"/>
        <v>Définitif</v>
      </c>
      <c r="F17" s="100">
        <f t="shared" si="1"/>
        <v>0.999</v>
      </c>
      <c r="G17" s="88"/>
    </row>
    <row r="18" spans="2:7" ht="18" customHeight="1" x14ac:dyDescent="0.25">
      <c r="B18" s="71">
        <v>46266</v>
      </c>
      <c r="C18" s="98">
        <v>131.4</v>
      </c>
      <c r="D18" s="99">
        <f t="shared" si="2"/>
        <v>131.4</v>
      </c>
      <c r="E18" s="76" t="str">
        <f t="shared" si="0"/>
        <v>Définitif</v>
      </c>
      <c r="F18" s="100">
        <f t="shared" si="1"/>
        <v>0.999</v>
      </c>
      <c r="G18" s="88"/>
    </row>
    <row r="19" spans="2:7" ht="18" customHeight="1" x14ac:dyDescent="0.25">
      <c r="B19" s="71">
        <v>46296</v>
      </c>
      <c r="C19" s="98">
        <v>131.6</v>
      </c>
      <c r="D19" s="99">
        <f t="shared" si="2"/>
        <v>131.6</v>
      </c>
      <c r="E19" s="76" t="str">
        <f t="shared" si="0"/>
        <v>Définitif</v>
      </c>
      <c r="F19" s="100">
        <f t="shared" si="1"/>
        <v>1</v>
      </c>
      <c r="G19" s="88" t="s">
        <v>205</v>
      </c>
    </row>
    <row r="20" spans="2:7" ht="18" customHeight="1" x14ac:dyDescent="0.25">
      <c r="B20" s="71">
        <v>46327</v>
      </c>
      <c r="C20" s="98">
        <v>131.80000000000001</v>
      </c>
      <c r="D20" s="99">
        <f t="shared" si="2"/>
        <v>131.80000000000001</v>
      </c>
      <c r="E20" s="76" t="str">
        <f t="shared" si="0"/>
        <v>Définitif</v>
      </c>
      <c r="F20" s="100">
        <f t="shared" si="1"/>
        <v>1.0019999999999998</v>
      </c>
      <c r="G20" s="88"/>
    </row>
    <row r="21" spans="2:7" ht="18" customHeight="1" x14ac:dyDescent="0.25">
      <c r="B21" s="71">
        <v>46357</v>
      </c>
      <c r="C21" s="98">
        <v>132.19999999999999</v>
      </c>
      <c r="D21" s="99">
        <f t="shared" si="2"/>
        <v>132.19999999999999</v>
      </c>
      <c r="E21" s="76" t="str">
        <f t="shared" si="0"/>
        <v>Définitif</v>
      </c>
      <c r="F21" s="100">
        <f t="shared" si="1"/>
        <v>1.0039999999999998</v>
      </c>
      <c r="G21" s="88"/>
    </row>
    <row r="22" spans="2:7" ht="18" customHeight="1" x14ac:dyDescent="0.25">
      <c r="B22" s="71">
        <v>46388</v>
      </c>
      <c r="C22" s="98">
        <v>132.5</v>
      </c>
      <c r="D22" s="99">
        <f t="shared" si="2"/>
        <v>132.5</v>
      </c>
      <c r="E22" s="76" t="str">
        <f t="shared" si="0"/>
        <v>Définitif</v>
      </c>
      <c r="F22" s="100">
        <f t="shared" si="1"/>
        <v>1.0059999999999998</v>
      </c>
      <c r="G22" s="88"/>
    </row>
    <row r="23" spans="2:7" ht="18" customHeight="1" x14ac:dyDescent="0.25">
      <c r="B23" s="71">
        <v>46419</v>
      </c>
      <c r="C23" s="98">
        <v>132.80000000000001</v>
      </c>
      <c r="D23" s="99">
        <f t="shared" si="2"/>
        <v>132.80000000000001</v>
      </c>
      <c r="E23" s="76" t="str">
        <f t="shared" si="0"/>
        <v>Définitif</v>
      </c>
      <c r="F23" s="100">
        <f t="shared" si="1"/>
        <v>1.0079999999999998</v>
      </c>
      <c r="G23" s="88"/>
    </row>
    <row r="24" spans="2:7" ht="18" customHeight="1" x14ac:dyDescent="0.25">
      <c r="B24" s="71">
        <v>46447</v>
      </c>
      <c r="C24" s="98">
        <v>133</v>
      </c>
      <c r="D24" s="99">
        <f t="shared" si="2"/>
        <v>133</v>
      </c>
      <c r="E24" s="76" t="str">
        <f t="shared" si="0"/>
        <v>Définitif</v>
      </c>
      <c r="F24" s="100">
        <f t="shared" si="1"/>
        <v>1.0099999999999998</v>
      </c>
      <c r="G24" s="88"/>
    </row>
    <row r="25" spans="2:7" ht="18" customHeight="1" x14ac:dyDescent="0.25">
      <c r="B25" s="71">
        <v>46478</v>
      </c>
      <c r="C25" s="98">
        <v>133.19999999999999</v>
      </c>
      <c r="D25" s="99">
        <f t="shared" si="2"/>
        <v>133.19999999999999</v>
      </c>
      <c r="E25" s="76" t="str">
        <f t="shared" si="0"/>
        <v>Définitif</v>
      </c>
      <c r="F25" s="100">
        <f t="shared" si="1"/>
        <v>1.0109999999999999</v>
      </c>
      <c r="G25" s="88"/>
    </row>
    <row r="26" spans="2:7" ht="18" customHeight="1" x14ac:dyDescent="0.25">
      <c r="B26" s="71">
        <v>46508</v>
      </c>
      <c r="C26" s="98">
        <v>133.5</v>
      </c>
      <c r="D26" s="99">
        <f t="shared" si="2"/>
        <v>133.5</v>
      </c>
      <c r="E26" s="76" t="str">
        <f t="shared" si="0"/>
        <v>Définitif</v>
      </c>
      <c r="F26" s="100">
        <f t="shared" si="1"/>
        <v>1.0129999999999999</v>
      </c>
      <c r="G26" s="88"/>
    </row>
    <row r="27" spans="2:7" ht="18" customHeight="1" x14ac:dyDescent="0.25">
      <c r="B27" s="71">
        <v>46539</v>
      </c>
      <c r="C27" s="98">
        <v>133.69999999999999</v>
      </c>
      <c r="D27" s="99">
        <f t="shared" si="2"/>
        <v>133.69999999999999</v>
      </c>
      <c r="E27" s="76" t="str">
        <f t="shared" si="0"/>
        <v>Définitif</v>
      </c>
      <c r="F27" s="100">
        <f t="shared" si="1"/>
        <v>1.0139999999999998</v>
      </c>
      <c r="G27" s="88"/>
    </row>
    <row r="28" spans="2:7" ht="18" customHeight="1" x14ac:dyDescent="0.25">
      <c r="B28" s="71">
        <v>46569</v>
      </c>
      <c r="C28" s="98"/>
      <c r="D28" s="99">
        <f t="shared" si="2"/>
        <v>133.69999999999999</v>
      </c>
      <c r="E28" s="76" t="str">
        <f t="shared" si="0"/>
        <v>Provisoire</v>
      </c>
      <c r="F28" s="100">
        <f t="shared" si="1"/>
        <v>1.0139999999999998</v>
      </c>
      <c r="G28" s="88"/>
    </row>
    <row r="29" spans="2:7" ht="18" customHeight="1" x14ac:dyDescent="0.25">
      <c r="B29" s="71">
        <v>46600</v>
      </c>
      <c r="C29" s="98"/>
      <c r="D29" s="99">
        <f t="shared" si="2"/>
        <v>133.69999999999999</v>
      </c>
      <c r="E29" s="76" t="str">
        <f t="shared" si="0"/>
        <v>Provisoire</v>
      </c>
      <c r="F29" s="100">
        <f t="shared" si="1"/>
        <v>1.0139999999999998</v>
      </c>
      <c r="G29" s="88"/>
    </row>
    <row r="30" spans="2:7" ht="18" customHeight="1" x14ac:dyDescent="0.25">
      <c r="B30" s="71">
        <v>46631</v>
      </c>
      <c r="C30" s="98"/>
      <c r="D30" s="99">
        <f t="shared" si="2"/>
        <v>133.69999999999999</v>
      </c>
      <c r="E30" s="76" t="str">
        <f t="shared" si="0"/>
        <v>Provisoire</v>
      </c>
      <c r="F30" s="100">
        <f t="shared" si="1"/>
        <v>1.0139999999999998</v>
      </c>
      <c r="G30" s="88"/>
    </row>
    <row r="31" spans="2:7" ht="18" customHeight="1" x14ac:dyDescent="0.25">
      <c r="B31" s="71">
        <v>46661</v>
      </c>
      <c r="C31" s="98"/>
      <c r="D31" s="99">
        <f t="shared" si="2"/>
        <v>133.69999999999999</v>
      </c>
      <c r="E31" s="76" t="str">
        <f t="shared" si="0"/>
        <v>Provisoire</v>
      </c>
      <c r="F31" s="100">
        <f t="shared" si="1"/>
        <v>1.0139999999999998</v>
      </c>
      <c r="G31" s="88"/>
    </row>
    <row r="32" spans="2:7" ht="18" customHeight="1" x14ac:dyDescent="0.25">
      <c r="B32" s="71">
        <v>46692</v>
      </c>
      <c r="C32" s="98"/>
      <c r="D32" s="99">
        <f t="shared" si="2"/>
        <v>133.69999999999999</v>
      </c>
      <c r="E32" s="76" t="str">
        <f t="shared" si="0"/>
        <v>Provisoire</v>
      </c>
      <c r="F32" s="100">
        <f t="shared" si="1"/>
        <v>1.0139999999999998</v>
      </c>
      <c r="G32" s="88"/>
    </row>
    <row r="33" spans="2:7" ht="18" customHeight="1" x14ac:dyDescent="0.25">
      <c r="B33" s="71">
        <v>46722</v>
      </c>
      <c r="C33" s="98"/>
      <c r="D33" s="99">
        <f t="shared" si="2"/>
        <v>133.69999999999999</v>
      </c>
      <c r="E33" s="76" t="str">
        <f t="shared" si="0"/>
        <v>Provisoire</v>
      </c>
      <c r="F33" s="100">
        <f t="shared" si="1"/>
        <v>1.0139999999999998</v>
      </c>
      <c r="G33" s="88"/>
    </row>
    <row r="34" spans="2:7" ht="18" customHeight="1" x14ac:dyDescent="0.25">
      <c r="B34" s="71">
        <v>46753</v>
      </c>
      <c r="C34" s="98"/>
      <c r="D34" s="99">
        <f t="shared" si="2"/>
        <v>133.69999999999999</v>
      </c>
      <c r="E34" s="76" t="str">
        <f t="shared" si="0"/>
        <v>Provisoire</v>
      </c>
      <c r="F34" s="100">
        <f t="shared" si="1"/>
        <v>1.0139999999999998</v>
      </c>
      <c r="G34" s="88"/>
    </row>
    <row r="35" spans="2:7" ht="18" customHeight="1" x14ac:dyDescent="0.25">
      <c r="B35" s="71">
        <v>46784</v>
      </c>
      <c r="C35" s="98"/>
      <c r="D35" s="99">
        <f t="shared" si="2"/>
        <v>133.69999999999999</v>
      </c>
      <c r="E35" s="76" t="str">
        <f t="shared" si="0"/>
        <v>Provisoire</v>
      </c>
      <c r="F35" s="100">
        <f t="shared" si="1"/>
        <v>1.0139999999999998</v>
      </c>
      <c r="G35" s="88"/>
    </row>
    <row r="36" spans="2:7" ht="18" customHeight="1" x14ac:dyDescent="0.25">
      <c r="B36" s="71">
        <v>46813</v>
      </c>
      <c r="C36" s="98"/>
      <c r="D36" s="99">
        <f t="shared" si="2"/>
        <v>133.69999999999999</v>
      </c>
      <c r="E36" s="76" t="str">
        <f t="shared" si="0"/>
        <v>Provisoire</v>
      </c>
      <c r="F36" s="100">
        <f t="shared" si="1"/>
        <v>1.0139999999999998</v>
      </c>
      <c r="G36" s="88"/>
    </row>
    <row r="37" spans="2:7" ht="18" customHeight="1" x14ac:dyDescent="0.25">
      <c r="B37" s="71">
        <v>46844</v>
      </c>
      <c r="C37" s="98"/>
      <c r="D37" s="99">
        <f t="shared" si="2"/>
        <v>133.69999999999999</v>
      </c>
      <c r="E37" s="76" t="str">
        <f t="shared" si="0"/>
        <v>Provisoire</v>
      </c>
      <c r="F37" s="100">
        <f t="shared" si="1"/>
        <v>1.0139999999999998</v>
      </c>
      <c r="G37" s="88"/>
    </row>
    <row r="38" spans="2:7" ht="18" customHeight="1" x14ac:dyDescent="0.25">
      <c r="B38" s="71">
        <v>46874</v>
      </c>
      <c r="C38" s="98"/>
      <c r="D38" s="99">
        <f t="shared" si="2"/>
        <v>133.69999999999999</v>
      </c>
      <c r="E38" s="76" t="str">
        <f t="shared" si="0"/>
        <v>Provisoire</v>
      </c>
      <c r="F38" s="100">
        <f t="shared" si="1"/>
        <v>1.0139999999999998</v>
      </c>
      <c r="G38" s="88"/>
    </row>
    <row r="39" spans="2:7" ht="18" customHeight="1" x14ac:dyDescent="0.25">
      <c r="B39" s="71">
        <v>46905</v>
      </c>
      <c r="C39" s="98"/>
      <c r="D39" s="99">
        <f t="shared" si="2"/>
        <v>133.69999999999999</v>
      </c>
      <c r="E39" s="76" t="str">
        <f t="shared" si="0"/>
        <v>Provisoire</v>
      </c>
      <c r="F39" s="100">
        <f t="shared" si="1"/>
        <v>1.0139999999999998</v>
      </c>
      <c r="G39" s="88"/>
    </row>
    <row r="40" spans="2:7" ht="18" customHeight="1" x14ac:dyDescent="0.25">
      <c r="B40" s="71">
        <v>46935</v>
      </c>
      <c r="C40" s="98"/>
      <c r="D40" s="99">
        <f t="shared" si="2"/>
        <v>133.69999999999999</v>
      </c>
      <c r="E40" s="76" t="str">
        <f t="shared" si="0"/>
        <v>Provisoire</v>
      </c>
      <c r="F40" s="100">
        <f t="shared" si="1"/>
        <v>1.0139999999999998</v>
      </c>
      <c r="G40" s="88"/>
    </row>
    <row r="41" spans="2:7" ht="18" customHeight="1" x14ac:dyDescent="0.25">
      <c r="B41" s="71">
        <v>46966</v>
      </c>
      <c r="C41" s="98"/>
      <c r="D41" s="99">
        <f t="shared" si="2"/>
        <v>133.69999999999999</v>
      </c>
      <c r="E41" s="76" t="str">
        <f t="shared" si="0"/>
        <v>Provisoire</v>
      </c>
      <c r="F41" s="100">
        <f t="shared" si="1"/>
        <v>1.0139999999999998</v>
      </c>
      <c r="G41" s="88"/>
    </row>
    <row r="42" spans="2:7" ht="18" customHeight="1" x14ac:dyDescent="0.25">
      <c r="B42" s="71">
        <v>46997</v>
      </c>
      <c r="C42" s="98"/>
      <c r="D42" s="99">
        <f t="shared" si="2"/>
        <v>133.69999999999999</v>
      </c>
      <c r="E42" s="76" t="str">
        <f t="shared" si="0"/>
        <v>Provisoire</v>
      </c>
      <c r="F42" s="100">
        <f t="shared" si="1"/>
        <v>1.0139999999999998</v>
      </c>
      <c r="G42" s="88"/>
    </row>
    <row r="43" spans="2:7" ht="18" customHeight="1" x14ac:dyDescent="0.25">
      <c r="B43" s="71">
        <v>47027</v>
      </c>
      <c r="C43" s="98"/>
      <c r="D43" s="99">
        <f t="shared" si="2"/>
        <v>133.69999999999999</v>
      </c>
      <c r="E43" s="76" t="str">
        <f t="shared" si="0"/>
        <v>Provisoire</v>
      </c>
      <c r="F43" s="100">
        <f t="shared" si="1"/>
        <v>1.0139999999999998</v>
      </c>
      <c r="G43" s="88"/>
    </row>
    <row r="44" spans="2:7" ht="18" customHeight="1" x14ac:dyDescent="0.25">
      <c r="B44" s="71">
        <v>47058</v>
      </c>
      <c r="C44" s="98"/>
      <c r="D44" s="99">
        <f t="shared" si="2"/>
        <v>133.69999999999999</v>
      </c>
      <c r="E44" s="76" t="str">
        <f t="shared" si="0"/>
        <v>Provisoire</v>
      </c>
      <c r="F44" s="100">
        <f t="shared" si="1"/>
        <v>1.0139999999999998</v>
      </c>
      <c r="G44" s="88"/>
    </row>
    <row r="45" spans="2:7" ht="18" customHeight="1" x14ac:dyDescent="0.25">
      <c r="B45" s="71">
        <v>47088</v>
      </c>
      <c r="C45" s="98"/>
      <c r="D45" s="99">
        <f t="shared" si="2"/>
        <v>133.69999999999999</v>
      </c>
      <c r="E45" s="76" t="str">
        <f t="shared" si="0"/>
        <v>Provisoire</v>
      </c>
      <c r="F45" s="100">
        <f t="shared" si="1"/>
        <v>1.0139999999999998</v>
      </c>
      <c r="G45" s="88"/>
    </row>
    <row r="46" spans="2:7" ht="18" customHeight="1" x14ac:dyDescent="0.25">
      <c r="B46" s="71">
        <v>47119</v>
      </c>
      <c r="C46" s="98"/>
      <c r="D46" s="99">
        <f t="shared" si="2"/>
        <v>133.69999999999999</v>
      </c>
      <c r="E46" s="76" t="str">
        <f t="shared" si="0"/>
        <v>Provisoire</v>
      </c>
      <c r="F46" s="100">
        <f t="shared" si="1"/>
        <v>1.0139999999999998</v>
      </c>
      <c r="G46" s="88"/>
    </row>
    <row r="47" spans="2:7" ht="18" customHeight="1" x14ac:dyDescent="0.25">
      <c r="B47" s="71">
        <v>47150</v>
      </c>
      <c r="C47" s="98"/>
      <c r="D47" s="99">
        <f t="shared" si="2"/>
        <v>133.69999999999999</v>
      </c>
      <c r="E47" s="76" t="str">
        <f t="shared" si="0"/>
        <v>Provisoire</v>
      </c>
      <c r="F47" s="100">
        <f t="shared" si="1"/>
        <v>1.0139999999999998</v>
      </c>
      <c r="G47" s="88"/>
    </row>
    <row r="48" spans="2:7" ht="18" customHeight="1" x14ac:dyDescent="0.25">
      <c r="B48" s="71">
        <v>47178</v>
      </c>
      <c r="C48" s="98"/>
      <c r="D48" s="99">
        <f t="shared" si="2"/>
        <v>133.69999999999999</v>
      </c>
      <c r="E48" s="76" t="str">
        <f t="shared" si="0"/>
        <v>Provisoire</v>
      </c>
      <c r="F48" s="100">
        <f t="shared" si="1"/>
        <v>1.0139999999999998</v>
      </c>
      <c r="G48" s="88"/>
    </row>
    <row r="49" spans="2:7" ht="18" customHeight="1" x14ac:dyDescent="0.25">
      <c r="B49" s="71">
        <v>47209</v>
      </c>
      <c r="C49" s="98"/>
      <c r="D49" s="99">
        <f t="shared" si="2"/>
        <v>133.69999999999999</v>
      </c>
      <c r="E49" s="76" t="str">
        <f t="shared" si="0"/>
        <v>Provisoire</v>
      </c>
      <c r="F49" s="100">
        <f t="shared" si="1"/>
        <v>1.0139999999999998</v>
      </c>
      <c r="G49" s="88"/>
    </row>
    <row r="50" spans="2:7" ht="18" customHeight="1" x14ac:dyDescent="0.25">
      <c r="B50" s="71">
        <v>47239</v>
      </c>
      <c r="C50" s="98"/>
      <c r="D50" s="99">
        <f t="shared" si="2"/>
        <v>133.69999999999999</v>
      </c>
      <c r="E50" s="76" t="str">
        <f t="shared" si="0"/>
        <v>Provisoire</v>
      </c>
      <c r="F50" s="100">
        <f t="shared" si="1"/>
        <v>1.0139999999999998</v>
      </c>
      <c r="G50" s="88"/>
    </row>
    <row r="51" spans="2:7" ht="18" customHeight="1" x14ac:dyDescent="0.25">
      <c r="B51" s="71">
        <v>47270</v>
      </c>
      <c r="C51" s="98"/>
      <c r="D51" s="99">
        <f t="shared" si="2"/>
        <v>133.69999999999999</v>
      </c>
      <c r="E51" s="76" t="str">
        <f t="shared" si="0"/>
        <v>Provisoire</v>
      </c>
      <c r="F51" s="100">
        <f t="shared" si="1"/>
        <v>1.0139999999999998</v>
      </c>
      <c r="G51" s="88"/>
    </row>
    <row r="52" spans="2:7" ht="18" customHeight="1" x14ac:dyDescent="0.25">
      <c r="B52" s="71">
        <v>47300</v>
      </c>
      <c r="C52" s="98"/>
      <c r="D52" s="99">
        <f t="shared" si="2"/>
        <v>133.69999999999999</v>
      </c>
      <c r="E52" s="76" t="str">
        <f t="shared" si="0"/>
        <v>Provisoire</v>
      </c>
      <c r="F52" s="100">
        <f t="shared" si="1"/>
        <v>1.0139999999999998</v>
      </c>
      <c r="G52" s="88"/>
    </row>
    <row r="53" spans="2:7" ht="18" customHeight="1" x14ac:dyDescent="0.25">
      <c r="B53" s="71">
        <v>47331</v>
      </c>
      <c r="C53" s="98"/>
      <c r="D53" s="99">
        <f t="shared" si="2"/>
        <v>133.69999999999999</v>
      </c>
      <c r="E53" s="76" t="str">
        <f t="shared" si="0"/>
        <v>Provisoire</v>
      </c>
      <c r="F53" s="100">
        <f t="shared" si="1"/>
        <v>1.0139999999999998</v>
      </c>
      <c r="G53" s="88"/>
    </row>
    <row r="54" spans="2:7" ht="18" customHeight="1" x14ac:dyDescent="0.25">
      <c r="B54" s="71">
        <v>47362</v>
      </c>
      <c r="C54" s="98"/>
      <c r="D54" s="99">
        <f t="shared" si="2"/>
        <v>133.69999999999999</v>
      </c>
      <c r="E54" s="76" t="str">
        <f t="shared" si="0"/>
        <v>Provisoire</v>
      </c>
      <c r="F54" s="100">
        <f t="shared" si="1"/>
        <v>1.0139999999999998</v>
      </c>
      <c r="G54" s="88"/>
    </row>
    <row r="55" spans="2:7" ht="18" customHeight="1" x14ac:dyDescent="0.25">
      <c r="B55" s="71">
        <v>47392</v>
      </c>
      <c r="C55" s="98"/>
      <c r="D55" s="99">
        <f t="shared" si="2"/>
        <v>133.69999999999999</v>
      </c>
      <c r="E55" s="76" t="str">
        <f t="shared" si="0"/>
        <v>Provisoire</v>
      </c>
      <c r="F55" s="100">
        <f t="shared" si="1"/>
        <v>1.0139999999999998</v>
      </c>
      <c r="G55" s="88"/>
    </row>
    <row r="56" spans="2:7" ht="18" customHeight="1" x14ac:dyDescent="0.25">
      <c r="B56" s="71">
        <v>47423</v>
      </c>
      <c r="C56" s="98"/>
      <c r="D56" s="99">
        <f t="shared" si="2"/>
        <v>133.69999999999999</v>
      </c>
      <c r="E56" s="76" t="str">
        <f t="shared" si="0"/>
        <v>Provisoire</v>
      </c>
      <c r="F56" s="100">
        <f t="shared" si="1"/>
        <v>1.0139999999999998</v>
      </c>
      <c r="G56" s="88"/>
    </row>
    <row r="57" spans="2:7" ht="18" customHeight="1" x14ac:dyDescent="0.25">
      <c r="B57" s="71">
        <v>47453</v>
      </c>
      <c r="C57" s="98"/>
      <c r="D57" s="99">
        <f t="shared" si="2"/>
        <v>133.69999999999999</v>
      </c>
      <c r="E57" s="76" t="str">
        <f t="shared" si="0"/>
        <v>Provisoire</v>
      </c>
      <c r="F57" s="100">
        <f t="shared" si="1"/>
        <v>1.0139999999999998</v>
      </c>
      <c r="G57" s="88"/>
    </row>
  </sheetData>
  <mergeCells count="2">
    <mergeCell ref="D8:F8"/>
    <mergeCell ref="B8:C8"/>
  </mergeCells>
  <conditionalFormatting sqref="B10:G57">
    <cfRule type="expression" dxfId="4" priority="3">
      <formula>DATE(YEAR($B10),MONTH($B10),1)=DATE(YEAR(MoisZero),MONTH(MoisZero),1)</formula>
    </cfRule>
  </conditionalFormatting>
  <conditionalFormatting sqref="E10:E57">
    <cfRule type="expression" dxfId="3" priority="1" stopIfTrue="1">
      <formula>$E10="Provisoire"</formula>
    </cfRule>
    <cfRule type="expression" dxfId="2" priority="2" stopIfTrue="1">
      <formula>$E10="Définitif"</formula>
    </cfRule>
  </conditionalFormatting>
  <dataValidations count="2">
    <dataValidation type="date" allowBlank="1" showInputMessage="1" showErrorMessage="1" errorTitle="Date non valide" error="Saisissez une date au format jj/mm/aaaa." promptTitle="Mois" prompt="Premier jour du mois (ex. 01/03/2027)." sqref="B10:B57" xr:uid="{00000000-0002-0000-0400-000000000000}">
      <formula1>36526</formula1>
      <formula2>73051</formula2>
    </dataValidation>
    <dataValidation type="decimal" allowBlank="1" showErrorMessage="1" errorTitle="Valeur non valide" error="Valeur de l'indice publiée pour le mois." sqref="C10:C57" xr:uid="{00000000-0002-0000-0400-000001000000}">
      <formula1>0</formula1>
      <formula2>100000</formula2>
    </dataValidation>
  </dataValidations>
  <printOptions horizontalCentered="1"/>
  <pageMargins left="0.4" right="0.4" top="0.45" bottom="0.55000000000000004" header="0.5" footer="0.5"/>
  <pageSetup paperSize="9" fitToHeight="0" orientation="portrait"/>
  <headerFooter>
    <oddFooter>&amp;L&amp;8 &amp;K8A91A0État d'acompte – &amp;A&amp;R&amp;8 &amp;K8A91A0Page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4B5563"/>
    <pageSetUpPr fitToPage="1"/>
  </sheetPr>
  <dimension ref="A1:S53"/>
  <sheetViews>
    <sheetView showGridLines="0" workbookViewId="0">
      <pane ySplit="8" topLeftCell="A9" activePane="bottomLeft" state="frozen"/>
      <selection pane="bottomLeft"/>
    </sheetView>
  </sheetViews>
  <sheetFormatPr baseColWidth="10" defaultColWidth="9.140625" defaultRowHeight="15" x14ac:dyDescent="0.25"/>
  <cols>
    <col min="1" max="1" width="2" customWidth="1"/>
    <col min="2" max="2" width="5" customWidth="1"/>
    <col min="3" max="3" width="38" customWidth="1"/>
    <col min="4" max="6" width="15" customWidth="1"/>
    <col min="7" max="7" width="3" customWidth="1"/>
    <col min="8" max="8" width="5" customWidth="1"/>
    <col min="9" max="9" width="38" customWidth="1"/>
    <col min="10" max="12" width="15" customWidth="1"/>
    <col min="13" max="13" width="2" customWidth="1"/>
    <col min="14" max="14" width="3" customWidth="1"/>
    <col min="15" max="15" width="26" customWidth="1"/>
    <col min="16" max="19" width="22" customWidth="1"/>
  </cols>
  <sheetData>
    <row r="1" spans="1:19" ht="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9" ht="30" customHeight="1" x14ac:dyDescent="0.35">
      <c r="B2" s="60" t="s">
        <v>206</v>
      </c>
      <c r="L2" s="61" t="str">
        <f>"Marché n° "&amp;NumMarche&amp;"   ·   "&amp;Lot</f>
        <v>Marché n° 2026-TRX-014   ·   Lot 03 – Menuiseries extérieures</v>
      </c>
    </row>
    <row r="3" spans="1:19" ht="18" customHeight="1" x14ac:dyDescent="0.25">
      <c r="B3" s="3" t="s">
        <v>207</v>
      </c>
      <c r="L3" s="62" t="str">
        <f>"Titulaire : "&amp;Titulaire</f>
        <v>Titulaire : Menuiseries Durand &amp; Associés SAS</v>
      </c>
    </row>
    <row r="4" spans="1:19" ht="3.9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9" ht="8.1" customHeight="1" x14ac:dyDescent="0.25"/>
    <row r="6" spans="1:19" ht="20.100000000000001" customHeight="1" x14ac:dyDescent="0.25">
      <c r="B6" s="63" t="s">
        <v>208</v>
      </c>
      <c r="J6" s="64" t="s">
        <v>98</v>
      </c>
      <c r="K6" s="186" t="s">
        <v>99</v>
      </c>
      <c r="L6" s="187"/>
    </row>
    <row r="7" spans="1:19" ht="8.1" customHeight="1" x14ac:dyDescent="0.25"/>
    <row r="8" spans="1:19" ht="18" customHeight="1" x14ac:dyDescent="0.25"/>
    <row r="9" spans="1:19" ht="24" customHeight="1" x14ac:dyDescent="0.25">
      <c r="B9" s="37" t="s">
        <v>47</v>
      </c>
      <c r="C9" s="38" t="s">
        <v>209</v>
      </c>
      <c r="D9" s="4"/>
      <c r="E9" s="4"/>
      <c r="F9" s="4"/>
      <c r="H9" s="37" t="s">
        <v>56</v>
      </c>
      <c r="I9" s="38" t="s">
        <v>210</v>
      </c>
      <c r="J9" s="4"/>
      <c r="K9" s="4"/>
      <c r="L9" s="4"/>
      <c r="N9" s="101"/>
      <c r="O9" s="38" t="s">
        <v>211</v>
      </c>
      <c r="P9" s="4"/>
      <c r="Q9" s="4"/>
      <c r="R9" s="4"/>
    </row>
    <row r="10" spans="1:19" ht="20.100000000000001" customHeight="1" x14ac:dyDescent="0.25">
      <c r="C10" s="102" t="s">
        <v>212</v>
      </c>
      <c r="D10" s="217" t="s">
        <v>213</v>
      </c>
      <c r="E10" s="192"/>
      <c r="F10" s="192"/>
      <c r="I10" s="102" t="s">
        <v>49</v>
      </c>
      <c r="J10" s="192" t="s">
        <v>214</v>
      </c>
      <c r="K10" s="192"/>
      <c r="L10" s="192"/>
      <c r="O10" s="103" t="s">
        <v>215</v>
      </c>
      <c r="P10" s="103" t="s">
        <v>216</v>
      </c>
      <c r="Q10" s="103" t="s">
        <v>217</v>
      </c>
      <c r="R10" s="103" t="s">
        <v>218</v>
      </c>
      <c r="S10" s="103" t="s">
        <v>219</v>
      </c>
    </row>
    <row r="11" spans="1:19" ht="30" customHeight="1" x14ac:dyDescent="0.25">
      <c r="C11" s="102" t="s">
        <v>220</v>
      </c>
      <c r="D11" s="193" t="s">
        <v>221</v>
      </c>
      <c r="E11" s="192"/>
      <c r="F11" s="192"/>
      <c r="I11" s="102" t="s">
        <v>222</v>
      </c>
      <c r="J11" s="192" t="s">
        <v>223</v>
      </c>
      <c r="K11" s="192"/>
      <c r="L11" s="192"/>
      <c r="O11" s="88" t="s">
        <v>224</v>
      </c>
      <c r="P11" s="88" t="s">
        <v>225</v>
      </c>
      <c r="Q11" s="88" t="s">
        <v>226</v>
      </c>
      <c r="R11" s="88" t="s">
        <v>227</v>
      </c>
      <c r="S11" s="104" t="s">
        <v>171</v>
      </c>
    </row>
    <row r="12" spans="1:19" ht="20.100000000000001" customHeight="1" x14ac:dyDescent="0.25">
      <c r="C12" s="102" t="s">
        <v>228</v>
      </c>
      <c r="D12" s="192" t="s">
        <v>229</v>
      </c>
      <c r="E12" s="192"/>
      <c r="F12" s="192"/>
      <c r="I12" s="102" t="s">
        <v>50</v>
      </c>
      <c r="J12" s="192" t="s">
        <v>230</v>
      </c>
      <c r="K12" s="192"/>
      <c r="L12" s="192"/>
      <c r="O12" s="88" t="s">
        <v>231</v>
      </c>
      <c r="P12" s="88" t="s">
        <v>232</v>
      </c>
      <c r="Q12" s="88" t="s">
        <v>233</v>
      </c>
      <c r="R12" s="88" t="s">
        <v>234</v>
      </c>
      <c r="S12" s="104" t="str">
        <f>IF(C30="","",C30)</f>
        <v>Avenant n° 1</v>
      </c>
    </row>
    <row r="13" spans="1:19" ht="20.100000000000001" customHeight="1" x14ac:dyDescent="0.25">
      <c r="C13" s="102" t="s">
        <v>235</v>
      </c>
      <c r="D13" s="192" t="s">
        <v>224</v>
      </c>
      <c r="E13" s="192"/>
      <c r="F13" s="192"/>
      <c r="I13" s="102" t="s">
        <v>236</v>
      </c>
      <c r="J13" s="192" t="s">
        <v>237</v>
      </c>
      <c r="K13" s="192"/>
      <c r="L13" s="192"/>
      <c r="O13" s="88" t="s">
        <v>238</v>
      </c>
      <c r="P13" s="88" t="s">
        <v>239</v>
      </c>
      <c r="Q13" s="88" t="s">
        <v>240</v>
      </c>
      <c r="R13" s="88"/>
      <c r="S13" s="104" t="str">
        <f>IF(C31="","",C31)</f>
        <v>Avenant n° 2</v>
      </c>
    </row>
    <row r="14" spans="1:19" ht="20.100000000000001" customHeight="1" x14ac:dyDescent="0.25">
      <c r="C14" s="102" t="s">
        <v>241</v>
      </c>
      <c r="D14" s="192" t="s">
        <v>225</v>
      </c>
      <c r="E14" s="192"/>
      <c r="F14" s="192"/>
      <c r="I14" s="102" t="s">
        <v>242</v>
      </c>
      <c r="J14" s="192" t="s">
        <v>243</v>
      </c>
      <c r="K14" s="192"/>
      <c r="L14" s="192"/>
      <c r="O14" s="88" t="s">
        <v>244</v>
      </c>
      <c r="P14" s="88" t="s">
        <v>245</v>
      </c>
      <c r="Q14" s="88"/>
      <c r="R14" s="88"/>
      <c r="S14" s="104" t="str">
        <f>IF(C32="","",C32)</f>
        <v>Avenant n° 3</v>
      </c>
    </row>
    <row r="15" spans="1:19" ht="20.100000000000001" customHeight="1" x14ac:dyDescent="0.25">
      <c r="C15" s="102" t="s">
        <v>54</v>
      </c>
      <c r="D15" s="192" t="s">
        <v>240</v>
      </c>
      <c r="E15" s="192"/>
      <c r="F15" s="192"/>
      <c r="I15" s="102" t="s">
        <v>246</v>
      </c>
      <c r="J15" s="192" t="s">
        <v>247</v>
      </c>
      <c r="K15" s="192"/>
      <c r="L15" s="192"/>
      <c r="O15" s="88" t="s">
        <v>248</v>
      </c>
      <c r="P15" s="88" t="s">
        <v>249</v>
      </c>
      <c r="Q15" s="88"/>
      <c r="R15" s="88"/>
    </row>
    <row r="16" spans="1:19" ht="20.100000000000001" customHeight="1" x14ac:dyDescent="0.25">
      <c r="C16" s="102" t="s">
        <v>250</v>
      </c>
      <c r="D16" s="200">
        <v>46371</v>
      </c>
      <c r="E16" s="200"/>
      <c r="F16" s="200"/>
      <c r="I16" s="102" t="s">
        <v>251</v>
      </c>
      <c r="J16" s="192" t="s">
        <v>252</v>
      </c>
      <c r="K16" s="192"/>
      <c r="L16" s="192"/>
      <c r="O16" s="88"/>
      <c r="P16" s="88"/>
      <c r="Q16" s="88"/>
      <c r="R16" s="88"/>
    </row>
    <row r="17" spans="2:18" ht="20.100000000000001" customHeight="1" x14ac:dyDescent="0.25">
      <c r="C17" s="102" t="s">
        <v>253</v>
      </c>
      <c r="D17" s="200">
        <v>46391</v>
      </c>
      <c r="E17" s="200"/>
      <c r="F17" s="200"/>
      <c r="I17" s="102" t="s">
        <v>254</v>
      </c>
      <c r="J17" s="192" t="s">
        <v>255</v>
      </c>
      <c r="K17" s="192"/>
      <c r="L17" s="192"/>
      <c r="O17" s="88"/>
      <c r="P17" s="88"/>
      <c r="Q17" s="88"/>
      <c r="R17" s="88"/>
    </row>
    <row r="18" spans="2:18" ht="20.100000000000001" customHeight="1" x14ac:dyDescent="0.25">
      <c r="C18" s="102" t="s">
        <v>256</v>
      </c>
      <c r="D18" s="207">
        <v>10</v>
      </c>
      <c r="E18" s="207"/>
      <c r="F18" s="207"/>
      <c r="I18" s="102" t="s">
        <v>257</v>
      </c>
      <c r="J18" s="192" t="s">
        <v>258</v>
      </c>
      <c r="K18" s="192"/>
      <c r="L18" s="192"/>
      <c r="O18" s="88"/>
      <c r="P18" s="88"/>
      <c r="Q18" s="88"/>
      <c r="R18" s="88"/>
    </row>
    <row r="19" spans="2:18" ht="20.100000000000001" customHeight="1" x14ac:dyDescent="0.25">
      <c r="C19" s="102" t="s">
        <v>259</v>
      </c>
      <c r="D19" s="212">
        <f>IF(OR(D17="",D18=""),"",EDATE(D17,D18)-1)</f>
        <v>46694</v>
      </c>
      <c r="E19" s="213"/>
      <c r="F19" s="213"/>
    </row>
    <row r="20" spans="2:18" x14ac:dyDescent="0.25">
      <c r="O20" s="105" t="s">
        <v>260</v>
      </c>
    </row>
    <row r="21" spans="2:18" ht="24" customHeight="1" x14ac:dyDescent="0.25">
      <c r="B21" s="37" t="s">
        <v>72</v>
      </c>
      <c r="C21" s="38" t="s">
        <v>261</v>
      </c>
      <c r="D21" s="4"/>
      <c r="E21" s="4"/>
      <c r="F21" s="4"/>
      <c r="H21" s="37" t="s">
        <v>76</v>
      </c>
      <c r="I21" s="38" t="s">
        <v>262</v>
      </c>
      <c r="J21" s="4"/>
      <c r="K21" s="4"/>
      <c r="L21" s="4"/>
    </row>
    <row r="22" spans="2:18" ht="20.100000000000001" customHeight="1" x14ac:dyDescent="0.25">
      <c r="C22" s="102" t="s">
        <v>263</v>
      </c>
      <c r="D22" s="190">
        <f>SUMIFS(Avancement!$E$11:$E$50,Avancement!$D$11:$D$50,"Marché initial")</f>
        <v>379000</v>
      </c>
      <c r="E22" s="191"/>
      <c r="F22" s="191"/>
      <c r="I22" s="102" t="s">
        <v>264</v>
      </c>
      <c r="J22" s="206" t="s">
        <v>265</v>
      </c>
      <c r="K22" s="206"/>
      <c r="L22" s="206"/>
    </row>
    <row r="23" spans="2:18" ht="20.100000000000001" customHeight="1" x14ac:dyDescent="0.25">
      <c r="C23" s="102" t="s">
        <v>266</v>
      </c>
      <c r="D23" s="190">
        <f>SUM(Avancement!$E$11:$E$50)-D22</f>
        <v>27400</v>
      </c>
      <c r="E23" s="191"/>
      <c r="F23" s="191"/>
      <c r="I23" s="102" t="s">
        <v>267</v>
      </c>
      <c r="J23" s="209">
        <v>0.1</v>
      </c>
      <c r="K23" s="209"/>
      <c r="L23" s="209"/>
    </row>
    <row r="24" spans="2:18" ht="20.100000000000001" customHeight="1" x14ac:dyDescent="0.25">
      <c r="C24" s="102" t="s">
        <v>268</v>
      </c>
      <c r="D24" s="211">
        <f>D22+D23</f>
        <v>406400</v>
      </c>
      <c r="E24" s="191"/>
      <c r="F24" s="191"/>
      <c r="I24" s="102" t="s">
        <v>269</v>
      </c>
      <c r="J24" s="190">
        <f>IF(N(D18)&lt;=12,D22*(1+D25),12*D22*(1+D25)/D18)</f>
        <v>454800</v>
      </c>
      <c r="K24" s="191"/>
      <c r="L24" s="191"/>
    </row>
    <row r="25" spans="2:18" ht="20.100000000000001" customHeight="1" x14ac:dyDescent="0.25">
      <c r="C25" s="102" t="s">
        <v>270</v>
      </c>
      <c r="D25" s="209">
        <v>0.2</v>
      </c>
      <c r="E25" s="209"/>
      <c r="F25" s="209"/>
      <c r="I25" s="102" t="s">
        <v>271</v>
      </c>
      <c r="J25" s="190">
        <f>IF(J22="Oui",ROUND(J23*J24,2),0)</f>
        <v>45480</v>
      </c>
      <c r="K25" s="191"/>
      <c r="L25" s="191"/>
    </row>
    <row r="26" spans="2:18" ht="20.100000000000001" customHeight="1" x14ac:dyDescent="0.25">
      <c r="C26" s="102" t="s">
        <v>272</v>
      </c>
      <c r="D26" s="190">
        <f>ROUND(D24*(1+D25),2)</f>
        <v>487680</v>
      </c>
      <c r="E26" s="191"/>
      <c r="F26" s="191"/>
      <c r="I26" s="102" t="s">
        <v>273</v>
      </c>
      <c r="J26" s="203">
        <v>46409</v>
      </c>
      <c r="K26" s="203"/>
      <c r="L26" s="203"/>
    </row>
    <row r="27" spans="2:18" ht="20.100000000000001" customHeight="1" x14ac:dyDescent="0.25">
      <c r="C27" s="102" t="s">
        <v>274</v>
      </c>
      <c r="D27" s="194">
        <f>IF(N(D22)=0,"",D23/D22)</f>
        <v>7.2295514511873354E-2</v>
      </c>
      <c r="E27" s="195"/>
      <c r="F27" s="195"/>
      <c r="I27" s="102" t="s">
        <v>275</v>
      </c>
      <c r="J27" s="197">
        <v>0.65</v>
      </c>
      <c r="K27" s="197"/>
      <c r="L27" s="197"/>
    </row>
    <row r="28" spans="2:18" ht="20.100000000000001" customHeight="1" x14ac:dyDescent="0.25">
      <c r="I28" s="102" t="s">
        <v>276</v>
      </c>
      <c r="J28" s="197">
        <v>0.8</v>
      </c>
      <c r="K28" s="197"/>
      <c r="L28" s="197"/>
    </row>
    <row r="29" spans="2:18" x14ac:dyDescent="0.25">
      <c r="C29" s="106" t="s">
        <v>277</v>
      </c>
      <c r="D29" s="106" t="s">
        <v>278</v>
      </c>
      <c r="E29" s="205" t="s">
        <v>279</v>
      </c>
      <c r="F29" s="179"/>
      <c r="I29" s="214" t="s">
        <v>280</v>
      </c>
      <c r="J29" s="138"/>
      <c r="K29" s="138"/>
      <c r="L29" s="138"/>
    </row>
    <row r="30" spans="2:18" ht="18.95" customHeight="1" x14ac:dyDescent="0.25">
      <c r="C30" s="88" t="s">
        <v>192</v>
      </c>
      <c r="D30" s="80">
        <v>46519</v>
      </c>
      <c r="E30" s="210">
        <f>IF(C30="","",SUMIFS(Avancement!$E$11:$E$50,Avancement!$D$11:$D$50,C30))</f>
        <v>27400</v>
      </c>
      <c r="F30" s="210"/>
      <c r="I30" s="138"/>
      <c r="J30" s="138"/>
      <c r="K30" s="138"/>
      <c r="L30" s="138"/>
    </row>
    <row r="31" spans="2:18" ht="18.95" customHeight="1" x14ac:dyDescent="0.25">
      <c r="C31" s="88" t="s">
        <v>281</v>
      </c>
      <c r="D31" s="80"/>
      <c r="E31" s="210">
        <f>IF(C31="","",SUMIFS(Avancement!$E$11:$E$50,Avancement!$D$11:$D$50,C31))</f>
        <v>0</v>
      </c>
      <c r="F31" s="210"/>
    </row>
    <row r="32" spans="2:18" ht="24" customHeight="1" x14ac:dyDescent="0.25">
      <c r="C32" s="88" t="s">
        <v>282</v>
      </c>
      <c r="D32" s="80"/>
      <c r="E32" s="210">
        <f>IF(C32="","",SUMIFS(Avancement!$E$11:$E$50,Avancement!$D$11:$D$50,C32))</f>
        <v>0</v>
      </c>
      <c r="F32" s="210"/>
      <c r="H32" s="37" t="s">
        <v>283</v>
      </c>
      <c r="I32" s="38" t="s">
        <v>102</v>
      </c>
      <c r="J32" s="4"/>
      <c r="K32" s="4"/>
      <c r="L32" s="4"/>
    </row>
    <row r="33" spans="2:12" ht="20.100000000000001" customHeight="1" x14ac:dyDescent="0.25">
      <c r="I33" s="102" t="s">
        <v>284</v>
      </c>
      <c r="J33" s="192" t="s">
        <v>285</v>
      </c>
      <c r="K33" s="192"/>
      <c r="L33" s="192"/>
    </row>
    <row r="34" spans="2:12" ht="24" customHeight="1" x14ac:dyDescent="0.25">
      <c r="B34" s="37" t="s">
        <v>88</v>
      </c>
      <c r="C34" s="38" t="s">
        <v>286</v>
      </c>
      <c r="D34" s="4"/>
      <c r="E34" s="4"/>
      <c r="F34" s="4"/>
      <c r="I34" s="102" t="s">
        <v>287</v>
      </c>
      <c r="J34" s="221">
        <v>46296</v>
      </c>
      <c r="K34" s="221"/>
      <c r="L34" s="221"/>
    </row>
    <row r="35" spans="2:12" ht="20.100000000000001" customHeight="1" x14ac:dyDescent="0.25">
      <c r="C35" s="102" t="s">
        <v>288</v>
      </c>
      <c r="D35" s="209">
        <v>0.05</v>
      </c>
      <c r="E35" s="209"/>
      <c r="F35" s="209"/>
      <c r="I35" s="102" t="s">
        <v>289</v>
      </c>
      <c r="J35" s="201">
        <f>IFERROR(INDEX('Révision des prix'!$C$10:$C$57,MATCH(DATE(YEAR(J34),MONTH(J34),1),'Révision des prix'!$B$10:$B$57,0)),"Indice manquant")</f>
        <v>131.6</v>
      </c>
      <c r="K35" s="202"/>
      <c r="L35" s="202"/>
    </row>
    <row r="36" spans="2:12" ht="30" customHeight="1" x14ac:dyDescent="0.25">
      <c r="C36" s="102" t="s">
        <v>290</v>
      </c>
      <c r="D36" s="206" t="s">
        <v>291</v>
      </c>
      <c r="E36" s="206"/>
      <c r="F36" s="206"/>
      <c r="I36" s="102" t="s">
        <v>292</v>
      </c>
      <c r="J36" s="196">
        <v>0.125</v>
      </c>
      <c r="K36" s="196"/>
      <c r="L36" s="196"/>
    </row>
    <row r="37" spans="2:12" ht="20.100000000000001" customHeight="1" x14ac:dyDescent="0.25">
      <c r="C37" s="102" t="s">
        <v>293</v>
      </c>
      <c r="D37" s="206" t="s">
        <v>227</v>
      </c>
      <c r="E37" s="206"/>
      <c r="F37" s="206"/>
      <c r="I37" s="102" t="s">
        <v>294</v>
      </c>
      <c r="J37" s="218">
        <f>IF(D15&lt;&gt;"Prix fermes actualisables",1,IF(D17&lt;=EDATE(J34,3),1,IFERROR(ROUNDUP(J36+(1-J36)*INDEX('Révision des prix'!$D$10:$D$57,MATCH(DATE(YEAR(EDATE(D17,-3)),MONTH(EDATE(D17,-3)),1),'Révision des prix'!$B$10:$B$57,0))/J35,3),1)))</f>
        <v>1</v>
      </c>
      <c r="K37" s="219"/>
      <c r="L37" s="219"/>
    </row>
    <row r="38" spans="2:12" x14ac:dyDescent="0.25">
      <c r="I38" s="199" t="s">
        <v>295</v>
      </c>
      <c r="J38" s="138"/>
      <c r="K38" s="138"/>
      <c r="L38" s="138"/>
    </row>
    <row r="39" spans="2:12" ht="24" customHeight="1" x14ac:dyDescent="0.25">
      <c r="B39" s="37" t="s">
        <v>296</v>
      </c>
      <c r="C39" s="38" t="s">
        <v>297</v>
      </c>
      <c r="D39" s="4"/>
      <c r="E39" s="4"/>
      <c r="F39" s="4"/>
    </row>
    <row r="40" spans="2:12" ht="24" customHeight="1" x14ac:dyDescent="0.25">
      <c r="C40" s="102" t="s">
        <v>298</v>
      </c>
      <c r="D40" s="220">
        <v>3000</v>
      </c>
      <c r="E40" s="220"/>
      <c r="F40" s="220"/>
      <c r="H40" s="37" t="s">
        <v>299</v>
      </c>
      <c r="I40" s="38" t="s">
        <v>300</v>
      </c>
      <c r="J40" s="4"/>
      <c r="K40" s="4"/>
      <c r="L40" s="4"/>
    </row>
    <row r="41" spans="2:12" ht="20.100000000000001" customHeight="1" x14ac:dyDescent="0.25">
      <c r="C41" s="102" t="s">
        <v>301</v>
      </c>
      <c r="D41" s="190">
        <f>IF(N(D40)=0,0,ROUND(D24/D40,2))</f>
        <v>135.47</v>
      </c>
      <c r="E41" s="191"/>
      <c r="F41" s="191"/>
      <c r="I41" s="102" t="s">
        <v>302</v>
      </c>
      <c r="J41" s="204">
        <v>30</v>
      </c>
      <c r="K41" s="204"/>
      <c r="L41" s="204"/>
    </row>
    <row r="42" spans="2:12" ht="20.100000000000001" customHeight="1" x14ac:dyDescent="0.25">
      <c r="C42" s="102" t="s">
        <v>303</v>
      </c>
      <c r="D42" s="197">
        <v>0.1</v>
      </c>
      <c r="E42" s="197"/>
      <c r="F42" s="197"/>
      <c r="I42" s="102" t="s">
        <v>304</v>
      </c>
      <c r="J42" s="208">
        <v>0.02</v>
      </c>
      <c r="K42" s="208"/>
      <c r="L42" s="208"/>
    </row>
    <row r="43" spans="2:12" ht="20.100000000000001" customHeight="1" x14ac:dyDescent="0.25">
      <c r="C43" s="102" t="s">
        <v>305</v>
      </c>
      <c r="D43" s="198">
        <v>1000</v>
      </c>
      <c r="E43" s="198"/>
      <c r="F43" s="198"/>
      <c r="I43" s="102" t="s">
        <v>306</v>
      </c>
      <c r="J43" s="208">
        <v>0.08</v>
      </c>
      <c r="K43" s="208"/>
      <c r="L43" s="208"/>
    </row>
    <row r="44" spans="2:12" ht="20.100000000000001" customHeight="1" x14ac:dyDescent="0.25">
      <c r="I44" s="102" t="s">
        <v>307</v>
      </c>
      <c r="J44" s="215">
        <f>J42+J43</f>
        <v>0.1</v>
      </c>
      <c r="K44" s="216"/>
      <c r="L44" s="216"/>
    </row>
    <row r="45" spans="2:12" ht="20.100000000000001" customHeight="1" x14ac:dyDescent="0.25">
      <c r="I45" s="102" t="s">
        <v>308</v>
      </c>
      <c r="J45" s="198">
        <v>40</v>
      </c>
      <c r="K45" s="198"/>
      <c r="L45" s="198"/>
    </row>
    <row r="46" spans="2:12" ht="20.100000000000001" customHeight="1" x14ac:dyDescent="0.25">
      <c r="I46" s="102" t="s">
        <v>309</v>
      </c>
      <c r="J46" s="212">
        <f ca="1">MAX(TODAY(),MAX(Situations!$AA$10:$AA$33),MAX(Situations!$AC$10:$AC$33))</f>
        <v>46637</v>
      </c>
      <c r="K46" s="213"/>
      <c r="L46" s="213"/>
    </row>
    <row r="47" spans="2:12" x14ac:dyDescent="0.25">
      <c r="I47" s="105" t="s">
        <v>310</v>
      </c>
    </row>
    <row r="49" spans="2:12" ht="24" customHeight="1" x14ac:dyDescent="0.25">
      <c r="B49" s="37" t="s">
        <v>311</v>
      </c>
      <c r="C49" s="38" t="s">
        <v>312</v>
      </c>
      <c r="D49" s="4"/>
      <c r="E49" s="4"/>
      <c r="F49" s="4"/>
      <c r="G49" s="4"/>
      <c r="H49" s="4"/>
      <c r="I49" s="4"/>
      <c r="J49" s="4"/>
      <c r="K49" s="4"/>
      <c r="L49" s="4"/>
    </row>
    <row r="50" spans="2:12" ht="32.1" customHeight="1" x14ac:dyDescent="0.25">
      <c r="C50" s="107" t="s">
        <v>313</v>
      </c>
      <c r="D50" s="107" t="s">
        <v>314</v>
      </c>
      <c r="E50" s="107" t="s">
        <v>315</v>
      </c>
      <c r="F50" s="107" t="s">
        <v>316</v>
      </c>
      <c r="I50" s="107" t="s">
        <v>317</v>
      </c>
      <c r="J50" s="67" t="s">
        <v>318</v>
      </c>
      <c r="K50" s="67" t="s">
        <v>319</v>
      </c>
      <c r="L50" s="67" t="s">
        <v>320</v>
      </c>
    </row>
    <row r="51" spans="2:12" ht="20.100000000000001" customHeight="1" x14ac:dyDescent="0.25">
      <c r="C51" s="88" t="s">
        <v>321</v>
      </c>
      <c r="D51" s="89">
        <v>42000</v>
      </c>
      <c r="E51" s="87" t="s">
        <v>265</v>
      </c>
      <c r="F51" s="87" t="s">
        <v>265</v>
      </c>
      <c r="I51" s="88" t="s">
        <v>322</v>
      </c>
      <c r="J51" s="73">
        <f>IF(C51="","",SUM(Situations!$V$10:$V$33))</f>
        <v>34900</v>
      </c>
      <c r="K51" s="73">
        <f>IF(C51="","",N(D51)-N(J51))</f>
        <v>7100</v>
      </c>
      <c r="L51" s="76" t="str">
        <f>IF(C51="","",IF(N(J51)&gt;N(D51),"Dépassement","Conforme"))</f>
        <v>Conforme</v>
      </c>
    </row>
    <row r="52" spans="2:12" ht="20.100000000000001" customHeight="1" x14ac:dyDescent="0.25">
      <c r="C52" s="88" t="s">
        <v>323</v>
      </c>
      <c r="D52" s="89">
        <v>15000</v>
      </c>
      <c r="E52" s="87" t="s">
        <v>265</v>
      </c>
      <c r="F52" s="87" t="s">
        <v>265</v>
      </c>
      <c r="I52" s="88" t="s">
        <v>187</v>
      </c>
      <c r="J52" s="73">
        <f>IF(C52="","",SUM(Situations!$W$10:$W$33))</f>
        <v>8400</v>
      </c>
      <c r="K52" s="73">
        <f>IF(C52="","",N(D52)-N(J52))</f>
        <v>6600</v>
      </c>
      <c r="L52" s="76" t="str">
        <f>IF(C52="","",IF(N(J52)&gt;N(D52),"Dépassement","Conforme"))</f>
        <v>Conforme</v>
      </c>
    </row>
    <row r="53" spans="2:12" ht="20.100000000000001" customHeight="1" x14ac:dyDescent="0.25">
      <c r="C53" s="88"/>
      <c r="D53" s="89"/>
      <c r="E53" s="87"/>
      <c r="F53" s="87"/>
      <c r="I53" s="88"/>
      <c r="J53" s="73" t="str">
        <f>IF(C53="","",SUM(Situations!$X$10:$X$33))</f>
        <v/>
      </c>
      <c r="K53" s="73" t="str">
        <f>IF(C53="","",N(D53)-N(J53))</f>
        <v/>
      </c>
      <c r="L53" s="76" t="str">
        <f>IF(C53="","",IF(N(J53)&gt;N(D53),"Dépassement","Conforme"))</f>
        <v/>
      </c>
    </row>
  </sheetData>
  <mergeCells count="57">
    <mergeCell ref="K6:L6"/>
    <mergeCell ref="J15:L15"/>
    <mergeCell ref="D10:F10"/>
    <mergeCell ref="D19:F19"/>
    <mergeCell ref="J14:L14"/>
    <mergeCell ref="J10:L10"/>
    <mergeCell ref="E32:F32"/>
    <mergeCell ref="J28:L28"/>
    <mergeCell ref="J13:L13"/>
    <mergeCell ref="D22:F22"/>
    <mergeCell ref="D42:F42"/>
    <mergeCell ref="J46:L46"/>
    <mergeCell ref="D14:F14"/>
    <mergeCell ref="E30:F30"/>
    <mergeCell ref="J33:L33"/>
    <mergeCell ref="D23:F23"/>
    <mergeCell ref="J42:L42"/>
    <mergeCell ref="J18:L18"/>
    <mergeCell ref="J23:L23"/>
    <mergeCell ref="D35:F35"/>
    <mergeCell ref="D26:F26"/>
    <mergeCell ref="J17:L17"/>
    <mergeCell ref="I29:L30"/>
    <mergeCell ref="J44:L44"/>
    <mergeCell ref="J37:L37"/>
    <mergeCell ref="D40:F40"/>
    <mergeCell ref="J45:L45"/>
    <mergeCell ref="I38:L38"/>
    <mergeCell ref="D17:F17"/>
    <mergeCell ref="J35:L35"/>
    <mergeCell ref="J26:L26"/>
    <mergeCell ref="D43:F43"/>
    <mergeCell ref="J25:L25"/>
    <mergeCell ref="J41:L41"/>
    <mergeCell ref="E29:F29"/>
    <mergeCell ref="D37:F37"/>
    <mergeCell ref="J22:L22"/>
    <mergeCell ref="D18:F18"/>
    <mergeCell ref="J43:L43"/>
    <mergeCell ref="D25:F25"/>
    <mergeCell ref="E31:F31"/>
    <mergeCell ref="D24:F24"/>
    <mergeCell ref="J24:L24"/>
    <mergeCell ref="D13:F13"/>
    <mergeCell ref="D11:F11"/>
    <mergeCell ref="D27:F27"/>
    <mergeCell ref="D41:F41"/>
    <mergeCell ref="J36:L36"/>
    <mergeCell ref="J27:L27"/>
    <mergeCell ref="D16:F16"/>
    <mergeCell ref="J11:L11"/>
    <mergeCell ref="J16:L16"/>
    <mergeCell ref="D12:F12"/>
    <mergeCell ref="J12:L12"/>
    <mergeCell ref="D15:F15"/>
    <mergeCell ref="D36:F36"/>
    <mergeCell ref="J34:L34"/>
  </mergeCells>
  <conditionalFormatting sqref="L51:L53">
    <cfRule type="expression" dxfId="1" priority="1" stopIfTrue="1">
      <formula>$L51="Dépassement"</formula>
    </cfRule>
    <cfRule type="expression" dxfId="0" priority="2" stopIfTrue="1">
      <formula>$L51="Conforme"</formula>
    </cfRule>
  </conditionalFormatting>
  <dataValidations count="17">
    <dataValidation type="list" allowBlank="1" showErrorMessage="1" errorTitle="Valeur non prévue" error="Choisissez une valeur dans la liste déroulante." sqref="D13" xr:uid="{00000000-0002-0000-0500-000000000000}">
      <formula1>ListeProcedures</formula1>
    </dataValidation>
    <dataValidation type="list" allowBlank="1" showErrorMessage="1" errorTitle="Valeur non prévue" error="Choisissez une valeur dans la liste déroulante." sqref="D14" xr:uid="{00000000-0002-0000-0500-000001000000}">
      <formula1>ListeCCAG</formula1>
    </dataValidation>
    <dataValidation type="list" allowBlank="1" showInputMessage="1" showErrorMessage="1" errorTitle="Valeur non prévue" error="Choisissez une valeur dans la liste déroulante." promptTitle="Forme des prix" prompt="Prix révisables : coefficient mensuel selon l'indice de l'onglet Révision des prix._x000a_Prix fermes actualisables : coefficient unique si l'exécution débute plus de 3 mois après le mois zéro." sqref="D15" xr:uid="{00000000-0002-0000-0500-000002000000}">
      <formula1>ListeFormePrix</formula1>
    </dataValidation>
    <dataValidation type="date" allowBlank="1" showErrorMessage="1" errorTitle="Date non valide" error="Saisissez une date au format jj/mm/aaaa." sqref="D16:D17 D30:D32 J34 J26" xr:uid="{00000000-0002-0000-0500-000003000000}">
      <formula1>36526</formula1>
      <formula2>73051</formula2>
    </dataValidation>
    <dataValidation type="whole" allowBlank="1" showErrorMessage="1" errorTitle="Valeur non valide" error="Durée en mois (1 à 240)." sqref="D18" xr:uid="{00000000-0002-0000-0500-000004000000}">
      <formula1>1</formula1>
      <formula2>240</formula2>
    </dataValidation>
    <dataValidation type="decimal" allowBlank="1" showErrorMessage="1" errorTitle="Valeur non valide" error="Taux entre 0 % et 100 %." sqref="D25 J23" xr:uid="{00000000-0002-0000-0500-000005000000}">
      <formula1>0</formula1>
      <formula2>1</formula2>
    </dataValidation>
    <dataValidation type="list" allowBlank="1" showErrorMessage="1" errorTitle="Valeur non prévue" error="Choisissez une valeur dans la liste déroulante." sqref="J22 E51:F53" xr:uid="{00000000-0002-0000-0500-000006000000}">
      <formula1>"Oui,Non"</formula1>
    </dataValidation>
    <dataValidation type="decimal" allowBlank="1" showErrorMessage="1" errorTitle="Valeur non valide" error="Pourcentage d'exécution entre 0 % et 100 %." sqref="J27:J28" xr:uid="{00000000-0002-0000-0500-000009000000}">
      <formula1>0</formula1>
      <formula2>1</formula2>
    </dataValidation>
    <dataValidation type="decimal" allowBlank="1" showErrorMessage="1" errorTitle="Valeur non valide" error="La retenue de garantie ne peut excéder 5 %." sqref="D35" xr:uid="{00000000-0002-0000-0500-00000A000000}">
      <formula1>0</formula1>
      <formula2>0.05</formula2>
    </dataValidation>
    <dataValidation type="list" allowBlank="1" showInputMessage="1" showErrorMessage="1" errorTitle="Valeur non prévue" error="Choisissez une valeur dans la liste déroulante." promptTitle="Garantie de substitution" prompt="Oui : aucune retenue n'est prélevée sur les acomptes." sqref="D36" xr:uid="{00000000-0002-0000-0500-00000B000000}">
      <formula1>"Oui,Non"</formula1>
    </dataValidation>
    <dataValidation type="list" allowBlank="1" showErrorMessage="1" errorTitle="Valeur non prévue" error="Choisissez une valeur dans la liste déroulante." sqref="D37" xr:uid="{00000000-0002-0000-0500-00000C000000}">
      <formula1>ListeAssietteRG</formula1>
    </dataValidation>
    <dataValidation type="decimal" allowBlank="1" showErrorMessage="1" errorTitle="Valeur non valide" error="Saisissez un nombre positif." sqref="J36 J42:J43 D42" xr:uid="{00000000-0002-0000-0500-00000E000000}">
      <formula1>0</formula1>
      <formula2>1</formula2>
    </dataValidation>
    <dataValidation type="whole" allowBlank="1" showErrorMessage="1" errorTitle="Valeur non valide" error="Saisissez un nombre positif." sqref="D40" xr:uid="{00000000-0002-0000-0500-00000F000000}">
      <formula1>1</formula1>
      <formula2>100000</formula2>
    </dataValidation>
    <dataValidation type="decimal" allowBlank="1" showErrorMessage="1" errorTitle="Valeur non valide" error="Saisissez un nombre positif." sqref="D43" xr:uid="{00000000-0002-0000-0500-000011000000}">
      <formula1>0</formula1>
      <formula2>1000000</formula2>
    </dataValidation>
    <dataValidation type="whole" allowBlank="1" showErrorMessage="1" errorTitle="Valeur non valide" error="Saisissez un nombre positif." sqref="J41" xr:uid="{00000000-0002-0000-0500-000012000000}">
      <formula1>0</formula1>
      <formula2>365</formula2>
    </dataValidation>
    <dataValidation type="decimal" allowBlank="1" showErrorMessage="1" errorTitle="Valeur non valide" error="Saisissez un nombre positif." sqref="J45" xr:uid="{00000000-0002-0000-0500-000014000000}">
      <formula1>0</formula1>
      <formula2>10000</formula2>
    </dataValidation>
    <dataValidation type="decimal" allowBlank="1" showErrorMessage="1" errorTitle="Valeur non valide" error="Saisissez un nombre positif." sqref="D51:D53" xr:uid="{00000000-0002-0000-0500-000017000000}">
      <formula1>0</formula1>
      <formula2>100000000</formula2>
    </dataValidation>
  </dataValidations>
  <printOptions horizontalCentered="1"/>
  <pageMargins left="0.4" right="0.4" top="0.45" bottom="0.55000000000000004" header="0.5" footer="0.5"/>
  <pageSetup paperSize="9" orientation="landscape"/>
  <headerFooter>
    <oddFooter>&amp;L&amp;8 &amp;K8A91A0État d'acompte – &amp;A&amp;R&amp;8 &amp;K8A91A0Page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A9AEBB"/>
    <pageSetUpPr fitToPage="1"/>
  </sheetPr>
  <dimension ref="A1:E51"/>
  <sheetViews>
    <sheetView showGridLines="0" workbookViewId="0"/>
  </sheetViews>
  <sheetFormatPr baseColWidth="10" defaultColWidth="9.140625" defaultRowHeight="15" x14ac:dyDescent="0.25"/>
  <cols>
    <col min="1" max="1" width="2" customWidth="1"/>
    <col min="2" max="2" width="5" customWidth="1"/>
    <col min="3" max="3" width="30" customWidth="1"/>
    <col min="4" max="4" width="88" customWidth="1"/>
    <col min="5" max="5" width="2" customWidth="1"/>
  </cols>
  <sheetData>
    <row r="1" spans="1:5" ht="6" customHeight="1" x14ac:dyDescent="0.25">
      <c r="A1" s="1"/>
      <c r="B1" s="1"/>
      <c r="C1" s="1"/>
      <c r="D1" s="1"/>
      <c r="E1" s="1"/>
    </row>
    <row r="2" spans="1:5" ht="30" customHeight="1" x14ac:dyDescent="0.35">
      <c r="B2" s="60" t="s">
        <v>324</v>
      </c>
    </row>
    <row r="3" spans="1:5" ht="18" customHeight="1" x14ac:dyDescent="0.25">
      <c r="B3" s="3" t="s">
        <v>325</v>
      </c>
    </row>
    <row r="4" spans="1:5" ht="3.95" customHeight="1" x14ac:dyDescent="0.25">
      <c r="A4" s="4"/>
      <c r="B4" s="4"/>
      <c r="C4" s="4"/>
      <c r="D4" s="4"/>
      <c r="E4" s="4"/>
    </row>
    <row r="5" spans="1:5" ht="8.1" customHeight="1" x14ac:dyDescent="0.25"/>
    <row r="6" spans="1:5" ht="20.100000000000001" customHeight="1" x14ac:dyDescent="0.25"/>
    <row r="7" spans="1:5" ht="8.1" customHeight="1" x14ac:dyDescent="0.25"/>
    <row r="8" spans="1:5" ht="24" customHeight="1" x14ac:dyDescent="0.25">
      <c r="B8" s="37" t="s">
        <v>47</v>
      </c>
      <c r="C8" s="38" t="s">
        <v>326</v>
      </c>
      <c r="D8" s="4"/>
    </row>
    <row r="9" spans="1:5" ht="48" customHeight="1" x14ac:dyDescent="0.25">
      <c r="B9" s="223" t="s">
        <v>327</v>
      </c>
      <c r="C9" s="138"/>
      <c r="D9" s="138"/>
    </row>
    <row r="11" spans="1:5" ht="24" customHeight="1" x14ac:dyDescent="0.25">
      <c r="B11" s="37" t="s">
        <v>56</v>
      </c>
      <c r="C11" s="38" t="s">
        <v>328</v>
      </c>
      <c r="D11" s="4"/>
    </row>
    <row r="12" spans="1:5" ht="33.950000000000003" customHeight="1" x14ac:dyDescent="0.25">
      <c r="B12" s="108"/>
      <c r="C12" s="109" t="s">
        <v>52</v>
      </c>
      <c r="D12" s="110" t="s">
        <v>329</v>
      </c>
    </row>
    <row r="13" spans="1:5" ht="33.950000000000003" customHeight="1" x14ac:dyDescent="0.25">
      <c r="B13" s="108"/>
      <c r="C13" s="109" t="s">
        <v>330</v>
      </c>
      <c r="D13" s="110" t="s">
        <v>331</v>
      </c>
    </row>
    <row r="14" spans="1:5" ht="33.950000000000003" customHeight="1" x14ac:dyDescent="0.25">
      <c r="B14" s="108"/>
      <c r="C14" s="109" t="s">
        <v>332</v>
      </c>
      <c r="D14" s="110" t="s">
        <v>333</v>
      </c>
    </row>
    <row r="16" spans="1:5" ht="24" customHeight="1" x14ac:dyDescent="0.25">
      <c r="B16" s="37" t="s">
        <v>72</v>
      </c>
      <c r="C16" s="38" t="s">
        <v>334</v>
      </c>
      <c r="D16" s="4"/>
    </row>
    <row r="17" spans="2:4" ht="33.950000000000003" customHeight="1" x14ac:dyDescent="0.25">
      <c r="B17" s="108"/>
      <c r="C17" s="109" t="s">
        <v>330</v>
      </c>
      <c r="D17" s="110" t="s">
        <v>335</v>
      </c>
    </row>
    <row r="18" spans="2:4" ht="33.950000000000003" customHeight="1" x14ac:dyDescent="0.25">
      <c r="B18" s="108"/>
      <c r="C18" s="109" t="s">
        <v>336</v>
      </c>
      <c r="D18" s="110" t="s">
        <v>337</v>
      </c>
    </row>
    <row r="19" spans="2:4" ht="33.950000000000003" customHeight="1" x14ac:dyDescent="0.25">
      <c r="B19" s="108"/>
      <c r="C19" s="109" t="s">
        <v>338</v>
      </c>
      <c r="D19" s="110" t="s">
        <v>339</v>
      </c>
    </row>
    <row r="20" spans="2:4" ht="21.95" customHeight="1" x14ac:dyDescent="0.25">
      <c r="B20" s="108"/>
      <c r="C20" s="109" t="s">
        <v>340</v>
      </c>
      <c r="D20" s="110" t="s">
        <v>341</v>
      </c>
    </row>
    <row r="22" spans="2:4" ht="24" customHeight="1" x14ac:dyDescent="0.25">
      <c r="B22" s="37" t="s">
        <v>76</v>
      </c>
      <c r="C22" s="38" t="s">
        <v>342</v>
      </c>
      <c r="D22" s="4"/>
    </row>
    <row r="23" spans="2:4" ht="21" customHeight="1" x14ac:dyDescent="0.25">
      <c r="B23" s="111"/>
      <c r="C23" s="112" t="s">
        <v>343</v>
      </c>
      <c r="D23" s="110" t="s">
        <v>344</v>
      </c>
    </row>
    <row r="24" spans="2:4" ht="33.950000000000003" customHeight="1" x14ac:dyDescent="0.25">
      <c r="B24" s="111"/>
      <c r="C24" s="112" t="s">
        <v>332</v>
      </c>
      <c r="D24" s="110" t="s">
        <v>345</v>
      </c>
    </row>
    <row r="25" spans="2:4" ht="33.950000000000003" customHeight="1" x14ac:dyDescent="0.25">
      <c r="B25" s="111"/>
      <c r="C25" s="112" t="s">
        <v>25</v>
      </c>
      <c r="D25" s="110" t="s">
        <v>346</v>
      </c>
    </row>
    <row r="26" spans="2:4" ht="33.950000000000003" customHeight="1" x14ac:dyDescent="0.25">
      <c r="B26" s="111"/>
      <c r="C26" s="112" t="s">
        <v>347</v>
      </c>
      <c r="D26" s="110" t="s">
        <v>348</v>
      </c>
    </row>
    <row r="27" spans="2:4" ht="33.950000000000003" customHeight="1" x14ac:dyDescent="0.25">
      <c r="B27" s="111"/>
      <c r="C27" s="112" t="s">
        <v>349</v>
      </c>
      <c r="D27" s="110" t="s">
        <v>350</v>
      </c>
    </row>
    <row r="28" spans="2:4" ht="21" customHeight="1" x14ac:dyDescent="0.25">
      <c r="B28" s="111"/>
      <c r="C28" s="112" t="s">
        <v>351</v>
      </c>
      <c r="D28" s="110" t="s">
        <v>352</v>
      </c>
    </row>
    <row r="29" spans="2:4" ht="21" customHeight="1" x14ac:dyDescent="0.25">
      <c r="B29" s="111"/>
      <c r="C29" s="112" t="s">
        <v>87</v>
      </c>
      <c r="D29" s="110" t="s">
        <v>353</v>
      </c>
    </row>
    <row r="31" spans="2:4" ht="24" customHeight="1" x14ac:dyDescent="0.25">
      <c r="B31" s="37" t="s">
        <v>88</v>
      </c>
      <c r="C31" s="38" t="s">
        <v>354</v>
      </c>
      <c r="D31" s="4"/>
    </row>
    <row r="32" spans="2:4" ht="21" customHeight="1" x14ac:dyDescent="0.25">
      <c r="C32" s="113" t="s">
        <v>98</v>
      </c>
      <c r="D32" s="114" t="s">
        <v>355</v>
      </c>
    </row>
    <row r="33" spans="2:4" ht="21" customHeight="1" x14ac:dyDescent="0.25">
      <c r="C33" s="115" t="s">
        <v>356</v>
      </c>
      <c r="D33" s="114" t="s">
        <v>357</v>
      </c>
    </row>
    <row r="34" spans="2:4" ht="21" customHeight="1" x14ac:dyDescent="0.25">
      <c r="C34" s="116" t="s">
        <v>358</v>
      </c>
      <c r="D34" s="114" t="s">
        <v>359</v>
      </c>
    </row>
    <row r="35" spans="2:4" ht="21" customHeight="1" x14ac:dyDescent="0.25">
      <c r="C35" s="117" t="s">
        <v>360</v>
      </c>
      <c r="D35" s="114" t="s">
        <v>361</v>
      </c>
    </row>
    <row r="36" spans="2:4" ht="21" customHeight="1" x14ac:dyDescent="0.25">
      <c r="C36" s="118" t="s">
        <v>362</v>
      </c>
      <c r="D36" s="114" t="s">
        <v>363</v>
      </c>
    </row>
    <row r="37" spans="2:4" ht="21" customHeight="1" x14ac:dyDescent="0.25">
      <c r="C37" s="119" t="s">
        <v>364</v>
      </c>
      <c r="D37" s="114" t="s">
        <v>365</v>
      </c>
    </row>
    <row r="39" spans="2:4" ht="24" customHeight="1" x14ac:dyDescent="0.25">
      <c r="B39" s="37" t="s">
        <v>283</v>
      </c>
      <c r="C39" s="38" t="s">
        <v>366</v>
      </c>
      <c r="D39" s="4"/>
    </row>
    <row r="40" spans="2:4" ht="30" customHeight="1" x14ac:dyDescent="0.25">
      <c r="B40" s="120" t="s">
        <v>367</v>
      </c>
      <c r="C40" s="222" t="s">
        <v>368</v>
      </c>
      <c r="D40" s="138"/>
    </row>
    <row r="41" spans="2:4" ht="30" customHeight="1" x14ac:dyDescent="0.25">
      <c r="B41" s="120" t="s">
        <v>367</v>
      </c>
      <c r="C41" s="222" t="s">
        <v>369</v>
      </c>
      <c r="D41" s="138"/>
    </row>
    <row r="42" spans="2:4" ht="30" customHeight="1" x14ac:dyDescent="0.25">
      <c r="B42" s="120" t="s">
        <v>367</v>
      </c>
      <c r="C42" s="222" t="s">
        <v>370</v>
      </c>
      <c r="D42" s="138"/>
    </row>
    <row r="43" spans="2:4" ht="30" customHeight="1" x14ac:dyDescent="0.25">
      <c r="B43" s="120" t="s">
        <v>367</v>
      </c>
      <c r="C43" s="222" t="s">
        <v>371</v>
      </c>
      <c r="D43" s="138"/>
    </row>
    <row r="44" spans="2:4" ht="20.100000000000001" customHeight="1" x14ac:dyDescent="0.25">
      <c r="B44" s="120" t="s">
        <v>367</v>
      </c>
      <c r="C44" s="222" t="s">
        <v>372</v>
      </c>
      <c r="D44" s="138"/>
    </row>
    <row r="45" spans="2:4" ht="20.100000000000001" customHeight="1" x14ac:dyDescent="0.25">
      <c r="B45" s="120" t="s">
        <v>367</v>
      </c>
      <c r="C45" s="222" t="s">
        <v>373</v>
      </c>
      <c r="D45" s="138"/>
    </row>
    <row r="47" spans="2:4" ht="24" customHeight="1" x14ac:dyDescent="0.25">
      <c r="B47" s="37" t="s">
        <v>296</v>
      </c>
      <c r="C47" s="38" t="s">
        <v>374</v>
      </c>
      <c r="D47" s="4"/>
    </row>
    <row r="48" spans="2:4" ht="20.100000000000001" customHeight="1" x14ac:dyDescent="0.25">
      <c r="B48" s="120" t="s">
        <v>367</v>
      </c>
      <c r="C48" s="222" t="s">
        <v>375</v>
      </c>
      <c r="D48" s="138"/>
    </row>
    <row r="49" spans="2:4" ht="20.100000000000001" customHeight="1" x14ac:dyDescent="0.25">
      <c r="B49" s="120" t="s">
        <v>367</v>
      </c>
      <c r="C49" s="222" t="s">
        <v>376</v>
      </c>
      <c r="D49" s="138"/>
    </row>
    <row r="50" spans="2:4" ht="30" customHeight="1" x14ac:dyDescent="0.25">
      <c r="B50" s="120" t="s">
        <v>367</v>
      </c>
      <c r="C50" s="222" t="s">
        <v>377</v>
      </c>
      <c r="D50" s="138"/>
    </row>
    <row r="51" spans="2:4" ht="20.100000000000001" customHeight="1" x14ac:dyDescent="0.25">
      <c r="B51" s="120" t="s">
        <v>367</v>
      </c>
      <c r="C51" s="222" t="s">
        <v>378</v>
      </c>
      <c r="D51" s="138"/>
    </row>
  </sheetData>
  <mergeCells count="11">
    <mergeCell ref="C43:D43"/>
    <mergeCell ref="C51:D51"/>
    <mergeCell ref="C41:D41"/>
    <mergeCell ref="C42:D42"/>
    <mergeCell ref="B9:D9"/>
    <mergeCell ref="C45:D45"/>
    <mergeCell ref="C44:D44"/>
    <mergeCell ref="C50:D50"/>
    <mergeCell ref="C40:D40"/>
    <mergeCell ref="C48:D48"/>
    <mergeCell ref="C49:D49"/>
  </mergeCells>
  <hyperlinks>
    <hyperlink ref="C12" location="'Marché'!A1" display="Marché" xr:uid="{00000000-0004-0000-0600-000000000000}"/>
    <hyperlink ref="C13" location="'Avancement'!A1" display="Avancement" xr:uid="{00000000-0004-0000-0600-000001000000}"/>
    <hyperlink ref="C14" location="'Révision des prix'!A1" display="Révision des prix" xr:uid="{00000000-0004-0000-0600-000002000000}"/>
    <hyperlink ref="C17" location="'Avancement'!A1" display="Avancement" xr:uid="{00000000-0004-0000-0600-000003000000}"/>
    <hyperlink ref="C18" location="'Situations'!A1" display="Situations" xr:uid="{00000000-0004-0000-0600-000004000000}"/>
    <hyperlink ref="C19" location="'État d''acompte'!A1" display="État d'acompte" xr:uid="{00000000-0004-0000-0600-000005000000}"/>
    <hyperlink ref="C20" location="'Tableau de bord'!A1" display="Tableau de bord" xr:uid="{00000000-0004-0000-0600-000006000000}"/>
  </hyperlinks>
  <printOptions horizontalCentered="1"/>
  <pageMargins left="0.4" right="0.4" top="0.45" bottom="0.55000000000000004" header="0.5" footer="0.5"/>
  <pageSetup paperSize="9" fitToHeight="0" orientation="portrait"/>
  <headerFooter>
    <oddFooter>&amp;L&amp;8 &amp;K8A91A0État d'acompte – &amp;A&amp;R&amp;8 &amp;K8A91A0Page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64</vt:i4>
      </vt:variant>
    </vt:vector>
  </HeadingPairs>
  <TitlesOfParts>
    <vt:vector size="71" baseType="lpstr">
      <vt:lpstr>Tableau de bord</vt:lpstr>
      <vt:lpstr>État d'acompte</vt:lpstr>
      <vt:lpstr>Situations</vt:lpstr>
      <vt:lpstr>Avancement</vt:lpstr>
      <vt:lpstr>Révision des prix</vt:lpstr>
      <vt:lpstr>Marché</vt:lpstr>
      <vt:lpstr>Mode d'emploi</vt:lpstr>
      <vt:lpstr>Acheteur</vt:lpstr>
      <vt:lpstr>AssietteRG</vt:lpstr>
      <vt:lpstr>AvanceOui</vt:lpstr>
      <vt:lpstr>CCAG</vt:lpstr>
      <vt:lpstr>CoefActu</vt:lpstr>
      <vt:lpstr>Comptable</vt:lpstr>
      <vt:lpstr>DateFin</vt:lpstr>
      <vt:lpstr>DateNotif</vt:lpstr>
      <vt:lpstr>DateOS</vt:lpstr>
      <vt:lpstr>DateSituation</vt:lpstr>
      <vt:lpstr>DebutRemb</vt:lpstr>
      <vt:lpstr>DelaiPaiement</vt:lpstr>
      <vt:lpstr>Avancement!Druckbereich</vt:lpstr>
      <vt:lpstr>'État d''acompte'!Druckbereich</vt:lpstr>
      <vt:lpstr>Marché!Druckbereich</vt:lpstr>
      <vt:lpstr>'Mode d''emploi'!Druckbereich</vt:lpstr>
      <vt:lpstr>'Révision des prix'!Druckbereich</vt:lpstr>
      <vt:lpstr>Situations!Druckbereich</vt:lpstr>
      <vt:lpstr>'Tableau de bord'!Druckbereich</vt:lpstr>
      <vt:lpstr>Avancement!Drucktitel</vt:lpstr>
      <vt:lpstr>'Révision des prix'!Drucktitel</vt:lpstr>
      <vt:lpstr>Situations!Drucktitel</vt:lpstr>
      <vt:lpstr>DureeMois</vt:lpstr>
      <vt:lpstr>EtatChoisi</vt:lpstr>
      <vt:lpstr>ExoPen</vt:lpstr>
      <vt:lpstr>FinRemb</vt:lpstr>
      <vt:lpstr>FormePrix</vt:lpstr>
      <vt:lpstr>IndCoef</vt:lpstr>
      <vt:lpstr>IndemniteForf</vt:lpstr>
      <vt:lpstr>IndiceZero</vt:lpstr>
      <vt:lpstr>IndMois</vt:lpstr>
      <vt:lpstr>IndStatut</vt:lpstr>
      <vt:lpstr>Lot</vt:lpstr>
      <vt:lpstr>MaitreOeuvre</vt:lpstr>
      <vt:lpstr>MoisZero</vt:lpstr>
      <vt:lpstr>MontantAvance</vt:lpstr>
      <vt:lpstr>MontantAvenants</vt:lpstr>
      <vt:lpstr>MontantHT</vt:lpstr>
      <vt:lpstr>MontantInitial</vt:lpstr>
      <vt:lpstr>MontantTTC</vt:lpstr>
      <vt:lpstr>NumEJ</vt:lpstr>
      <vt:lpstr>NumMarche</vt:lpstr>
      <vt:lpstr>ObjetMarche</vt:lpstr>
      <vt:lpstr>PartieFixe</vt:lpstr>
      <vt:lpstr>PenDenom</vt:lpstr>
      <vt:lpstr>PenJour</vt:lpstr>
      <vt:lpstr>PlafondPen</vt:lpstr>
      <vt:lpstr>Representant</vt:lpstr>
      <vt:lpstr>RGGarantie</vt:lpstr>
      <vt:lpstr>SiretTitulaire</vt:lpstr>
      <vt:lpstr>ST1Autoliq</vt:lpstr>
      <vt:lpstr>ST1Direct</vt:lpstr>
      <vt:lpstr>ST1Nom</vt:lpstr>
      <vt:lpstr>ST2Autoliq</vt:lpstr>
      <vt:lpstr>ST2Direct</vt:lpstr>
      <vt:lpstr>ST2Nom</vt:lpstr>
      <vt:lpstr>ST3Autoliq</vt:lpstr>
      <vt:lpstr>ST3Direct</vt:lpstr>
      <vt:lpstr>ST3Nom</vt:lpstr>
      <vt:lpstr>TauxAvance</vt:lpstr>
      <vt:lpstr>TauxIM</vt:lpstr>
      <vt:lpstr>TauxRG</vt:lpstr>
      <vt:lpstr>TauxTVA</vt:lpstr>
      <vt:lpstr>Titulaire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État d'acompte – marché public</dc:title>
  <dc:subject>États d'acompte mensuels d'un marché public de travaux</dc:subject>
  <dc:creator>État d'acompte</dc:creator>
  <cp:lastModifiedBy>Sergio Jiménez Canales</cp:lastModifiedBy>
  <dcterms:created xsi:type="dcterms:W3CDTF">2026-09-23T15:58:59Z</dcterms:created>
  <dcterms:modified xsi:type="dcterms:W3CDTF">2026-09-27T16:40:31Z</dcterms:modified>
</cp:coreProperties>
</file>