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AAFC696D-6B98-4F79-A7C9-AF9B2F7ABCB3}" xr6:coauthVersionLast="47" xr6:coauthVersionMax="47" xr10:uidLastSave="{00000000-0000-0000-0000-000000000000}"/>
  <bookViews>
    <workbookView xWindow="690" yWindow="690" windowWidth="25500" windowHeight="13500" xr2:uid="{00000000-000D-0000-FFFF-FFFF00000000}"/>
  </bookViews>
  <sheets>
    <sheet name="Fiche de salaire" sheetId="4" r:id="rId1"/>
    <sheet name="Paramètres" sheetId="2" r:id="rId2"/>
    <sheet name="Employés" sheetId="3" r:id="rId3"/>
    <sheet name="Journal de paie" sheetId="5" r:id="rId4"/>
    <sheet name="Mode d'emploi" sheetId="1" r:id="rId5"/>
  </sheets>
  <definedNames>
    <definedName name="_xlnm.Print_Area" localSheetId="0">'Fiche de salaire'!$A$1:$G$53</definedName>
    <definedName name="lpp_coord_ded">Paramètres!$C$28</definedName>
    <definedName name="lpp_coord_max">Paramètres!$C$30</definedName>
    <definedName name="lpp_coord_min">Paramètres!$C$29</definedName>
    <definedName name="lpp_part_sal">Paramètres!$C$31</definedName>
    <definedName name="lpp_seuil">Paramètres!$C$27</definedName>
    <definedName name="lst_cantons">Paramètres!$C$43:$C$52</definedName>
    <definedName name="lst_etat_civil">Paramètres!$E$43:$E$47</definedName>
    <definedName name="lst_mois">Paramètres!$B$43:$B$54</definedName>
    <definedName name="lst_oui_non">Paramètres!$F$43:$F$44</definedName>
    <definedName name="lst_paiement">Paramètres!$G$43:$G$45</definedName>
    <definedName name="lst_permis">Paramètres!$D$43:$D$47</definedName>
    <definedName name="plafond_ac_mois">Paramètres!$E$17</definedName>
    <definedName name="tbl_lpp">Paramètres!$B$35:$C$39</definedName>
    <definedName name="tx_aanp">Paramètres!$C$18</definedName>
    <definedName name="tx_aap">Paramètres!$C$22</definedName>
    <definedName name="tx_ac">Paramètres!$C$16</definedName>
    <definedName name="tx_autres_pat">Paramètres!$C$23</definedName>
    <definedName name="tx_avs">Paramètres!$C$15</definedName>
    <definedName name="tx_charges_pat">Paramètres!$C$24</definedName>
    <definedName name="tx_ijm">Paramètres!$C$19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5" l="1"/>
  <c r="E20" i="5"/>
  <c r="D20" i="5"/>
  <c r="C20" i="5"/>
  <c r="H19" i="5"/>
  <c r="I19" i="5" s="1"/>
  <c r="G19" i="5"/>
  <c r="H18" i="5"/>
  <c r="I18" i="5" s="1"/>
  <c r="G18" i="5"/>
  <c r="H17" i="5"/>
  <c r="I17" i="5" s="1"/>
  <c r="G17" i="5"/>
  <c r="H16" i="5"/>
  <c r="I16" i="5" s="1"/>
  <c r="G16" i="5"/>
  <c r="H15" i="5"/>
  <c r="I15" i="5" s="1"/>
  <c r="G15" i="5"/>
  <c r="H14" i="5"/>
  <c r="I14" i="5" s="1"/>
  <c r="G14" i="5"/>
  <c r="H13" i="5"/>
  <c r="I13" i="5" s="1"/>
  <c r="G13" i="5"/>
  <c r="H12" i="5"/>
  <c r="I12" i="5" s="1"/>
  <c r="G12" i="5"/>
  <c r="H11" i="5"/>
  <c r="I11" i="5" s="1"/>
  <c r="G11" i="5"/>
  <c r="H10" i="5"/>
  <c r="I10" i="5" s="1"/>
  <c r="G10" i="5"/>
  <c r="H9" i="5"/>
  <c r="I9" i="5" s="1"/>
  <c r="G9" i="5"/>
  <c r="H8" i="5"/>
  <c r="H20" i="5" s="1"/>
  <c r="G8" i="5"/>
  <c r="G20" i="5" s="1"/>
  <c r="F6" i="5"/>
  <c r="D6" i="5"/>
  <c r="B6" i="5"/>
  <c r="E48" i="4"/>
  <c r="E46" i="4"/>
  <c r="E45" i="4"/>
  <c r="E44" i="4"/>
  <c r="E31" i="4"/>
  <c r="E30" i="4"/>
  <c r="F20" i="4"/>
  <c r="E8" i="4"/>
  <c r="B3" i="4"/>
  <c r="J2" i="4"/>
  <c r="J12" i="4" s="1"/>
  <c r="C14" i="4" s="1"/>
  <c r="B2" i="4"/>
  <c r="E17" i="2"/>
  <c r="J14" i="4" l="1"/>
  <c r="J27" i="4" s="1"/>
  <c r="E35" i="4" s="1"/>
  <c r="J6" i="4"/>
  <c r="J17" i="4"/>
  <c r="J28" i="4" s="1"/>
  <c r="E34" i="4" s="1"/>
  <c r="J7" i="4"/>
  <c r="C13" i="4" s="1"/>
  <c r="J18" i="4"/>
  <c r="E15" i="4" s="1"/>
  <c r="J8" i="4"/>
  <c r="J20" i="4" s="1"/>
  <c r="J24" i="4" s="1"/>
  <c r="J9" i="4"/>
  <c r="E13" i="4" s="1"/>
  <c r="J5" i="4"/>
  <c r="C12" i="4" s="1"/>
  <c r="J16" i="4"/>
  <c r="E33" i="4" s="1"/>
  <c r="J10" i="4"/>
  <c r="E14" i="4" s="1"/>
  <c r="J11" i="4"/>
  <c r="C15" i="4" s="1"/>
  <c r="J3" i="4"/>
  <c r="I8" i="5"/>
  <c r="J4" i="4"/>
  <c r="J15" i="4"/>
  <c r="J13" i="4"/>
  <c r="C11" i="4" l="1"/>
  <c r="J25" i="4"/>
  <c r="E32" i="4" s="1"/>
  <c r="E47" i="4"/>
  <c r="J21" i="4"/>
  <c r="J22" i="4" s="1"/>
  <c r="J23" i="4" s="1"/>
  <c r="F19" i="4"/>
  <c r="F26" i="4" s="1"/>
  <c r="I20" i="5"/>
  <c r="H6" i="5"/>
  <c r="J26" i="4" l="1"/>
  <c r="D47" i="4"/>
  <c r="F47" i="4" s="1"/>
  <c r="D32" i="4"/>
  <c r="F32" i="4" s="1"/>
  <c r="D44" i="4" l="1"/>
  <c r="F44" i="4" s="1"/>
  <c r="D35" i="4"/>
  <c r="F35" i="4" s="1"/>
  <c r="D30" i="4"/>
  <c r="F30" i="4" s="1"/>
  <c r="D31" i="4"/>
  <c r="F31" i="4" s="1"/>
  <c r="D48" i="4"/>
  <c r="F48" i="4" s="1"/>
  <c r="D34" i="4"/>
  <c r="F34" i="4" s="1"/>
  <c r="D45" i="4"/>
  <c r="F45" i="4" s="1"/>
  <c r="D33" i="4"/>
  <c r="F33" i="4" s="1"/>
  <c r="D46" i="4"/>
  <c r="F46" i="4" s="1"/>
  <c r="F36" i="4" l="1"/>
  <c r="F38" i="4" s="1"/>
  <c r="F40" i="4" s="1"/>
  <c r="F49" i="4"/>
</calcChain>
</file>

<file path=xl/sharedStrings.xml><?xml version="1.0" encoding="utf-8"?>
<sst xmlns="http://schemas.openxmlformats.org/spreadsheetml/2006/main" count="312" uniqueCount="237">
  <si>
    <t>FICHE DE SALAIRE SUISSE</t>
  </si>
  <si>
    <t>Modèle de décompte de salaire — millésime 2027  ·  montants en francs suisses (CHF)</t>
  </si>
  <si>
    <t>À quoi sert ce classeur</t>
  </si>
  <si>
    <t>Ce modèle permet d'établir des fiches de salaire conformes aux usages suisses : passage du salaire brut au salaire net, cotisations sociales (AVS/AI/APG, assurance-chômage, LPP, assurance-accidents), impôt à la source et coût employeur. Il convient aux petites structures comptant un ou plusieurs collaborateurs.</t>
  </si>
  <si>
    <t>Comment l'utiliser — en 4 étapes</t>
  </si>
  <si>
    <t>1.  Feuille « Paramètres »</t>
  </si>
  <si>
    <t>Renseignez les coordonnées de l'entreprise, puis vérifiez les taux de cotisations et les paramètres LPP applicables à votre caisse et à l'année en cours.</t>
  </si>
  <si>
    <t>2.  Feuille « Employés »</t>
  </si>
  <si>
    <t>Complétez le registre du personnel : identité, n° AVS, canton, autorisation de séjour, taux d'activité et salaire de base. Chaque ligne alimente automatiquement la fiche.</t>
  </si>
  <si>
    <t>3.  Feuille « Fiche de salaire »</t>
  </si>
  <si>
    <t>Choisissez un collaborateur et un mois dans les listes déroulantes. Les gains, déductions et le salaire net se calculent seuls. Ajoutez les variables du mois (heures, primes, allocations).</t>
  </si>
  <si>
    <t>4.  Feuille « Journal de paie »</t>
  </si>
  <si>
    <t>Reportez les totaux mensuels pour suivre la masse salariale et le coût employeur sur l'année, et préparer le certificat de salaire annuel.</t>
  </si>
  <si>
    <t>Légende des couleurs</t>
  </si>
  <si>
    <t>Cellule à compléter</t>
  </si>
  <si>
    <t>Saisie manuelle (fond ambré).</t>
  </si>
  <si>
    <t>Texte vert</t>
  </si>
  <si>
    <t>Donnée reprise automatiquement d'une autre feuille.</t>
  </si>
  <si>
    <t>Texte noir</t>
  </si>
  <si>
    <t>Résultat calculé automatiquement — ne pas modifier.</t>
  </si>
  <si>
    <t>Remarque importante</t>
  </si>
  <si>
    <t>Modèle générique fourni à titre d'exemple avec des données entièrement fictives. Les taux LPP, d'assurance-accidents et d'impôt à la source dépendent de la caisse, du secteur, de l'âge et du canton : vérifiez-les avant tout usage réel. Pour les situations complexes (frontaliers, plusieurs cantons), un logiciel de paie certifié reste recommandé.</t>
  </si>
  <si>
    <t>PARAMÈTRES DE PAIE 2027</t>
  </si>
  <si>
    <t>Coordonnées de l'employeur</t>
  </si>
  <si>
    <t>Raison sociale</t>
  </si>
  <si>
    <t>Atelier Léman Services Sàrl</t>
  </si>
  <si>
    <t>Adresse</t>
  </si>
  <si>
    <t>Rue de l'Industrie 14</t>
  </si>
  <si>
    <t>NPA / Localité</t>
  </si>
  <si>
    <t>1201 Genève</t>
  </si>
  <si>
    <t>Numéro IDE</t>
  </si>
  <si>
    <t>CHE-123.456.789</t>
  </si>
  <si>
    <t>Caisse de compensation AVS</t>
  </si>
  <si>
    <t>Caisse cantonale AVS — Genève</t>
  </si>
  <si>
    <t>Institution de prévoyance (LPP)</t>
  </si>
  <si>
    <t>Fondation collective Horizon</t>
  </si>
  <si>
    <t>Assureur LAA</t>
  </si>
  <si>
    <t>Assurance Alpina SA</t>
  </si>
  <si>
    <t>IBAN de l'entreprise</t>
  </si>
  <si>
    <t>CH93 0076 2011 6238 5295 7</t>
  </si>
  <si>
    <t>Taux de cotisations sociales 2027 — part salarié</t>
  </si>
  <si>
    <t>AVS / AI / APG</t>
  </si>
  <si>
    <t>Sur la totalité du salaire, sans plafond.</t>
  </si>
  <si>
    <t>Assurance-chômage (AC)</t>
  </si>
  <si>
    <t>Jusqu'au plafond ci-dessous.</t>
  </si>
  <si>
    <t>Plafond AC / LAA — salaire annuel</t>
  </si>
  <si>
    <t>→ Plafond mensuel :</t>
  </si>
  <si>
    <t>Accidents non prof. (AANP) — défaut</t>
  </si>
  <si>
    <t>Taux de l'assureur (indicatif).</t>
  </si>
  <si>
    <t>Indemnité journalière maladie (IJM)</t>
  </si>
  <si>
    <t>Part salarié (si applicable).</t>
  </si>
  <si>
    <t>Part patronale (indicatif) 2027</t>
  </si>
  <si>
    <t>LAA prof. (AAP) — employeur</t>
  </si>
  <si>
    <t>À la charge exclusive de l'employeur.</t>
  </si>
  <si>
    <t>Autres charges patronales</t>
  </si>
  <si>
    <t>Admin., alloc. familiales caisse, etc.</t>
  </si>
  <si>
    <t>Charges patronales globales (Journal)</t>
  </si>
  <si>
    <t>Estimation pour le journal de paie.</t>
  </si>
  <si>
    <t>Paramètres LPP (2e pilier) 2027</t>
  </si>
  <si>
    <t>Seuil d'entrée (salaire annuel)</t>
  </si>
  <si>
    <t>Assujettissement dès ce montant.</t>
  </si>
  <si>
    <t>Déduction de coordination</t>
  </si>
  <si>
    <t>Salaire coordonné minimum</t>
  </si>
  <si>
    <t>Salaire coordonné maximum</t>
  </si>
  <si>
    <t>Part salarié LPP</t>
  </si>
  <si>
    <t>Financement minimal employeur : 50 %.</t>
  </si>
  <si>
    <t>Bonifications de vieillesse LPP (par tranche d'âge)</t>
  </si>
  <si>
    <t>Âge dès</t>
  </si>
  <si>
    <t>Taux total</t>
  </si>
  <si>
    <t>Listes déroulantes (source — ne pas supprimer)</t>
  </si>
  <si>
    <t>Mois</t>
  </si>
  <si>
    <t>Canton</t>
  </si>
  <si>
    <t>Autorisation</t>
  </si>
  <si>
    <t>État civil</t>
  </si>
  <si>
    <t>Oui / Non</t>
  </si>
  <si>
    <t>Mode de paiement</t>
  </si>
  <si>
    <t>Janvier</t>
  </si>
  <si>
    <t>Genève (GE)</t>
  </si>
  <si>
    <t>Citoyen suisse</t>
  </si>
  <si>
    <t>Célibataire</t>
  </si>
  <si>
    <t>Oui</t>
  </si>
  <si>
    <t>Virement bancaire</t>
  </si>
  <si>
    <t>Février</t>
  </si>
  <si>
    <t>Vaud (VD)</t>
  </si>
  <si>
    <t>Permis C</t>
  </si>
  <si>
    <t>Marié(e)</t>
  </si>
  <si>
    <t>Non</t>
  </si>
  <si>
    <t>Virement postal</t>
  </si>
  <si>
    <t>Mars</t>
  </si>
  <si>
    <t>Valais (VS)</t>
  </si>
  <si>
    <t>Permis B</t>
  </si>
  <si>
    <t>Divorcé(e)</t>
  </si>
  <si>
    <t>Espèces</t>
  </si>
  <si>
    <t>Avril</t>
  </si>
  <si>
    <t>Fribourg (FR)</t>
  </si>
  <si>
    <t>Permis L</t>
  </si>
  <si>
    <t>Veuf(ve)</t>
  </si>
  <si>
    <t>Mai</t>
  </si>
  <si>
    <t>Neuchâtel (NE)</t>
  </si>
  <si>
    <t>Frontalier (G)</t>
  </si>
  <si>
    <t>Partenariat enregistré</t>
  </si>
  <si>
    <t>Juin</t>
  </si>
  <si>
    <t>Jura (JU)</t>
  </si>
  <si>
    <t>Juillet</t>
  </si>
  <si>
    <t>Berne (BE)</t>
  </si>
  <si>
    <t>Août</t>
  </si>
  <si>
    <t>Zurich (ZH)</t>
  </si>
  <si>
    <t>Septembre</t>
  </si>
  <si>
    <t>Zoug (ZG)</t>
  </si>
  <si>
    <t>Octobre</t>
  </si>
  <si>
    <t>Tessin (TI)</t>
  </si>
  <si>
    <t>Novembre</t>
  </si>
  <si>
    <t>Décembre</t>
  </si>
  <si>
    <t>REGISTRE DU PERSONNEL</t>
  </si>
  <si>
    <t>Chaque ligne alimente la fiche de salaire. Les cellules ambrées sont à compléter.</t>
  </si>
  <si>
    <t>Matricule</t>
  </si>
  <si>
    <t>Nom</t>
  </si>
  <si>
    <t>Prénom</t>
  </si>
  <si>
    <t>N° AVS</t>
  </si>
  <si>
    <t>Date de naissance</t>
  </si>
  <si>
    <t>Canton de travail</t>
  </si>
  <si>
    <t>Type d'autorisation</t>
  </si>
  <si>
    <t>Taux d'activité</t>
  </si>
  <si>
    <t>Salaire mensuel de base (CHF)</t>
  </si>
  <si>
    <t>Soumis impôt à la source</t>
  </si>
  <si>
    <t>Taux impôt à la source</t>
  </si>
  <si>
    <t>Taux AANP</t>
  </si>
  <si>
    <t>IJM applicable</t>
  </si>
  <si>
    <t>Date d'entrée</t>
  </si>
  <si>
    <t>EMP-001</t>
  </si>
  <si>
    <t>Dubois</t>
  </si>
  <si>
    <t>Camille</t>
  </si>
  <si>
    <t>Route des Acacias 24</t>
  </si>
  <si>
    <t>1227 Carouge</t>
  </si>
  <si>
    <t>756.1234.5678.90</t>
  </si>
  <si>
    <t>EMP-002</t>
  </si>
  <si>
    <t>Martin</t>
  </si>
  <si>
    <t>Louis</t>
  </si>
  <si>
    <t>Avenue de la Gare 8</t>
  </si>
  <si>
    <t>1003 Lausanne</t>
  </si>
  <si>
    <t>756.2345.6789.01</t>
  </si>
  <si>
    <t>EMP-003</t>
  </si>
  <si>
    <t>Rossi</t>
  </si>
  <si>
    <t>Elena</t>
  </si>
  <si>
    <t>Rue du Léman 15</t>
  </si>
  <si>
    <t>756.3456.7890.12</t>
  </si>
  <si>
    <t>EMP-004</t>
  </si>
  <si>
    <t>Favre</t>
  </si>
  <si>
    <t>Sophie</t>
  </si>
  <si>
    <t>Chemin des Vignes 3</t>
  </si>
  <si>
    <t>1700 Fribourg</t>
  </si>
  <si>
    <t>756.4567.8901.23</t>
  </si>
  <si>
    <t>EMP-005</t>
  </si>
  <si>
    <t>Keller</t>
  </si>
  <si>
    <t>Marc</t>
  </si>
  <si>
    <t>Boulevard de Grancy 41</t>
  </si>
  <si>
    <t>1006 Lausanne</t>
  </si>
  <si>
    <t>756.5678.9012.34</t>
  </si>
  <si>
    <t>EMP-006</t>
  </si>
  <si>
    <t>Nguyen</t>
  </si>
  <si>
    <t>Alice</t>
  </si>
  <si>
    <t>Rue des Philosophes 11</t>
  </si>
  <si>
    <t>1205 Genève</t>
  </si>
  <si>
    <t>756.6789.0123.45</t>
  </si>
  <si>
    <t>idx</t>
  </si>
  <si>
    <t>nom</t>
  </si>
  <si>
    <t>prenom</t>
  </si>
  <si>
    <t>Sélection et versement</t>
  </si>
  <si>
    <t>adresse</t>
  </si>
  <si>
    <t>Employé (matricule)</t>
  </si>
  <si>
    <t>npa</t>
  </si>
  <si>
    <t>Année</t>
  </si>
  <si>
    <t>Date de versement</t>
  </si>
  <si>
    <t>avs</t>
  </si>
  <si>
    <t>IBAN (versement)</t>
  </si>
  <si>
    <t>naissance</t>
  </si>
  <si>
    <t>canton</t>
  </si>
  <si>
    <t>Collaborateur</t>
  </si>
  <si>
    <t>autoris</t>
  </si>
  <si>
    <t>Nom / Prénom</t>
  </si>
  <si>
    <t>civil</t>
  </si>
  <si>
    <t>activite</t>
  </si>
  <si>
    <t>base</t>
  </si>
  <si>
    <t>soumisIS</t>
  </si>
  <si>
    <t>txIS</t>
  </si>
  <si>
    <t>txAANP</t>
  </si>
  <si>
    <t>Gains</t>
  </si>
  <si>
    <t>ijm</t>
  </si>
  <si>
    <t>Désignation</t>
  </si>
  <si>
    <t>Base / Qté</t>
  </si>
  <si>
    <t>Taux / Tarif</t>
  </si>
  <si>
    <t>Montant (CHF)</t>
  </si>
  <si>
    <t>entree</t>
  </si>
  <si>
    <t>Salaire mensuel de base</t>
  </si>
  <si>
    <t>Heures supplémentaires</t>
  </si>
  <si>
    <t>age</t>
  </si>
  <si>
    <t>Prime / bonus</t>
  </si>
  <si>
    <t>annuel</t>
  </si>
  <si>
    <t>Commissions</t>
  </si>
  <si>
    <t>coordA</t>
  </si>
  <si>
    <t>13e salaire (part du mois)</t>
  </si>
  <si>
    <t>coordM</t>
  </si>
  <si>
    <t>Indemnités diverses</t>
  </si>
  <si>
    <t>bonif</t>
  </si>
  <si>
    <t>Allocations familiales (non soumis)</t>
  </si>
  <si>
    <t>lppEff</t>
  </si>
  <si>
    <t>SALAIRE BRUT</t>
  </si>
  <si>
    <t>soumis</t>
  </si>
  <si>
    <t>txISeff</t>
  </si>
  <si>
    <t>Déductions sociales et fiscales</t>
  </si>
  <si>
    <t>ijmEff</t>
  </si>
  <si>
    <t>LPP (2e pilier — part salarié)</t>
  </si>
  <si>
    <t>Accidents non prof. (AANP)</t>
  </si>
  <si>
    <t>Impôt à la source</t>
  </si>
  <si>
    <t>TOTAL DES DÉDUCTIONS</t>
  </si>
  <si>
    <t>Salaire net</t>
  </si>
  <si>
    <t>+ Remboursement de frais (non soumis)</t>
  </si>
  <si>
    <t>NET À PAYER (CHF)</t>
  </si>
  <si>
    <t>Charges patronales (indicatif)</t>
  </si>
  <si>
    <t>AVS / AI / APG (employeur)</t>
  </si>
  <si>
    <t>Assurance-chômage (employeur)</t>
  </si>
  <si>
    <t>LAA prof. (AAP)</t>
  </si>
  <si>
    <t>LPP (2e pilier — employeur)</t>
  </si>
  <si>
    <t>COÛT TOTAL EMPLOYEUR</t>
  </si>
  <si>
    <t>Décompte établi conformément à l'art. 323b du Code des obligations. Le salarié peut reconstituer le calcul du brut au net à partir des lignes ci-dessus.</t>
  </si>
  <si>
    <t>Document généré à titre d'exemple — données fictives. Vérifiez les taux applicables à votre caisse et à votre canton.</t>
  </si>
  <si>
    <t>JOURNAL DE PAIE 2027</t>
  </si>
  <si>
    <t>Suivi mensuel de la masse salariale et du coût employeur. Colonnes ambrées : à saisir.</t>
  </si>
  <si>
    <t>Effectif</t>
  </si>
  <si>
    <t>Masse brute annuelle</t>
  </si>
  <si>
    <t>Total déductions</t>
  </si>
  <si>
    <t>Coût employeur total</t>
  </si>
  <si>
    <t>Salaire brut</t>
  </si>
  <si>
    <t>Déductions sociales</t>
  </si>
  <si>
    <t>Charges patronales</t>
  </si>
  <si>
    <t>Coût employeur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</si>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</sst>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0C]#,##0"/>
    <numFmt numFmtId="165" formatCode="[$-100C]#,##0.00"/>
    <numFmt numFmtId="166" formatCode="0.0%"/>
    <numFmt numFmtId="168" formatCode="dd\.mm\.yyyy"/>
  </numFmts>
  <fonts count="31" x14ac:knownFonts="1">
    <font>
      <sz val="11"/>
      <color theme="1"/>
      <name val="Calibri"/>
      <family val="2"/>
      <scheme val="minor"/>
    </font>
    <font>
      <b/>
      <sz val="22"/>
      <color rgb="FFFFFFFF"/>
      <name val="Calibri"/>
    </font>
    <font>
      <i/>
      <sz val="11"/>
      <color rgb="FFFFFFFF"/>
      <name val="Calibri"/>
    </font>
    <font>
      <b/>
      <sz val="13"/>
      <color rgb="FF12464E"/>
      <name val="Calibri"/>
    </font>
    <font>
      <sz val="10.5"/>
      <color rgb="FF22333B"/>
      <name val="Calibri"/>
    </font>
    <font>
      <b/>
      <sz val="11"/>
      <color rgb="FF1E6B75"/>
      <name val="Calibri"/>
    </font>
    <font>
      <sz val="10"/>
      <color rgb="FF22333B"/>
      <name val="Calibri"/>
    </font>
    <font>
      <b/>
      <sz val="10.5"/>
      <color rgb="FF22333B"/>
      <name val="Calibri"/>
    </font>
    <font>
      <b/>
      <sz val="10.5"/>
      <color rgb="FF1F7A3D"/>
      <name val="Calibri"/>
    </font>
    <font>
      <b/>
      <sz val="11"/>
      <color rgb="FF8C6A2E"/>
      <name val="Calibri"/>
    </font>
    <font>
      <i/>
      <sz val="10"/>
      <color rgb="FF5C6B70"/>
      <name val="Calibri"/>
    </font>
    <font>
      <b/>
      <sz val="18"/>
      <color rgb="FFFFFFFF"/>
      <name val="Calibri"/>
    </font>
    <font>
      <b/>
      <sz val="11.5"/>
      <color rgb="FFFFFFFF"/>
      <name val="Calibri"/>
    </font>
    <font>
      <i/>
      <sz val="9.5"/>
      <color rgb="FF5C6B70"/>
      <name val="Calibri"/>
    </font>
    <font>
      <b/>
      <sz val="10"/>
      <color rgb="FFFFFFFF"/>
      <name val="Calibri"/>
    </font>
    <font>
      <b/>
      <sz val="9.5"/>
      <color rgb="FFFFFFFF"/>
      <name val="Calibri"/>
    </font>
    <font>
      <b/>
      <sz val="15"/>
      <color rgb="FFFFFFFF"/>
      <name val="Calibri"/>
    </font>
    <font>
      <sz val="9.5"/>
      <color rgb="FF5C6B70"/>
      <name val="Calibri"/>
    </font>
    <font>
      <b/>
      <sz val="11"/>
      <color rgb="FFFFFFFF"/>
      <name val="Calibri"/>
    </font>
    <font>
      <sz val="10"/>
      <color rgb="FF5C6B70"/>
      <name val="Calibri"/>
    </font>
    <font>
      <sz val="10"/>
      <color rgb="FF1F7A3D"/>
      <name val="Calibri"/>
    </font>
    <font>
      <sz val="9.5"/>
      <color rgb="FF1F7A3D"/>
      <name val="Calibri"/>
    </font>
    <font>
      <sz val="9"/>
      <color rgb="FF5C6B70"/>
      <name val="Calibri"/>
    </font>
    <font>
      <sz val="9"/>
      <color rgb="FF22333B"/>
      <name val="Calibri"/>
    </font>
    <font>
      <b/>
      <sz val="11"/>
      <color rgb="FF1F7A3D"/>
      <name val="Calibri"/>
    </font>
    <font>
      <b/>
      <sz val="11"/>
      <color rgb="FF12464E"/>
      <name val="Calibri"/>
    </font>
    <font>
      <b/>
      <sz val="13"/>
      <color rgb="FFFFFFFF"/>
      <name val="Calibri"/>
    </font>
    <font>
      <i/>
      <sz val="9"/>
      <color rgb="FF5C6B70"/>
      <name val="Calibri"/>
    </font>
    <font>
      <i/>
      <sz val="8.5"/>
      <color rgb="FF5C6B70"/>
      <name val="Calibri"/>
    </font>
    <font>
      <b/>
      <sz val="15"/>
      <color rgb="FF22333B"/>
      <name val="Calibri"/>
    </font>
    <font>
      <b/>
      <sz val="20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2464E"/>
      </patternFill>
    </fill>
    <fill>
      <patternFill patternType="solid">
        <fgColor rgb="FF1E6B75"/>
      </patternFill>
    </fill>
    <fill>
      <patternFill patternType="solid">
        <fgColor rgb="FFF4F6F6"/>
      </patternFill>
    </fill>
    <fill>
      <patternFill patternType="solid">
        <fgColor rgb="FFFCF3E0"/>
      </patternFill>
    </fill>
    <fill>
      <patternFill patternType="solid">
        <fgColor rgb="FFFBF6EC"/>
      </patternFill>
    </fill>
    <fill>
      <patternFill patternType="solid">
        <fgColor rgb="FFB0873F"/>
      </patternFill>
    </fill>
    <fill>
      <patternFill patternType="solid">
        <fgColor rgb="FFFFFFFF"/>
      </patternFill>
    </fill>
    <fill>
      <patternFill patternType="solid">
        <fgColor rgb="FFEFF4F4"/>
      </patternFill>
    </fill>
    <fill>
      <patternFill patternType="solid">
        <fgColor rgb="FFE4EBEB"/>
      </patternFill>
    </fill>
  </fills>
  <borders count="4">
    <border>
      <left/>
      <right/>
      <top/>
      <bottom/>
      <diagonal/>
    </border>
    <border>
      <left style="thin">
        <color rgb="FFC4D0D0"/>
      </left>
      <right style="thin">
        <color rgb="FFC4D0D0"/>
      </right>
      <top style="thin">
        <color rgb="FFC4D0D0"/>
      </top>
      <bottom style="thin">
        <color rgb="FFC4D0D0"/>
      </bottom>
      <diagonal/>
    </border>
    <border>
      <left style="thin">
        <color rgb="FFB0873F"/>
      </left>
      <right style="thin">
        <color rgb="FFB0873F"/>
      </right>
      <top style="thin">
        <color rgb="FFB0873F"/>
      </top>
      <bottom style="thin">
        <color rgb="FFB0873F"/>
      </bottom>
      <diagonal/>
    </border>
    <border>
      <left/>
      <right/>
      <top/>
      <bottom style="medium">
        <color rgb="FFB0873F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7" fillId="5" borderId="1" xfId="0" applyNumberFormat="1" applyFont="1" applyFill="1" applyBorder="1" applyAlignment="1">
      <alignment horizontal="left" vertical="center"/>
    </xf>
    <xf numFmtId="10" fontId="7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/>
    </xf>
    <xf numFmtId="166" fontId="7" fillId="5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168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66" fontId="6" fillId="8" borderId="1" xfId="0" applyNumberFormat="1" applyFont="1" applyFill="1" applyBorder="1" applyAlignment="1">
      <alignment horizontal="center" vertical="center"/>
    </xf>
    <xf numFmtId="165" fontId="6" fillId="8" borderId="1" xfId="0" applyNumberFormat="1" applyFont="1" applyFill="1" applyBorder="1" applyAlignment="1">
      <alignment horizontal="left" vertical="center"/>
    </xf>
    <xf numFmtId="10" fontId="6" fillId="8" borderId="1" xfId="0" applyNumberFormat="1" applyFont="1" applyFill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168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166" fontId="6" fillId="9" borderId="1" xfId="0" applyNumberFormat="1" applyFont="1" applyFill="1" applyBorder="1" applyAlignment="1">
      <alignment horizontal="center" vertical="center"/>
    </xf>
    <xf numFmtId="165" fontId="6" fillId="9" borderId="1" xfId="0" applyNumberFormat="1" applyFont="1" applyFill="1" applyBorder="1" applyAlignment="1">
      <alignment horizontal="left" vertical="center"/>
    </xf>
    <xf numFmtId="10" fontId="6" fillId="9" borderId="1" xfId="0" applyNumberFormat="1" applyFont="1" applyFill="1" applyBorder="1" applyAlignment="1">
      <alignment horizontal="center" vertical="center"/>
    </xf>
    <xf numFmtId="0" fontId="22" fillId="0" borderId="0" xfId="0" applyFont="1"/>
    <xf numFmtId="1" fontId="23" fillId="0" borderId="0" xfId="0" applyNumberFormat="1" applyFont="1"/>
    <xf numFmtId="49" fontId="23" fillId="0" borderId="0" xfId="0" applyNumberFormat="1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1" fontId="7" fillId="5" borderId="1" xfId="0" applyNumberFormat="1" applyFont="1" applyFill="1" applyBorder="1" applyAlignment="1">
      <alignment horizontal="center" vertical="center"/>
    </xf>
    <xf numFmtId="168" fontId="7" fillId="5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8" fontId="23" fillId="0" borderId="0" xfId="0" applyNumberFormat="1" applyFont="1"/>
    <xf numFmtId="0" fontId="20" fillId="0" borderId="0" xfId="0" applyFont="1" applyAlignment="1">
      <alignment horizontal="left" vertical="center"/>
    </xf>
    <xf numFmtId="166" fontId="23" fillId="0" borderId="0" xfId="0" applyNumberFormat="1" applyFont="1"/>
    <xf numFmtId="49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65" fontId="23" fillId="0" borderId="0" xfId="0" applyNumberFormat="1" applyFont="1"/>
    <xf numFmtId="166" fontId="20" fillId="0" borderId="0" xfId="0" applyNumberFormat="1" applyFont="1" applyAlignment="1">
      <alignment horizontal="left" vertical="center"/>
    </xf>
    <xf numFmtId="168" fontId="20" fillId="0" borderId="0" xfId="0" applyNumberFormat="1" applyFont="1" applyAlignment="1">
      <alignment horizontal="center" vertical="center"/>
    </xf>
    <xf numFmtId="10" fontId="23" fillId="0" borderId="0" xfId="0" applyNumberFormat="1" applyFont="1"/>
    <xf numFmtId="0" fontId="15" fillId="3" borderId="1" xfId="0" applyFont="1" applyFill="1" applyBorder="1" applyAlignment="1">
      <alignment horizontal="left" vertical="center"/>
    </xf>
    <xf numFmtId="0" fontId="6" fillId="3" borderId="1" xfId="0" applyFont="1" applyFill="1" applyBorder="1"/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65" fontId="20" fillId="0" borderId="1" xfId="0" applyNumberFormat="1" applyFont="1" applyBorder="1" applyAlignment="1">
      <alignment horizontal="right" vertical="center"/>
    </xf>
    <xf numFmtId="2" fontId="6" fillId="5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25" fillId="10" borderId="1" xfId="0" applyFont="1" applyFill="1" applyBorder="1" applyAlignment="1">
      <alignment horizontal="left" vertical="center"/>
    </xf>
    <xf numFmtId="165" fontId="25" fillId="1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26" fillId="2" borderId="1" xfId="0" applyNumberFormat="1" applyFont="1" applyFill="1" applyBorder="1" applyAlignment="1">
      <alignment horizontal="right" vertical="center"/>
    </xf>
    <xf numFmtId="165" fontId="12" fillId="7" borderId="1" xfId="0" applyNumberFormat="1" applyFont="1" applyFill="1" applyBorder="1" applyAlignment="1">
      <alignment horizontal="right" vertical="center"/>
    </xf>
    <xf numFmtId="1" fontId="6" fillId="5" borderId="1" xfId="0" applyNumberFormat="1" applyFont="1" applyFill="1" applyBorder="1" applyAlignment="1">
      <alignment horizontal="center" vertical="center"/>
    </xf>
    <xf numFmtId="165" fontId="6" fillId="8" borderId="1" xfId="0" applyNumberFormat="1" applyFont="1" applyFill="1" applyBorder="1" applyAlignment="1">
      <alignment horizontal="right" vertical="center"/>
    </xf>
    <xf numFmtId="165" fontId="6" fillId="9" borderId="1" xfId="0" applyNumberFormat="1" applyFont="1" applyFill="1" applyBorder="1" applyAlignment="1">
      <alignment horizontal="right" vertical="center"/>
    </xf>
    <xf numFmtId="1" fontId="25" fillId="1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0" fillId="0" borderId="2" xfId="0" applyBorder="1"/>
    <xf numFmtId="0" fontId="4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5" fillId="10" borderId="1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8" fillId="7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164" fontId="29" fillId="4" borderId="1" xfId="0" applyNumberFormat="1" applyFont="1" applyFill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de-DE"/>
              <a:t>Masse salariale et coût employeur — 2027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'Journal de paie'!$D$7</c:f>
              <c:strCache>
                <c:ptCount val="1"/>
                <c:pt idx="0">
                  <c:v>Salaire brut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'Journal de paie'!$B$8:$B$19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'Journal de paie'!$D$8:$D$19</c:f>
              <c:numCache>
                <c:formatCode>[$-100C]#,##0.00</c:formatCode>
                <c:ptCount val="12"/>
                <c:pt idx="0">
                  <c:v>34800</c:v>
                </c:pt>
                <c:pt idx="1">
                  <c:v>34800</c:v>
                </c:pt>
                <c:pt idx="2">
                  <c:v>35200</c:v>
                </c:pt>
                <c:pt idx="3">
                  <c:v>35000</c:v>
                </c:pt>
                <c:pt idx="4">
                  <c:v>35000</c:v>
                </c:pt>
                <c:pt idx="5">
                  <c:v>35400</c:v>
                </c:pt>
                <c:pt idx="6">
                  <c:v>35400</c:v>
                </c:pt>
                <c:pt idx="7">
                  <c:v>34600</c:v>
                </c:pt>
                <c:pt idx="8">
                  <c:v>35200</c:v>
                </c:pt>
                <c:pt idx="9">
                  <c:v>35600</c:v>
                </c:pt>
                <c:pt idx="10">
                  <c:v>35600</c:v>
                </c:pt>
                <c:pt idx="11">
                  <c:v>68200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3-4907-951B-A8C1B3A28E2D}"/>
            </c:ext>
          </c:extLst>
        </c:ser>
        <c:ser>
          <c:idx val="1"/>
          <c:order val="1"/>
          <c:tx>
            <c:strRef>
              <c:f>'Journal de paie'!$G$7</c:f>
              <c:strCache>
                <c:ptCount val="1"/>
                <c:pt idx="0">
                  <c:v>Salaire net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'Journal de paie'!$B$8:$B$19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'Journal de paie'!$G$8:$G$19</c:f>
              <c:numCache>
                <c:formatCode>[$-100C]#,##0.00</c:formatCode>
                <c:ptCount val="12"/>
                <c:pt idx="0">
                  <c:v>28435</c:v>
                </c:pt>
                <c:pt idx="1">
                  <c:v>28435</c:v>
                </c:pt>
                <c:pt idx="2">
                  <c:v>28759</c:v>
                </c:pt>
                <c:pt idx="3">
                  <c:v>28595</c:v>
                </c:pt>
                <c:pt idx="4">
                  <c:v>28595</c:v>
                </c:pt>
                <c:pt idx="5">
                  <c:v>28924</c:v>
                </c:pt>
                <c:pt idx="6">
                  <c:v>28924</c:v>
                </c:pt>
                <c:pt idx="7">
                  <c:v>28268</c:v>
                </c:pt>
                <c:pt idx="8">
                  <c:v>28759</c:v>
                </c:pt>
                <c:pt idx="9">
                  <c:v>29085</c:v>
                </c:pt>
                <c:pt idx="10">
                  <c:v>29085</c:v>
                </c:pt>
                <c:pt idx="11">
                  <c:v>55715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73-4907-951B-A8C1B3A28E2D}"/>
            </c:ext>
          </c:extLst>
        </c:ser>
        <c:ser>
          <c:idx val="2"/>
          <c:order val="2"/>
          <c:tx>
            <c:strRef>
              <c:f>'Journal de paie'!$I$7</c:f>
              <c:strCache>
                <c:ptCount val="1"/>
                <c:pt idx="0">
                  <c:v>Coût employeur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'Journal de paie'!$B$8:$B$19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'Journal de paie'!$I$8:$I$19</c:f>
              <c:numCache>
                <c:formatCode>[$-100C]#,##0.00</c:formatCode>
                <c:ptCount val="12"/>
                <c:pt idx="0">
                  <c:v>39672</c:v>
                </c:pt>
                <c:pt idx="1">
                  <c:v>39672</c:v>
                </c:pt>
                <c:pt idx="2">
                  <c:v>40128</c:v>
                </c:pt>
                <c:pt idx="3">
                  <c:v>39900</c:v>
                </c:pt>
                <c:pt idx="4">
                  <c:v>39900</c:v>
                </c:pt>
                <c:pt idx="5">
                  <c:v>40356</c:v>
                </c:pt>
                <c:pt idx="6">
                  <c:v>40356</c:v>
                </c:pt>
                <c:pt idx="7">
                  <c:v>39444</c:v>
                </c:pt>
                <c:pt idx="8">
                  <c:v>40128</c:v>
                </c:pt>
                <c:pt idx="9">
                  <c:v>40584</c:v>
                </c:pt>
                <c:pt idx="10">
                  <c:v>40584</c:v>
                </c:pt>
                <c:pt idx="11">
                  <c:v>77748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73-4907-951B-A8C1B3A28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CHF</a:t>
                </a:r>
              </a:p>
            </c:rich>
          </c:tx>
          <c:overlay val="1"/>
        </c:title>
        <c:numFmt formatCode="[$-100C]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21</xdr:row>
      <xdr:rowOff>0</xdr:rowOff>
    </xdr:from>
    <xdr:ext cx="720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J52"/>
  <sheetViews>
    <sheetView showGridLines="0" tabSelected="1" workbookViewId="0">
      <pane ySplit="4" topLeftCell="A5" activePane="bottomLeft" state="frozen"/>
      <selection pane="bottomLeft" activeCell="H39" sqref="H39"/>
    </sheetView>
  </sheetViews>
  <sheetFormatPr baseColWidth="10" defaultColWidth="9.140625" defaultRowHeight="15" x14ac:dyDescent="0.25"/>
  <cols>
    <col min="1" max="1" width="2.42578125" customWidth="1"/>
    <col min="2" max="2" width="32" customWidth="1"/>
    <col min="3" max="3" width="16" customWidth="1"/>
    <col min="4" max="4" width="15" customWidth="1"/>
    <col min="5" max="5" width="13" customWidth="1"/>
    <col min="6" max="6" width="18" customWidth="1"/>
    <col min="7" max="7" width="2.42578125" customWidth="1"/>
    <col min="9" max="10" width="22" hidden="1" customWidth="1"/>
  </cols>
  <sheetData>
    <row r="2" spans="2:10" ht="30" customHeight="1" x14ac:dyDescent="0.25">
      <c r="B2" s="93" t="str">
        <f>Paramètres!$C$5</f>
        <v>Atelier Léman Services Sàrl</v>
      </c>
      <c r="C2" s="93"/>
      <c r="D2" s="101" t="s">
        <v>0</v>
      </c>
      <c r="E2" s="101"/>
      <c r="F2" s="101"/>
      <c r="I2" s="31" t="s">
        <v>164</v>
      </c>
      <c r="J2" s="32">
        <f>IFERROR(MATCH($C$6,Employés!$A$4:$A$9,0),0)</f>
        <v>1</v>
      </c>
    </row>
    <row r="3" spans="2:10" x14ac:dyDescent="0.25">
      <c r="B3" s="86" t="str">
        <f>Paramètres!$C$6&amp;"  ·  "&amp;Paramètres!$C$7&amp;"  ·  IDE "&amp;Paramètres!$C$8</f>
        <v>Rue de l'Industrie 14  ·  1201 Genève  ·  IDE CHE-123.456.789</v>
      </c>
      <c r="C3" s="70"/>
      <c r="D3" s="70"/>
      <c r="E3" s="70"/>
      <c r="F3" s="70"/>
      <c r="I3" s="31" t="s">
        <v>165</v>
      </c>
      <c r="J3" s="33" t="str">
        <f>IFERROR(INDEX(Employés!$B$4:$B$9,$J$2),"")</f>
        <v>Dubois</v>
      </c>
    </row>
    <row r="4" spans="2:10" x14ac:dyDescent="0.25">
      <c r="I4" s="31" t="s">
        <v>166</v>
      </c>
      <c r="J4" s="33" t="str">
        <f>IFERROR(INDEX(Employés!$C$4:$C$9,$J$2),"")</f>
        <v>Camille</v>
      </c>
    </row>
    <row r="5" spans="2:10" ht="18.95" customHeight="1" x14ac:dyDescent="0.25">
      <c r="B5" s="92" t="s">
        <v>167</v>
      </c>
      <c r="C5" s="70"/>
      <c r="D5" s="70"/>
      <c r="E5" s="70"/>
      <c r="F5" s="70"/>
      <c r="I5" s="31" t="s">
        <v>168</v>
      </c>
      <c r="J5" s="33" t="str">
        <f>IFERROR(INDEX(Employés!$D$4:$D$9,$J$2),"")</f>
        <v>Route des Acacias 24</v>
      </c>
    </row>
    <row r="6" spans="2:10" x14ac:dyDescent="0.25">
      <c r="B6" s="34" t="s">
        <v>169</v>
      </c>
      <c r="C6" s="2" t="s">
        <v>129</v>
      </c>
      <c r="D6" s="35" t="s">
        <v>70</v>
      </c>
      <c r="E6" s="2" t="s">
        <v>76</v>
      </c>
      <c r="I6" s="31" t="s">
        <v>170</v>
      </c>
      <c r="J6" s="33" t="str">
        <f>IFERROR(INDEX(Employés!$E$4:$E$9,$J$2),"")</f>
        <v>1227 Carouge</v>
      </c>
    </row>
    <row r="7" spans="2:10" x14ac:dyDescent="0.25">
      <c r="B7" s="34" t="s">
        <v>171</v>
      </c>
      <c r="C7" s="36">
        <v>2027</v>
      </c>
      <c r="D7" s="35" t="s">
        <v>172</v>
      </c>
      <c r="E7" s="37">
        <v>46412</v>
      </c>
      <c r="I7" s="31" t="s">
        <v>173</v>
      </c>
      <c r="J7" s="33" t="str">
        <f>IFERROR(INDEX(Employés!$F$4:$F$9,$J$2),"")</f>
        <v>756.1234.5678.90</v>
      </c>
    </row>
    <row r="8" spans="2:10" x14ac:dyDescent="0.25">
      <c r="B8" s="34" t="s">
        <v>75</v>
      </c>
      <c r="C8" s="2" t="s">
        <v>81</v>
      </c>
      <c r="D8" s="35" t="s">
        <v>174</v>
      </c>
      <c r="E8" s="38" t="str">
        <f>Paramètres!$C$12</f>
        <v>CH93 0076 2011 6238 5295 7</v>
      </c>
      <c r="I8" s="31" t="s">
        <v>175</v>
      </c>
      <c r="J8" s="39">
        <f>IFERROR(INDEX(Employés!$G$4:$G$9,$J$2),0)</f>
        <v>31911</v>
      </c>
    </row>
    <row r="9" spans="2:10" x14ac:dyDescent="0.25">
      <c r="I9" s="31" t="s">
        <v>176</v>
      </c>
      <c r="J9" s="33" t="str">
        <f>IFERROR(INDEX(Employés!$H$4:$H$9,$J$2),"")</f>
        <v>Genève (GE)</v>
      </c>
    </row>
    <row r="10" spans="2:10" ht="18.95" customHeight="1" x14ac:dyDescent="0.25">
      <c r="B10" s="92" t="s">
        <v>177</v>
      </c>
      <c r="C10" s="70"/>
      <c r="D10" s="70"/>
      <c r="E10" s="70"/>
      <c r="F10" s="70"/>
      <c r="I10" s="31" t="s">
        <v>178</v>
      </c>
      <c r="J10" s="33" t="str">
        <f>IFERROR(INDEX(Employés!$I$4:$I$9,$J$2),"")</f>
        <v>Frontalier (G)</v>
      </c>
    </row>
    <row r="11" spans="2:10" x14ac:dyDescent="0.25">
      <c r="B11" s="34" t="s">
        <v>179</v>
      </c>
      <c r="C11" s="90" t="str">
        <f>$J$3&amp;" "&amp;$J$4</f>
        <v>Dubois Camille</v>
      </c>
      <c r="D11" s="70"/>
      <c r="E11" s="70"/>
      <c r="I11" s="31" t="s">
        <v>180</v>
      </c>
      <c r="J11" s="33" t="str">
        <f>IFERROR(INDEX(Employés!$J$4:$J$9,$J$2),"")</f>
        <v>Marié(e)</v>
      </c>
    </row>
    <row r="12" spans="2:10" x14ac:dyDescent="0.25">
      <c r="B12" s="34" t="s">
        <v>26</v>
      </c>
      <c r="C12" s="87" t="str">
        <f>$J$5&amp;", "&amp;$J$6</f>
        <v>Route des Acacias 24, 1227 Carouge</v>
      </c>
      <c r="D12" s="70"/>
      <c r="E12" s="70"/>
      <c r="I12" s="31" t="s">
        <v>181</v>
      </c>
      <c r="J12" s="41">
        <f>IFERROR(INDEX(Employés!$K$4:$K$9,$J$2),0)</f>
        <v>1</v>
      </c>
    </row>
    <row r="13" spans="2:10" x14ac:dyDescent="0.25">
      <c r="B13" s="34" t="s">
        <v>118</v>
      </c>
      <c r="C13" s="42" t="str">
        <f>$J$7</f>
        <v>756.1234.5678.90</v>
      </c>
      <c r="D13" s="35" t="s">
        <v>71</v>
      </c>
      <c r="E13" s="43" t="str">
        <f>$J$9</f>
        <v>Genève (GE)</v>
      </c>
      <c r="I13" s="31" t="s">
        <v>182</v>
      </c>
      <c r="J13" s="44">
        <f>IFERROR(INDEX(Employés!$L$4:$L$9,$J$2),0)</f>
        <v>6800</v>
      </c>
    </row>
    <row r="14" spans="2:10" x14ac:dyDescent="0.25">
      <c r="B14" s="34" t="s">
        <v>122</v>
      </c>
      <c r="C14" s="45">
        <f>$J$12</f>
        <v>1</v>
      </c>
      <c r="D14" s="35" t="s">
        <v>121</v>
      </c>
      <c r="E14" s="43" t="str">
        <f>$J$10</f>
        <v>Frontalier (G)</v>
      </c>
      <c r="I14" s="31" t="s">
        <v>183</v>
      </c>
      <c r="J14" s="33" t="str">
        <f>IFERROR(INDEX(Employés!$M$4:$M$9,$J$2),"")</f>
        <v>Oui</v>
      </c>
    </row>
    <row r="15" spans="2:10" x14ac:dyDescent="0.25">
      <c r="B15" s="34" t="s">
        <v>73</v>
      </c>
      <c r="C15" s="40" t="str">
        <f>$J$11</f>
        <v>Marié(e)</v>
      </c>
      <c r="D15" s="35" t="s">
        <v>128</v>
      </c>
      <c r="E15" s="46">
        <f>$J$18</f>
        <v>43525</v>
      </c>
      <c r="I15" s="31" t="s">
        <v>184</v>
      </c>
      <c r="J15" s="41">
        <f>IFERROR(INDEX(Employés!$N$4:$N$9,$J$2),0)</f>
        <v>0.125</v>
      </c>
    </row>
    <row r="16" spans="2:10" x14ac:dyDescent="0.25">
      <c r="I16" s="31" t="s">
        <v>185</v>
      </c>
      <c r="J16" s="47">
        <f>IFERROR(INDEX(Employés!$O$4:$O$9,$J$2),0)</f>
        <v>1.4E-2</v>
      </c>
    </row>
    <row r="17" spans="2:10" ht="18.95" customHeight="1" x14ac:dyDescent="0.25">
      <c r="B17" s="92" t="s">
        <v>186</v>
      </c>
      <c r="C17" s="70"/>
      <c r="D17" s="70"/>
      <c r="E17" s="70"/>
      <c r="F17" s="70"/>
      <c r="I17" s="31" t="s">
        <v>187</v>
      </c>
      <c r="J17" s="33" t="str">
        <f>IFERROR(INDEX(Employés!$P$4:$P$9,$J$2),"")</f>
        <v>Oui</v>
      </c>
    </row>
    <row r="18" spans="2:10" x14ac:dyDescent="0.25">
      <c r="B18" s="48" t="s">
        <v>188</v>
      </c>
      <c r="C18" s="49"/>
      <c r="D18" s="50" t="s">
        <v>189</v>
      </c>
      <c r="E18" s="50" t="s">
        <v>190</v>
      </c>
      <c r="F18" s="51" t="s">
        <v>191</v>
      </c>
      <c r="I18" s="31" t="s">
        <v>192</v>
      </c>
      <c r="J18" s="39">
        <f>IFERROR(INDEX(Employés!$Q$4:$Q$9,$J$2),0)</f>
        <v>43525</v>
      </c>
    </row>
    <row r="19" spans="2:10" x14ac:dyDescent="0.25">
      <c r="B19" s="84" t="s">
        <v>193</v>
      </c>
      <c r="C19" s="70"/>
      <c r="D19" s="52"/>
      <c r="E19" s="52"/>
      <c r="F19" s="53">
        <f>$J$13</f>
        <v>6800</v>
      </c>
    </row>
    <row r="20" spans="2:10" x14ac:dyDescent="0.25">
      <c r="B20" s="84" t="s">
        <v>194</v>
      </c>
      <c r="C20" s="70"/>
      <c r="D20" s="54">
        <v>0</v>
      </c>
      <c r="E20" s="55">
        <v>0</v>
      </c>
      <c r="F20" s="56">
        <f>$D$20*$E$20</f>
        <v>0</v>
      </c>
      <c r="I20" s="31" t="s">
        <v>195</v>
      </c>
      <c r="J20" s="32">
        <f>IFERROR($C$7-YEAR($J$8),0)</f>
        <v>40</v>
      </c>
    </row>
    <row r="21" spans="2:10" x14ac:dyDescent="0.25">
      <c r="B21" s="84" t="s">
        <v>196</v>
      </c>
      <c r="C21" s="70"/>
      <c r="D21" s="57"/>
      <c r="E21" s="58"/>
      <c r="F21" s="59">
        <v>500</v>
      </c>
      <c r="I21" s="31" t="s">
        <v>197</v>
      </c>
      <c r="J21" s="44">
        <f>$J$13*12</f>
        <v>81600</v>
      </c>
    </row>
    <row r="22" spans="2:10" x14ac:dyDescent="0.25">
      <c r="B22" s="84" t="s">
        <v>198</v>
      </c>
      <c r="C22" s="70"/>
      <c r="D22" s="57"/>
      <c r="E22" s="58"/>
      <c r="F22" s="59">
        <v>0</v>
      </c>
      <c r="I22" s="31" t="s">
        <v>199</v>
      </c>
      <c r="J22" s="44">
        <f>IF($J$21&lt;lpp_seuil,0,MIN(MAX($J$21-lpp_coord_ded,lpp_coord_min),lpp_coord_max))</f>
        <v>55140</v>
      </c>
    </row>
    <row r="23" spans="2:10" x14ac:dyDescent="0.25">
      <c r="B23" s="84" t="s">
        <v>200</v>
      </c>
      <c r="C23" s="70"/>
      <c r="D23" s="57"/>
      <c r="E23" s="58"/>
      <c r="F23" s="59">
        <v>0</v>
      </c>
      <c r="I23" s="31" t="s">
        <v>201</v>
      </c>
      <c r="J23" s="44">
        <f>$J$22/12</f>
        <v>4595</v>
      </c>
    </row>
    <row r="24" spans="2:10" x14ac:dyDescent="0.25">
      <c r="B24" s="84" t="s">
        <v>202</v>
      </c>
      <c r="C24" s="70"/>
      <c r="D24" s="57"/>
      <c r="E24" s="58"/>
      <c r="F24" s="59">
        <v>0</v>
      </c>
      <c r="I24" s="31" t="s">
        <v>203</v>
      </c>
      <c r="J24" s="47">
        <f>IFERROR(VLOOKUP($J$20,tbl_lpp,2,TRUE),0)</f>
        <v>0.1</v>
      </c>
    </row>
    <row r="25" spans="2:10" x14ac:dyDescent="0.25">
      <c r="B25" s="84" t="s">
        <v>204</v>
      </c>
      <c r="C25" s="70"/>
      <c r="D25" s="57"/>
      <c r="E25" s="58"/>
      <c r="F25" s="59">
        <v>400</v>
      </c>
      <c r="I25" s="31" t="s">
        <v>205</v>
      </c>
      <c r="J25" s="47">
        <f>$J$24*lpp_part_sal</f>
        <v>0.05</v>
      </c>
    </row>
    <row r="26" spans="2:10" ht="20.100000000000001" customHeight="1" x14ac:dyDescent="0.25">
      <c r="B26" s="88" t="s">
        <v>206</v>
      </c>
      <c r="C26" s="70"/>
      <c r="D26" s="70"/>
      <c r="E26" s="70"/>
      <c r="F26" s="61">
        <f>SUM(F19:F25)</f>
        <v>7700</v>
      </c>
      <c r="I26" s="31" t="s">
        <v>207</v>
      </c>
      <c r="J26" s="44">
        <f>$F$26-$F$25</f>
        <v>7300</v>
      </c>
    </row>
    <row r="27" spans="2:10" x14ac:dyDescent="0.25">
      <c r="I27" s="31" t="s">
        <v>208</v>
      </c>
      <c r="J27" s="47">
        <f>IF($J$14="Oui",$J$15,0)</f>
        <v>0.125</v>
      </c>
    </row>
    <row r="28" spans="2:10" ht="18.95" customHeight="1" x14ac:dyDescent="0.25">
      <c r="B28" s="92" t="s">
        <v>209</v>
      </c>
      <c r="C28" s="70"/>
      <c r="D28" s="70"/>
      <c r="E28" s="70"/>
      <c r="F28" s="70"/>
      <c r="I28" s="31" t="s">
        <v>210</v>
      </c>
      <c r="J28" s="47">
        <f>IF($J$17="Oui",tx_ijm,0)</f>
        <v>8.0000000000000002E-3</v>
      </c>
    </row>
    <row r="29" spans="2:10" x14ac:dyDescent="0.25">
      <c r="B29" s="48" t="s">
        <v>188</v>
      </c>
      <c r="C29" s="49"/>
      <c r="D29" s="50" t="s">
        <v>189</v>
      </c>
      <c r="E29" s="50" t="s">
        <v>190</v>
      </c>
      <c r="F29" s="51" t="s">
        <v>191</v>
      </c>
    </row>
    <row r="30" spans="2:10" x14ac:dyDescent="0.25">
      <c r="B30" s="84" t="s">
        <v>41</v>
      </c>
      <c r="C30" s="70"/>
      <c r="D30" s="57">
        <f>$J$26</f>
        <v>7300</v>
      </c>
      <c r="E30" s="58">
        <f>tx_avs</f>
        <v>5.2999999999999999E-2</v>
      </c>
      <c r="F30" s="56">
        <f>$D$30*$E$30</f>
        <v>386.9</v>
      </c>
    </row>
    <row r="31" spans="2:10" x14ac:dyDescent="0.25">
      <c r="B31" s="84" t="s">
        <v>43</v>
      </c>
      <c r="C31" s="70"/>
      <c r="D31" s="57">
        <f>MIN($J$26,plafond_ac_mois)</f>
        <v>7300</v>
      </c>
      <c r="E31" s="58">
        <f>tx_ac</f>
        <v>1.0999999999999999E-2</v>
      </c>
      <c r="F31" s="56">
        <f>$D$31*$E$31</f>
        <v>80.3</v>
      </c>
    </row>
    <row r="32" spans="2:10" x14ac:dyDescent="0.25">
      <c r="B32" s="84" t="s">
        <v>211</v>
      </c>
      <c r="C32" s="70"/>
      <c r="D32" s="57">
        <f>$J$23</f>
        <v>4595</v>
      </c>
      <c r="E32" s="58">
        <f>$J$25</f>
        <v>0.05</v>
      </c>
      <c r="F32" s="56">
        <f>$D$32*$E$32</f>
        <v>229.75</v>
      </c>
    </row>
    <row r="33" spans="2:6" x14ac:dyDescent="0.25">
      <c r="B33" s="84" t="s">
        <v>212</v>
      </c>
      <c r="C33" s="70"/>
      <c r="D33" s="57">
        <f>MIN($J$26,plafond_ac_mois)</f>
        <v>7300</v>
      </c>
      <c r="E33" s="58">
        <f>$J$16</f>
        <v>1.4E-2</v>
      </c>
      <c r="F33" s="56">
        <f>$D$33*$E$33</f>
        <v>102.2</v>
      </c>
    </row>
    <row r="34" spans="2:6" x14ac:dyDescent="0.25">
      <c r="B34" s="84" t="s">
        <v>49</v>
      </c>
      <c r="C34" s="70"/>
      <c r="D34" s="57">
        <f>$J$26</f>
        <v>7300</v>
      </c>
      <c r="E34" s="58">
        <f>$J$28</f>
        <v>8.0000000000000002E-3</v>
      </c>
      <c r="F34" s="56">
        <f>$D$34*$E$34</f>
        <v>58.4</v>
      </c>
    </row>
    <row r="35" spans="2:6" x14ac:dyDescent="0.25">
      <c r="B35" s="84" t="s">
        <v>213</v>
      </c>
      <c r="C35" s="70"/>
      <c r="D35" s="57">
        <f>$J$26</f>
        <v>7300</v>
      </c>
      <c r="E35" s="58">
        <f>$J$27</f>
        <v>0.125</v>
      </c>
      <c r="F35" s="56">
        <f>$D$35*$E$35</f>
        <v>912.5</v>
      </c>
    </row>
    <row r="36" spans="2:6" ht="20.100000000000001" customHeight="1" x14ac:dyDescent="0.25">
      <c r="B36" s="88" t="s">
        <v>214</v>
      </c>
      <c r="C36" s="70"/>
      <c r="D36" s="70"/>
      <c r="E36" s="70"/>
      <c r="F36" s="61">
        <f>SUM(F30:F35)</f>
        <v>1770.0500000000002</v>
      </c>
    </row>
    <row r="38" spans="2:6" x14ac:dyDescent="0.25">
      <c r="B38" s="94" t="s">
        <v>215</v>
      </c>
      <c r="C38" s="70"/>
      <c r="D38" s="70"/>
      <c r="E38" s="70"/>
      <c r="F38" s="62">
        <f>$F$26-$F$36</f>
        <v>5929.95</v>
      </c>
    </row>
    <row r="39" spans="2:6" x14ac:dyDescent="0.25">
      <c r="B39" s="84" t="s">
        <v>216</v>
      </c>
      <c r="C39" s="70"/>
      <c r="D39" s="70"/>
      <c r="E39" s="70"/>
      <c r="F39" s="59">
        <v>0</v>
      </c>
    </row>
    <row r="40" spans="2:6" ht="26.1" customHeight="1" x14ac:dyDescent="0.25">
      <c r="B40" s="83" t="s">
        <v>217</v>
      </c>
      <c r="C40" s="70"/>
      <c r="D40" s="70"/>
      <c r="E40" s="70"/>
      <c r="F40" s="63">
        <f>$F$38+$F$39</f>
        <v>5929.95</v>
      </c>
    </row>
    <row r="42" spans="2:6" ht="18.95" customHeight="1" x14ac:dyDescent="0.25">
      <c r="B42" s="91" t="s">
        <v>218</v>
      </c>
      <c r="C42" s="70"/>
      <c r="D42" s="70"/>
      <c r="E42" s="70"/>
      <c r="F42" s="70"/>
    </row>
    <row r="43" spans="2:6" x14ac:dyDescent="0.25">
      <c r="B43" s="48" t="s">
        <v>188</v>
      </c>
      <c r="C43" s="49"/>
      <c r="D43" s="50" t="s">
        <v>189</v>
      </c>
      <c r="E43" s="50" t="s">
        <v>190</v>
      </c>
      <c r="F43" s="51" t="s">
        <v>191</v>
      </c>
    </row>
    <row r="44" spans="2:6" x14ac:dyDescent="0.25">
      <c r="B44" s="84" t="s">
        <v>219</v>
      </c>
      <c r="C44" s="70"/>
      <c r="D44" s="57">
        <f>$J$26</f>
        <v>7300</v>
      </c>
      <c r="E44" s="58">
        <f>tx_avs</f>
        <v>5.2999999999999999E-2</v>
      </c>
      <c r="F44" s="56">
        <f>$D$44*$E$44</f>
        <v>386.9</v>
      </c>
    </row>
    <row r="45" spans="2:6" x14ac:dyDescent="0.25">
      <c r="B45" s="84" t="s">
        <v>220</v>
      </c>
      <c r="C45" s="70"/>
      <c r="D45" s="57">
        <f>MIN($J$26,plafond_ac_mois)</f>
        <v>7300</v>
      </c>
      <c r="E45" s="58">
        <f>tx_ac</f>
        <v>1.0999999999999999E-2</v>
      </c>
      <c r="F45" s="56">
        <f>$D$45*$E$45</f>
        <v>80.3</v>
      </c>
    </row>
    <row r="46" spans="2:6" x14ac:dyDescent="0.25">
      <c r="B46" s="84" t="s">
        <v>221</v>
      </c>
      <c r="C46" s="70"/>
      <c r="D46" s="57">
        <f>$J$26</f>
        <v>7300</v>
      </c>
      <c r="E46" s="58">
        <f>tx_aap</f>
        <v>8.0000000000000002E-3</v>
      </c>
      <c r="F46" s="56">
        <f>$D$46*$E$46</f>
        <v>58.4</v>
      </c>
    </row>
    <row r="47" spans="2:6" x14ac:dyDescent="0.25">
      <c r="B47" s="84" t="s">
        <v>222</v>
      </c>
      <c r="C47" s="70"/>
      <c r="D47" s="57">
        <f>$J$23</f>
        <v>4595</v>
      </c>
      <c r="E47" s="58">
        <f>$J$24</f>
        <v>0.1</v>
      </c>
      <c r="F47" s="56">
        <f>$D$47*$E$47*(1-lpp_part_sal)</f>
        <v>229.75</v>
      </c>
    </row>
    <row r="48" spans="2:6" x14ac:dyDescent="0.25">
      <c r="B48" s="84" t="s">
        <v>54</v>
      </c>
      <c r="C48" s="70"/>
      <c r="D48" s="57">
        <f>$J$26</f>
        <v>7300</v>
      </c>
      <c r="E48" s="58">
        <f>tx_autres_pat</f>
        <v>1.4999999999999999E-2</v>
      </c>
      <c r="F48" s="56">
        <f>$D$48*$E$48</f>
        <v>109.5</v>
      </c>
    </row>
    <row r="49" spans="2:6" ht="21.95" customHeight="1" x14ac:dyDescent="0.25">
      <c r="B49" s="85" t="s">
        <v>223</v>
      </c>
      <c r="C49" s="70"/>
      <c r="D49" s="70"/>
      <c r="E49" s="70"/>
      <c r="F49" s="64">
        <f>$F$26+SUM(F44:F48)</f>
        <v>8564.85</v>
      </c>
    </row>
    <row r="51" spans="2:6" x14ac:dyDescent="0.25">
      <c r="B51" s="95" t="s">
        <v>224</v>
      </c>
      <c r="C51" s="70"/>
      <c r="D51" s="70"/>
      <c r="E51" s="70"/>
      <c r="F51" s="70"/>
    </row>
    <row r="52" spans="2:6" x14ac:dyDescent="0.25">
      <c r="B52" s="89" t="s">
        <v>225</v>
      </c>
      <c r="C52" s="70"/>
      <c r="D52" s="70"/>
      <c r="E52" s="70"/>
      <c r="F52" s="70"/>
    </row>
  </sheetData>
  <mergeCells count="36">
    <mergeCell ref="B24:C24"/>
    <mergeCell ref="B30:C30"/>
    <mergeCell ref="B33:C33"/>
    <mergeCell ref="B20:C20"/>
    <mergeCell ref="B5:F5"/>
    <mergeCell ref="B32:C32"/>
    <mergeCell ref="B2:C2"/>
    <mergeCell ref="D2:F2"/>
    <mergeCell ref="B52:F52"/>
    <mergeCell ref="B26:E26"/>
    <mergeCell ref="B21:C21"/>
    <mergeCell ref="C11:E11"/>
    <mergeCell ref="B48:C48"/>
    <mergeCell ref="B42:F42"/>
    <mergeCell ref="B23:C23"/>
    <mergeCell ref="B17:F17"/>
    <mergeCell ref="B44:C44"/>
    <mergeCell ref="B19:C19"/>
    <mergeCell ref="B28:F28"/>
    <mergeCell ref="B34:C34"/>
    <mergeCell ref="B39:E39"/>
    <mergeCell ref="B38:E38"/>
    <mergeCell ref="B45:C45"/>
    <mergeCell ref="B51:F51"/>
    <mergeCell ref="B40:E40"/>
    <mergeCell ref="B47:C47"/>
    <mergeCell ref="B49:E49"/>
    <mergeCell ref="B25:C25"/>
    <mergeCell ref="B3:F3"/>
    <mergeCell ref="B46:C46"/>
    <mergeCell ref="B22:C22"/>
    <mergeCell ref="B31:C31"/>
    <mergeCell ref="C12:E12"/>
    <mergeCell ref="B36:E36"/>
    <mergeCell ref="B10:F10"/>
    <mergeCell ref="B35:C35"/>
  </mergeCells>
  <pageMargins left="0.5" right="0.5" top="0.5" bottom="0.5" header="0.2" footer="0.2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300-000000000000}">
          <x14:formula1>
            <xm:f>Employés!$A$4:$A$9</xm:f>
          </x14:formula1>
          <xm:sqref>C6</xm:sqref>
        </x14:dataValidation>
        <x14:dataValidation type="list" allowBlank="1" xr:uid="{00000000-0002-0000-0300-000001000000}">
          <x14:formula1>
            <xm:f>Paramètres!$B$43:$B$54</xm:f>
          </x14:formula1>
          <xm:sqref>E6</xm:sqref>
        </x14:dataValidation>
        <x14:dataValidation type="list" allowBlank="1" xr:uid="{00000000-0002-0000-0300-000002000000}">
          <x14:formula1>
            <xm:f>Paramètres!$G$43:$G$45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54"/>
  <sheetViews>
    <sheetView showGridLines="0" workbookViewId="0"/>
  </sheetViews>
  <sheetFormatPr baseColWidth="10" defaultColWidth="9.140625" defaultRowHeight="15" x14ac:dyDescent="0.25"/>
  <cols>
    <col min="1" max="1" width="2.42578125" customWidth="1"/>
    <col min="2" max="2" width="34" customWidth="1"/>
    <col min="3" max="5" width="16" customWidth="1"/>
    <col min="6" max="7" width="18" customWidth="1"/>
  </cols>
  <sheetData>
    <row r="2" spans="2:7" ht="30" customHeight="1" x14ac:dyDescent="0.25">
      <c r="B2" s="79" t="s">
        <v>22</v>
      </c>
      <c r="C2" s="70"/>
      <c r="D2" s="70"/>
      <c r="E2" s="70"/>
      <c r="F2" s="70"/>
      <c r="G2" s="70"/>
    </row>
    <row r="4" spans="2:7" ht="20.100000000000001" customHeight="1" x14ac:dyDescent="0.25">
      <c r="B4" s="80" t="s">
        <v>23</v>
      </c>
      <c r="C4" s="70"/>
      <c r="D4" s="70"/>
      <c r="E4" s="70"/>
      <c r="F4" s="70"/>
      <c r="G4" s="70"/>
    </row>
    <row r="5" spans="2:7" x14ac:dyDescent="0.25">
      <c r="B5" s="5" t="s">
        <v>24</v>
      </c>
      <c r="C5" s="6" t="s">
        <v>25</v>
      </c>
    </row>
    <row r="6" spans="2:7" x14ac:dyDescent="0.25">
      <c r="B6" s="5" t="s">
        <v>26</v>
      </c>
      <c r="C6" s="6" t="s">
        <v>27</v>
      </c>
    </row>
    <row r="7" spans="2:7" x14ac:dyDescent="0.25">
      <c r="B7" s="5" t="s">
        <v>28</v>
      </c>
      <c r="C7" s="6" t="s">
        <v>29</v>
      </c>
    </row>
    <row r="8" spans="2:7" x14ac:dyDescent="0.25">
      <c r="B8" s="5" t="s">
        <v>30</v>
      </c>
      <c r="C8" s="6" t="s">
        <v>31</v>
      </c>
    </row>
    <row r="9" spans="2:7" x14ac:dyDescent="0.25">
      <c r="B9" s="5" t="s">
        <v>32</v>
      </c>
      <c r="C9" s="6" t="s">
        <v>33</v>
      </c>
    </row>
    <row r="10" spans="2:7" x14ac:dyDescent="0.25">
      <c r="B10" s="5" t="s">
        <v>34</v>
      </c>
      <c r="C10" s="6" t="s">
        <v>35</v>
      </c>
    </row>
    <row r="11" spans="2:7" x14ac:dyDescent="0.25">
      <c r="B11" s="5" t="s">
        <v>36</v>
      </c>
      <c r="C11" s="6" t="s">
        <v>37</v>
      </c>
    </row>
    <row r="12" spans="2:7" x14ac:dyDescent="0.25">
      <c r="B12" s="5" t="s">
        <v>38</v>
      </c>
      <c r="C12" s="6" t="s">
        <v>39</v>
      </c>
    </row>
    <row r="14" spans="2:7" ht="20.100000000000001" customHeight="1" x14ac:dyDescent="0.25">
      <c r="B14" s="80" t="s">
        <v>40</v>
      </c>
      <c r="C14" s="70"/>
      <c r="D14" s="70"/>
      <c r="E14" s="70"/>
      <c r="F14" s="70"/>
      <c r="G14" s="70"/>
    </row>
    <row r="15" spans="2:7" x14ac:dyDescent="0.25">
      <c r="B15" s="5" t="s">
        <v>41</v>
      </c>
      <c r="C15" s="7">
        <v>5.2999999999999999E-2</v>
      </c>
      <c r="D15" s="78" t="s">
        <v>42</v>
      </c>
      <c r="E15" s="70"/>
      <c r="F15" s="70"/>
      <c r="G15" s="70"/>
    </row>
    <row r="16" spans="2:7" x14ac:dyDescent="0.25">
      <c r="B16" s="5" t="s">
        <v>43</v>
      </c>
      <c r="C16" s="7">
        <v>1.0999999999999999E-2</v>
      </c>
      <c r="D16" s="78" t="s">
        <v>44</v>
      </c>
      <c r="E16" s="70"/>
      <c r="F16" s="70"/>
      <c r="G16" s="70"/>
    </row>
    <row r="17" spans="2:7" x14ac:dyDescent="0.25">
      <c r="B17" s="5" t="s">
        <v>45</v>
      </c>
      <c r="C17" s="8">
        <v>148200</v>
      </c>
      <c r="D17" s="9" t="s">
        <v>46</v>
      </c>
      <c r="E17" s="10">
        <f>C17/12</f>
        <v>12350</v>
      </c>
    </row>
    <row r="18" spans="2:7" x14ac:dyDescent="0.25">
      <c r="B18" s="5" t="s">
        <v>47</v>
      </c>
      <c r="C18" s="7">
        <v>1.4E-2</v>
      </c>
      <c r="D18" s="78" t="s">
        <v>48</v>
      </c>
      <c r="E18" s="70"/>
      <c r="F18" s="70"/>
      <c r="G18" s="70"/>
    </row>
    <row r="19" spans="2:7" x14ac:dyDescent="0.25">
      <c r="B19" s="5" t="s">
        <v>49</v>
      </c>
      <c r="C19" s="7">
        <v>8.0000000000000002E-3</v>
      </c>
      <c r="D19" s="78" t="s">
        <v>50</v>
      </c>
      <c r="E19" s="70"/>
      <c r="F19" s="70"/>
      <c r="G19" s="70"/>
    </row>
    <row r="21" spans="2:7" ht="20.100000000000001" customHeight="1" x14ac:dyDescent="0.25">
      <c r="B21" s="81" t="s">
        <v>51</v>
      </c>
      <c r="C21" s="70"/>
      <c r="D21" s="70"/>
      <c r="E21" s="70"/>
      <c r="F21" s="70"/>
      <c r="G21" s="70"/>
    </row>
    <row r="22" spans="2:7" x14ac:dyDescent="0.25">
      <c r="B22" s="5" t="s">
        <v>52</v>
      </c>
      <c r="C22" s="7">
        <v>8.0000000000000002E-3</v>
      </c>
      <c r="D22" s="78" t="s">
        <v>53</v>
      </c>
      <c r="E22" s="70"/>
      <c r="F22" s="70"/>
      <c r="G22" s="70"/>
    </row>
    <row r="23" spans="2:7" x14ac:dyDescent="0.25">
      <c r="B23" s="5" t="s">
        <v>54</v>
      </c>
      <c r="C23" s="7">
        <v>1.4999999999999999E-2</v>
      </c>
      <c r="D23" s="78" t="s">
        <v>55</v>
      </c>
      <c r="E23" s="70"/>
      <c r="F23" s="70"/>
      <c r="G23" s="70"/>
    </row>
    <row r="24" spans="2:7" x14ac:dyDescent="0.25">
      <c r="B24" s="5" t="s">
        <v>56</v>
      </c>
      <c r="C24" s="7">
        <v>0.14000000000000001</v>
      </c>
      <c r="D24" s="78" t="s">
        <v>57</v>
      </c>
      <c r="E24" s="70"/>
      <c r="F24" s="70"/>
      <c r="G24" s="70"/>
    </row>
    <row r="26" spans="2:7" ht="20.100000000000001" customHeight="1" x14ac:dyDescent="0.25">
      <c r="B26" s="80" t="s">
        <v>58</v>
      </c>
      <c r="C26" s="70"/>
      <c r="D26" s="70"/>
      <c r="E26" s="70"/>
      <c r="F26" s="70"/>
      <c r="G26" s="70"/>
    </row>
    <row r="27" spans="2:7" x14ac:dyDescent="0.25">
      <c r="B27" s="5" t="s">
        <v>59</v>
      </c>
      <c r="C27" s="8">
        <v>22680</v>
      </c>
      <c r="D27" s="78" t="s">
        <v>60</v>
      </c>
      <c r="E27" s="70"/>
      <c r="F27" s="70"/>
      <c r="G27" s="70"/>
    </row>
    <row r="28" spans="2:7" x14ac:dyDescent="0.25">
      <c r="B28" s="5" t="s">
        <v>61</v>
      </c>
      <c r="C28" s="8">
        <v>26460</v>
      </c>
    </row>
    <row r="29" spans="2:7" x14ac:dyDescent="0.25">
      <c r="B29" s="5" t="s">
        <v>62</v>
      </c>
      <c r="C29" s="8">
        <v>3780</v>
      </c>
    </row>
    <row r="30" spans="2:7" x14ac:dyDescent="0.25">
      <c r="B30" s="5" t="s">
        <v>63</v>
      </c>
      <c r="C30" s="8">
        <v>64260</v>
      </c>
    </row>
    <row r="31" spans="2:7" x14ac:dyDescent="0.25">
      <c r="B31" s="5" t="s">
        <v>64</v>
      </c>
      <c r="C31" s="11">
        <v>0.5</v>
      </c>
      <c r="D31" s="78" t="s">
        <v>65</v>
      </c>
      <c r="E31" s="70"/>
      <c r="F31" s="70"/>
      <c r="G31" s="70"/>
    </row>
    <row r="33" spans="2:7" ht="20.100000000000001" customHeight="1" x14ac:dyDescent="0.25">
      <c r="B33" s="80" t="s">
        <v>66</v>
      </c>
      <c r="C33" s="70"/>
      <c r="D33" s="70"/>
      <c r="E33" s="70"/>
      <c r="F33" s="70"/>
      <c r="G33" s="70"/>
    </row>
    <row r="34" spans="2:7" x14ac:dyDescent="0.25">
      <c r="B34" s="12" t="s">
        <v>67</v>
      </c>
      <c r="C34" s="12" t="s">
        <v>68</v>
      </c>
    </row>
    <row r="35" spans="2:7" x14ac:dyDescent="0.25">
      <c r="B35" s="13">
        <v>0</v>
      </c>
      <c r="C35" s="14">
        <v>0</v>
      </c>
    </row>
    <row r="36" spans="2:7" x14ac:dyDescent="0.25">
      <c r="B36" s="13">
        <v>25</v>
      </c>
      <c r="C36" s="14">
        <v>7.0000000000000007E-2</v>
      </c>
    </row>
    <row r="37" spans="2:7" x14ac:dyDescent="0.25">
      <c r="B37" s="13">
        <v>35</v>
      </c>
      <c r="C37" s="14">
        <v>0.1</v>
      </c>
    </row>
    <row r="38" spans="2:7" x14ac:dyDescent="0.25">
      <c r="B38" s="13">
        <v>45</v>
      </c>
      <c r="C38" s="14">
        <v>0.15</v>
      </c>
    </row>
    <row r="39" spans="2:7" x14ac:dyDescent="0.25">
      <c r="B39" s="13">
        <v>55</v>
      </c>
      <c r="C39" s="14">
        <v>0.18</v>
      </c>
    </row>
    <row r="41" spans="2:7" ht="20.100000000000001" customHeight="1" x14ac:dyDescent="0.25">
      <c r="B41" s="80" t="s">
        <v>69</v>
      </c>
      <c r="C41" s="70"/>
      <c r="D41" s="70"/>
      <c r="E41" s="70"/>
      <c r="F41" s="70"/>
      <c r="G41" s="70"/>
    </row>
    <row r="42" spans="2:7" x14ac:dyDescent="0.25">
      <c r="B42" s="12" t="s">
        <v>70</v>
      </c>
      <c r="C42" s="12" t="s">
        <v>71</v>
      </c>
      <c r="D42" s="12" t="s">
        <v>72</v>
      </c>
      <c r="E42" s="12" t="s">
        <v>73</v>
      </c>
      <c r="F42" s="12" t="s">
        <v>74</v>
      </c>
      <c r="G42" s="12" t="s">
        <v>75</v>
      </c>
    </row>
    <row r="43" spans="2:7" x14ac:dyDescent="0.25">
      <c r="B43" s="15" t="s">
        <v>76</v>
      </c>
      <c r="C43" s="15" t="s">
        <v>77</v>
      </c>
      <c r="D43" s="15" t="s">
        <v>78</v>
      </c>
      <c r="E43" s="15" t="s">
        <v>79</v>
      </c>
      <c r="F43" s="15" t="s">
        <v>80</v>
      </c>
      <c r="G43" s="15" t="s">
        <v>81</v>
      </c>
    </row>
    <row r="44" spans="2:7" x14ac:dyDescent="0.25">
      <c r="B44" s="15" t="s">
        <v>82</v>
      </c>
      <c r="C44" s="15" t="s">
        <v>83</v>
      </c>
      <c r="D44" s="15" t="s">
        <v>84</v>
      </c>
      <c r="E44" s="15" t="s">
        <v>85</v>
      </c>
      <c r="F44" s="15" t="s">
        <v>86</v>
      </c>
      <c r="G44" s="15" t="s">
        <v>87</v>
      </c>
    </row>
    <row r="45" spans="2:7" x14ac:dyDescent="0.25">
      <c r="B45" s="15" t="s">
        <v>88</v>
      </c>
      <c r="C45" s="15" t="s">
        <v>89</v>
      </c>
      <c r="D45" s="15" t="s">
        <v>90</v>
      </c>
      <c r="E45" s="15" t="s">
        <v>91</v>
      </c>
      <c r="G45" s="15" t="s">
        <v>92</v>
      </c>
    </row>
    <row r="46" spans="2:7" x14ac:dyDescent="0.25">
      <c r="B46" s="15" t="s">
        <v>93</v>
      </c>
      <c r="C46" s="15" t="s">
        <v>94</v>
      </c>
      <c r="D46" s="15" t="s">
        <v>95</v>
      </c>
      <c r="E46" s="15" t="s">
        <v>96</v>
      </c>
    </row>
    <row r="47" spans="2:7" x14ac:dyDescent="0.25">
      <c r="B47" s="15" t="s">
        <v>97</v>
      </c>
      <c r="C47" s="15" t="s">
        <v>98</v>
      </c>
      <c r="D47" s="15" t="s">
        <v>99</v>
      </c>
      <c r="E47" s="15" t="s">
        <v>100</v>
      </c>
    </row>
    <row r="48" spans="2:7" x14ac:dyDescent="0.25">
      <c r="B48" s="15" t="s">
        <v>101</v>
      </c>
      <c r="C48" s="15" t="s">
        <v>102</v>
      </c>
    </row>
    <row r="49" spans="2:3" x14ac:dyDescent="0.25">
      <c r="B49" s="15" t="s">
        <v>103</v>
      </c>
      <c r="C49" s="15" t="s">
        <v>104</v>
      </c>
    </row>
    <row r="50" spans="2:3" x14ac:dyDescent="0.25">
      <c r="B50" s="15" t="s">
        <v>105</v>
      </c>
      <c r="C50" s="15" t="s">
        <v>106</v>
      </c>
    </row>
    <row r="51" spans="2:3" x14ac:dyDescent="0.25">
      <c r="B51" s="15" t="s">
        <v>107</v>
      </c>
      <c r="C51" s="15" t="s">
        <v>108</v>
      </c>
    </row>
    <row r="52" spans="2:3" x14ac:dyDescent="0.25">
      <c r="B52" s="15" t="s">
        <v>109</v>
      </c>
      <c r="C52" s="15" t="s">
        <v>110</v>
      </c>
    </row>
    <row r="53" spans="2:3" x14ac:dyDescent="0.25">
      <c r="B53" s="15" t="s">
        <v>111</v>
      </c>
    </row>
    <row r="54" spans="2:3" x14ac:dyDescent="0.25">
      <c r="B54" s="15" t="s">
        <v>112</v>
      </c>
    </row>
  </sheetData>
  <mergeCells count="16">
    <mergeCell ref="B41:G41"/>
    <mergeCell ref="D24:G24"/>
    <mergeCell ref="B4:G4"/>
    <mergeCell ref="D15:G15"/>
    <mergeCell ref="D19:G19"/>
    <mergeCell ref="B26:G26"/>
    <mergeCell ref="D27:G27"/>
    <mergeCell ref="B21:G21"/>
    <mergeCell ref="B33:G33"/>
    <mergeCell ref="D22:G22"/>
    <mergeCell ref="B2:G2"/>
    <mergeCell ref="D18:G18"/>
    <mergeCell ref="D23:G23"/>
    <mergeCell ref="D31:G31"/>
    <mergeCell ref="B14:G14"/>
    <mergeCell ref="D16:G16"/>
  </mergeCells>
  <pageMargins left="0.4" right="0.4" top="0.5" bottom="0.5" header="0.2" footer="0.2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9"/>
  <sheetViews>
    <sheetView showGridLines="0"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12" customWidth="1"/>
    <col min="2" max="3" width="14" customWidth="1"/>
    <col min="4" max="4" width="24" customWidth="1"/>
    <col min="5" max="5" width="18" customWidth="1"/>
    <col min="6" max="6" width="17" customWidth="1"/>
    <col min="7" max="7" width="15" customWidth="1"/>
    <col min="8" max="8" width="16" customWidth="1"/>
    <col min="9" max="9" width="17" customWidth="1"/>
    <col min="10" max="10" width="15" customWidth="1"/>
    <col min="11" max="11" width="12" customWidth="1"/>
    <col min="12" max="12" width="18" customWidth="1"/>
    <col min="13" max="13" width="15" customWidth="1"/>
    <col min="14" max="14" width="14" customWidth="1"/>
    <col min="15" max="15" width="11" customWidth="1"/>
    <col min="16" max="16" width="12" customWidth="1"/>
    <col min="17" max="17" width="14" customWidth="1"/>
  </cols>
  <sheetData>
    <row r="1" spans="1:17" ht="27.95" customHeight="1" x14ac:dyDescent="0.25">
      <c r="A1" s="79" t="s">
        <v>113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 x14ac:dyDescent="0.25">
      <c r="A2" s="82" t="s">
        <v>114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33.950000000000003" customHeight="1" x14ac:dyDescent="0.25">
      <c r="A3" s="16" t="s">
        <v>115</v>
      </c>
      <c r="B3" s="16" t="s">
        <v>116</v>
      </c>
      <c r="C3" s="16" t="s">
        <v>117</v>
      </c>
      <c r="D3" s="16" t="s">
        <v>26</v>
      </c>
      <c r="E3" s="16" t="s">
        <v>28</v>
      </c>
      <c r="F3" s="16" t="s">
        <v>118</v>
      </c>
      <c r="G3" s="16" t="s">
        <v>119</v>
      </c>
      <c r="H3" s="16" t="s">
        <v>120</v>
      </c>
      <c r="I3" s="16" t="s">
        <v>121</v>
      </c>
      <c r="J3" s="16" t="s">
        <v>73</v>
      </c>
      <c r="K3" s="16" t="s">
        <v>122</v>
      </c>
      <c r="L3" s="16" t="s">
        <v>123</v>
      </c>
      <c r="M3" s="16" t="s">
        <v>124</v>
      </c>
      <c r="N3" s="16" t="s">
        <v>125</v>
      </c>
      <c r="O3" s="16" t="s">
        <v>126</v>
      </c>
      <c r="P3" s="16" t="s">
        <v>127</v>
      </c>
      <c r="Q3" s="16" t="s">
        <v>128</v>
      </c>
    </row>
    <row r="4" spans="1:17" x14ac:dyDescent="0.25">
      <c r="A4" s="17" t="s">
        <v>129</v>
      </c>
      <c r="B4" s="18" t="s">
        <v>130</v>
      </c>
      <c r="C4" s="18" t="s">
        <v>131</v>
      </c>
      <c r="D4" s="18" t="s">
        <v>132</v>
      </c>
      <c r="E4" s="18" t="s">
        <v>133</v>
      </c>
      <c r="F4" s="17" t="s">
        <v>134</v>
      </c>
      <c r="G4" s="19">
        <v>31911</v>
      </c>
      <c r="H4" s="20" t="s">
        <v>77</v>
      </c>
      <c r="I4" s="20" t="s">
        <v>99</v>
      </c>
      <c r="J4" s="20" t="s">
        <v>85</v>
      </c>
      <c r="K4" s="21">
        <v>1</v>
      </c>
      <c r="L4" s="22">
        <v>6800</v>
      </c>
      <c r="M4" s="20" t="s">
        <v>80</v>
      </c>
      <c r="N4" s="21">
        <v>0.125</v>
      </c>
      <c r="O4" s="23">
        <v>1.4E-2</v>
      </c>
      <c r="P4" s="20" t="s">
        <v>80</v>
      </c>
      <c r="Q4" s="19">
        <v>43525</v>
      </c>
    </row>
    <row r="5" spans="1:17" x14ac:dyDescent="0.25">
      <c r="A5" s="24" t="s">
        <v>135</v>
      </c>
      <c r="B5" s="25" t="s">
        <v>136</v>
      </c>
      <c r="C5" s="25" t="s">
        <v>137</v>
      </c>
      <c r="D5" s="25" t="s">
        <v>138</v>
      </c>
      <c r="E5" s="25" t="s">
        <v>139</v>
      </c>
      <c r="F5" s="24" t="s">
        <v>140</v>
      </c>
      <c r="G5" s="26">
        <v>36101</v>
      </c>
      <c r="H5" s="27" t="s">
        <v>83</v>
      </c>
      <c r="I5" s="27" t="s">
        <v>78</v>
      </c>
      <c r="J5" s="27" t="s">
        <v>79</v>
      </c>
      <c r="K5" s="28">
        <v>1</v>
      </c>
      <c r="L5" s="29">
        <v>5600</v>
      </c>
      <c r="M5" s="27" t="s">
        <v>86</v>
      </c>
      <c r="N5" s="28">
        <v>0</v>
      </c>
      <c r="O5" s="30">
        <v>1.2999999999999999E-2</v>
      </c>
      <c r="P5" s="27" t="s">
        <v>80</v>
      </c>
      <c r="Q5" s="26">
        <v>44454</v>
      </c>
    </row>
    <row r="6" spans="1:17" x14ac:dyDescent="0.25">
      <c r="A6" s="17" t="s">
        <v>141</v>
      </c>
      <c r="B6" s="18" t="s">
        <v>142</v>
      </c>
      <c r="C6" s="18" t="s">
        <v>143</v>
      </c>
      <c r="D6" s="18" t="s">
        <v>144</v>
      </c>
      <c r="E6" s="18" t="s">
        <v>29</v>
      </c>
      <c r="F6" s="17" t="s">
        <v>145</v>
      </c>
      <c r="G6" s="19">
        <v>29057</v>
      </c>
      <c r="H6" s="20" t="s">
        <v>77</v>
      </c>
      <c r="I6" s="20" t="s">
        <v>90</v>
      </c>
      <c r="J6" s="20" t="s">
        <v>91</v>
      </c>
      <c r="K6" s="21">
        <v>1</v>
      </c>
      <c r="L6" s="22">
        <v>7400</v>
      </c>
      <c r="M6" s="20" t="s">
        <v>80</v>
      </c>
      <c r="N6" s="21">
        <v>0.09</v>
      </c>
      <c r="O6" s="23">
        <v>1.4E-2</v>
      </c>
      <c r="P6" s="20" t="s">
        <v>80</v>
      </c>
      <c r="Q6" s="19">
        <v>42373</v>
      </c>
    </row>
    <row r="7" spans="1:17" x14ac:dyDescent="0.25">
      <c r="A7" s="24" t="s">
        <v>146</v>
      </c>
      <c r="B7" s="25" t="s">
        <v>147</v>
      </c>
      <c r="C7" s="25" t="s">
        <v>148</v>
      </c>
      <c r="D7" s="25" t="s">
        <v>149</v>
      </c>
      <c r="E7" s="25" t="s">
        <v>150</v>
      </c>
      <c r="F7" s="24" t="s">
        <v>151</v>
      </c>
      <c r="G7" s="26">
        <v>25608</v>
      </c>
      <c r="H7" s="27" t="s">
        <v>94</v>
      </c>
      <c r="I7" s="27" t="s">
        <v>78</v>
      </c>
      <c r="J7" s="27" t="s">
        <v>85</v>
      </c>
      <c r="K7" s="28">
        <v>0.8</v>
      </c>
      <c r="L7" s="29">
        <v>4600</v>
      </c>
      <c r="M7" s="27" t="s">
        <v>86</v>
      </c>
      <c r="N7" s="28">
        <v>0</v>
      </c>
      <c r="O7" s="30">
        <v>1.35E-2</v>
      </c>
      <c r="P7" s="27" t="s">
        <v>86</v>
      </c>
      <c r="Q7" s="26">
        <v>40330</v>
      </c>
    </row>
    <row r="8" spans="1:17" x14ac:dyDescent="0.25">
      <c r="A8" s="17" t="s">
        <v>152</v>
      </c>
      <c r="B8" s="18" t="s">
        <v>153</v>
      </c>
      <c r="C8" s="18" t="s">
        <v>154</v>
      </c>
      <c r="D8" s="18" t="s">
        <v>155</v>
      </c>
      <c r="E8" s="18" t="s">
        <v>156</v>
      </c>
      <c r="F8" s="17" t="s">
        <v>157</v>
      </c>
      <c r="G8" s="19">
        <v>33693</v>
      </c>
      <c r="H8" s="20" t="s">
        <v>83</v>
      </c>
      <c r="I8" s="20" t="s">
        <v>84</v>
      </c>
      <c r="J8" s="20" t="s">
        <v>85</v>
      </c>
      <c r="K8" s="21">
        <v>1</v>
      </c>
      <c r="L8" s="22">
        <v>6200</v>
      </c>
      <c r="M8" s="20" t="s">
        <v>86</v>
      </c>
      <c r="N8" s="21">
        <v>0</v>
      </c>
      <c r="O8" s="23">
        <v>1.2999999999999999E-2</v>
      </c>
      <c r="P8" s="20" t="s">
        <v>80</v>
      </c>
      <c r="Q8" s="19">
        <v>43878</v>
      </c>
    </row>
    <row r="9" spans="1:17" x14ac:dyDescent="0.25">
      <c r="A9" s="24" t="s">
        <v>158</v>
      </c>
      <c r="B9" s="25" t="s">
        <v>159</v>
      </c>
      <c r="C9" s="25" t="s">
        <v>160</v>
      </c>
      <c r="D9" s="25" t="s">
        <v>161</v>
      </c>
      <c r="E9" s="25" t="s">
        <v>162</v>
      </c>
      <c r="F9" s="24" t="s">
        <v>163</v>
      </c>
      <c r="G9" s="26">
        <v>37115</v>
      </c>
      <c r="H9" s="27" t="s">
        <v>77</v>
      </c>
      <c r="I9" s="27" t="s">
        <v>95</v>
      </c>
      <c r="J9" s="27" t="s">
        <v>79</v>
      </c>
      <c r="K9" s="28">
        <v>0.6</v>
      </c>
      <c r="L9" s="29">
        <v>3200</v>
      </c>
      <c r="M9" s="27" t="s">
        <v>80</v>
      </c>
      <c r="N9" s="28">
        <v>0.08</v>
      </c>
      <c r="O9" s="30">
        <v>1.4E-2</v>
      </c>
      <c r="P9" s="27" t="s">
        <v>86</v>
      </c>
      <c r="Q9" s="26">
        <v>45566</v>
      </c>
    </row>
  </sheetData>
  <mergeCells count="2">
    <mergeCell ref="A2:Q2"/>
    <mergeCell ref="A1:Q1"/>
  </mergeCells>
  <pageMargins left="0.4" right="0.4" top="0.5" bottom="0.5" header="0.2" footer="0.2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Paramètres!$C$43:$C$52</xm:f>
          </x14:formula1>
          <xm:sqref>H4:H9</xm:sqref>
        </x14:dataValidation>
        <x14:dataValidation type="list" allowBlank="1" xr:uid="{00000000-0002-0000-0200-000001000000}">
          <x14:formula1>
            <xm:f>Paramètres!$D$43:$D$47</xm:f>
          </x14:formula1>
          <xm:sqref>I4:I9</xm:sqref>
        </x14:dataValidation>
        <x14:dataValidation type="list" allowBlank="1" xr:uid="{00000000-0002-0000-0200-000002000000}">
          <x14:formula1>
            <xm:f>Paramètres!$E$43:$E$47</xm:f>
          </x14:formula1>
          <xm:sqref>J4:J9</xm:sqref>
        </x14:dataValidation>
        <x14:dataValidation type="list" allowBlank="1" xr:uid="{00000000-0002-0000-0200-000003000000}">
          <x14:formula1>
            <xm:f>Paramètres!$F$43:$F$44</xm:f>
          </x14:formula1>
          <xm:sqref>M4:M9 P4:P9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I20"/>
  <sheetViews>
    <sheetView showGridLines="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.42578125" customWidth="1"/>
    <col min="2" max="2" width="14" customWidth="1"/>
    <col min="3" max="3" width="12" customWidth="1"/>
    <col min="4" max="4" width="16" customWidth="1"/>
    <col min="5" max="5" width="18" customWidth="1"/>
    <col min="6" max="7" width="16" customWidth="1"/>
    <col min="8" max="9" width="18" customWidth="1"/>
  </cols>
  <sheetData>
    <row r="2" spans="2:9" ht="30" customHeight="1" x14ac:dyDescent="0.25">
      <c r="B2" s="79" t="s">
        <v>226</v>
      </c>
      <c r="C2" s="70"/>
      <c r="D2" s="70"/>
      <c r="E2" s="70"/>
      <c r="F2" s="70"/>
      <c r="G2" s="70"/>
      <c r="H2" s="70"/>
      <c r="I2" s="70"/>
    </row>
    <row r="3" spans="2:9" x14ac:dyDescent="0.25">
      <c r="B3" s="82" t="s">
        <v>227</v>
      </c>
      <c r="C3" s="70"/>
      <c r="D3" s="70"/>
      <c r="E3" s="70"/>
      <c r="F3" s="70"/>
      <c r="G3" s="70"/>
      <c r="H3" s="70"/>
      <c r="I3" s="70"/>
    </row>
    <row r="5" spans="2:9" x14ac:dyDescent="0.25">
      <c r="B5" s="98" t="s">
        <v>228</v>
      </c>
      <c r="C5" s="70"/>
      <c r="D5" s="100" t="s">
        <v>229</v>
      </c>
      <c r="E5" s="70"/>
      <c r="F5" s="99" t="s">
        <v>230</v>
      </c>
      <c r="G5" s="70"/>
      <c r="H5" s="98" t="s">
        <v>231</v>
      </c>
      <c r="I5" s="70"/>
    </row>
    <row r="6" spans="2:9" ht="26.1" customHeight="1" x14ac:dyDescent="0.25">
      <c r="B6" s="97">
        <f>MAX(C8:C19)</f>
        <v>6</v>
      </c>
      <c r="C6" s="70"/>
      <c r="D6" s="96">
        <f>SUM(D8:D19)</f>
        <v>454800</v>
      </c>
      <c r="E6" s="70"/>
      <c r="F6" s="96">
        <f>SUM(E8:E19)+SUM(F8:F19)</f>
        <v>83221</v>
      </c>
      <c r="G6" s="70"/>
      <c r="H6" s="96">
        <f>SUM(I8:I19)</f>
        <v>518472</v>
      </c>
      <c r="I6" s="70"/>
    </row>
    <row r="7" spans="2:9" ht="30" customHeight="1" x14ac:dyDescent="0.25">
      <c r="B7" s="16" t="s">
        <v>70</v>
      </c>
      <c r="C7" s="16" t="s">
        <v>228</v>
      </c>
      <c r="D7" s="16" t="s">
        <v>232</v>
      </c>
      <c r="E7" s="16" t="s">
        <v>233</v>
      </c>
      <c r="F7" s="16" t="s">
        <v>213</v>
      </c>
      <c r="G7" s="16" t="s">
        <v>215</v>
      </c>
      <c r="H7" s="16" t="s">
        <v>234</v>
      </c>
      <c r="I7" s="16" t="s">
        <v>235</v>
      </c>
    </row>
    <row r="8" spans="2:9" x14ac:dyDescent="0.25">
      <c r="B8" s="18" t="s">
        <v>76</v>
      </c>
      <c r="C8" s="65">
        <v>6</v>
      </c>
      <c r="D8" s="59">
        <v>34800</v>
      </c>
      <c r="E8" s="59">
        <v>4520</v>
      </c>
      <c r="F8" s="59">
        <v>1845</v>
      </c>
      <c r="G8" s="66">
        <f t="shared" ref="G8:G19" si="0">D8-E8-F8</f>
        <v>28435</v>
      </c>
      <c r="H8" s="66">
        <f t="shared" ref="H8:H19" si="1">D8*tx_charges_pat</f>
        <v>4872.0000000000009</v>
      </c>
      <c r="I8" s="66">
        <f t="shared" ref="I8:I19" si="2">D8+H8</f>
        <v>39672</v>
      </c>
    </row>
    <row r="9" spans="2:9" x14ac:dyDescent="0.25">
      <c r="B9" s="25" t="s">
        <v>82</v>
      </c>
      <c r="C9" s="65">
        <v>6</v>
      </c>
      <c r="D9" s="59">
        <v>34800</v>
      </c>
      <c r="E9" s="59">
        <v>4520</v>
      </c>
      <c r="F9" s="59">
        <v>1845</v>
      </c>
      <c r="G9" s="67">
        <f t="shared" si="0"/>
        <v>28435</v>
      </c>
      <c r="H9" s="67">
        <f t="shared" si="1"/>
        <v>4872.0000000000009</v>
      </c>
      <c r="I9" s="67">
        <f t="shared" si="2"/>
        <v>39672</v>
      </c>
    </row>
    <row r="10" spans="2:9" x14ac:dyDescent="0.25">
      <c r="B10" s="18" t="s">
        <v>88</v>
      </c>
      <c r="C10" s="65">
        <v>6</v>
      </c>
      <c r="D10" s="59">
        <v>35200</v>
      </c>
      <c r="E10" s="59">
        <v>4575</v>
      </c>
      <c r="F10" s="59">
        <v>1866</v>
      </c>
      <c r="G10" s="66">
        <f t="shared" si="0"/>
        <v>28759</v>
      </c>
      <c r="H10" s="66">
        <f t="shared" si="1"/>
        <v>4928.0000000000009</v>
      </c>
      <c r="I10" s="66">
        <f t="shared" si="2"/>
        <v>40128</v>
      </c>
    </row>
    <row r="11" spans="2:9" x14ac:dyDescent="0.25">
      <c r="B11" s="25" t="s">
        <v>93</v>
      </c>
      <c r="C11" s="65">
        <v>6</v>
      </c>
      <c r="D11" s="59">
        <v>35000</v>
      </c>
      <c r="E11" s="59">
        <v>4550</v>
      </c>
      <c r="F11" s="59">
        <v>1855</v>
      </c>
      <c r="G11" s="67">
        <f t="shared" si="0"/>
        <v>28595</v>
      </c>
      <c r="H11" s="67">
        <f t="shared" si="1"/>
        <v>4900.0000000000009</v>
      </c>
      <c r="I11" s="67">
        <f t="shared" si="2"/>
        <v>39900</v>
      </c>
    </row>
    <row r="12" spans="2:9" x14ac:dyDescent="0.25">
      <c r="B12" s="18" t="s">
        <v>97</v>
      </c>
      <c r="C12" s="65">
        <v>6</v>
      </c>
      <c r="D12" s="59">
        <v>35000</v>
      </c>
      <c r="E12" s="59">
        <v>4550</v>
      </c>
      <c r="F12" s="59">
        <v>1855</v>
      </c>
      <c r="G12" s="66">
        <f t="shared" si="0"/>
        <v>28595</v>
      </c>
      <c r="H12" s="66">
        <f t="shared" si="1"/>
        <v>4900.0000000000009</v>
      </c>
      <c r="I12" s="66">
        <f t="shared" si="2"/>
        <v>39900</v>
      </c>
    </row>
    <row r="13" spans="2:9" x14ac:dyDescent="0.25">
      <c r="B13" s="25" t="s">
        <v>101</v>
      </c>
      <c r="C13" s="65">
        <v>6</v>
      </c>
      <c r="D13" s="59">
        <v>35400</v>
      </c>
      <c r="E13" s="59">
        <v>4600</v>
      </c>
      <c r="F13" s="59">
        <v>1876</v>
      </c>
      <c r="G13" s="67">
        <f t="shared" si="0"/>
        <v>28924</v>
      </c>
      <c r="H13" s="67">
        <f t="shared" si="1"/>
        <v>4956.0000000000009</v>
      </c>
      <c r="I13" s="67">
        <f t="shared" si="2"/>
        <v>40356</v>
      </c>
    </row>
    <row r="14" spans="2:9" x14ac:dyDescent="0.25">
      <c r="B14" s="18" t="s">
        <v>103</v>
      </c>
      <c r="C14" s="65">
        <v>6</v>
      </c>
      <c r="D14" s="59">
        <v>35400</v>
      </c>
      <c r="E14" s="59">
        <v>4600</v>
      </c>
      <c r="F14" s="59">
        <v>1876</v>
      </c>
      <c r="G14" s="66">
        <f t="shared" si="0"/>
        <v>28924</v>
      </c>
      <c r="H14" s="66">
        <f t="shared" si="1"/>
        <v>4956.0000000000009</v>
      </c>
      <c r="I14" s="66">
        <f t="shared" si="2"/>
        <v>40356</v>
      </c>
    </row>
    <row r="15" spans="2:9" x14ac:dyDescent="0.25">
      <c r="B15" s="25" t="s">
        <v>105</v>
      </c>
      <c r="C15" s="65">
        <v>6</v>
      </c>
      <c r="D15" s="59">
        <v>34600</v>
      </c>
      <c r="E15" s="59">
        <v>4498</v>
      </c>
      <c r="F15" s="59">
        <v>1834</v>
      </c>
      <c r="G15" s="67">
        <f t="shared" si="0"/>
        <v>28268</v>
      </c>
      <c r="H15" s="67">
        <f t="shared" si="1"/>
        <v>4844.0000000000009</v>
      </c>
      <c r="I15" s="67">
        <f t="shared" si="2"/>
        <v>39444</v>
      </c>
    </row>
    <row r="16" spans="2:9" x14ac:dyDescent="0.25">
      <c r="B16" s="18" t="s">
        <v>107</v>
      </c>
      <c r="C16" s="65">
        <v>6</v>
      </c>
      <c r="D16" s="59">
        <v>35200</v>
      </c>
      <c r="E16" s="59">
        <v>4575</v>
      </c>
      <c r="F16" s="59">
        <v>1866</v>
      </c>
      <c r="G16" s="66">
        <f t="shared" si="0"/>
        <v>28759</v>
      </c>
      <c r="H16" s="66">
        <f t="shared" si="1"/>
        <v>4928.0000000000009</v>
      </c>
      <c r="I16" s="66">
        <f t="shared" si="2"/>
        <v>40128</v>
      </c>
    </row>
    <row r="17" spans="2:9" x14ac:dyDescent="0.25">
      <c r="B17" s="25" t="s">
        <v>109</v>
      </c>
      <c r="C17" s="65">
        <v>6</v>
      </c>
      <c r="D17" s="59">
        <v>35600</v>
      </c>
      <c r="E17" s="59">
        <v>4628</v>
      </c>
      <c r="F17" s="59">
        <v>1887</v>
      </c>
      <c r="G17" s="67">
        <f t="shared" si="0"/>
        <v>29085</v>
      </c>
      <c r="H17" s="67">
        <f t="shared" si="1"/>
        <v>4984.0000000000009</v>
      </c>
      <c r="I17" s="67">
        <f t="shared" si="2"/>
        <v>40584</v>
      </c>
    </row>
    <row r="18" spans="2:9" x14ac:dyDescent="0.25">
      <c r="B18" s="18" t="s">
        <v>111</v>
      </c>
      <c r="C18" s="65">
        <v>6</v>
      </c>
      <c r="D18" s="59">
        <v>35600</v>
      </c>
      <c r="E18" s="59">
        <v>4628</v>
      </c>
      <c r="F18" s="59">
        <v>1887</v>
      </c>
      <c r="G18" s="66">
        <f t="shared" si="0"/>
        <v>29085</v>
      </c>
      <c r="H18" s="66">
        <f t="shared" si="1"/>
        <v>4984.0000000000009</v>
      </c>
      <c r="I18" s="66">
        <f t="shared" si="2"/>
        <v>40584</v>
      </c>
    </row>
    <row r="19" spans="2:9" x14ac:dyDescent="0.25">
      <c r="B19" s="25" t="s">
        <v>112</v>
      </c>
      <c r="C19" s="65">
        <v>6</v>
      </c>
      <c r="D19" s="59">
        <v>68200</v>
      </c>
      <c r="E19" s="59">
        <v>8870</v>
      </c>
      <c r="F19" s="59">
        <v>3615</v>
      </c>
      <c r="G19" s="67">
        <f t="shared" si="0"/>
        <v>55715</v>
      </c>
      <c r="H19" s="67">
        <f t="shared" si="1"/>
        <v>9548</v>
      </c>
      <c r="I19" s="67">
        <f t="shared" si="2"/>
        <v>77748</v>
      </c>
    </row>
    <row r="20" spans="2:9" ht="20.100000000000001" customHeight="1" x14ac:dyDescent="0.25">
      <c r="B20" s="60" t="s">
        <v>236</v>
      </c>
      <c r="C20" s="68">
        <f>MAX(C8:C19)</f>
        <v>6</v>
      </c>
      <c r="D20" s="61">
        <f t="shared" ref="D20:I20" si="3">SUM(D8:D19)</f>
        <v>454800</v>
      </c>
      <c r="E20" s="61">
        <f t="shared" si="3"/>
        <v>59114</v>
      </c>
      <c r="F20" s="61">
        <f t="shared" si="3"/>
        <v>24107</v>
      </c>
      <c r="G20" s="61">
        <f t="shared" si="3"/>
        <v>371579</v>
      </c>
      <c r="H20" s="61">
        <f t="shared" si="3"/>
        <v>63672.000000000007</v>
      </c>
      <c r="I20" s="61">
        <f t="shared" si="3"/>
        <v>518472</v>
      </c>
    </row>
  </sheetData>
  <mergeCells count="10"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</mergeCells>
  <conditionalFormatting sqref="D8:D19">
    <cfRule type="dataBar" priority="1">
      <dataBar>
        <cfvo type="min"/>
        <cfvo type="max"/>
        <color rgb="FF1E6B75"/>
      </dataBar>
    </cfRule>
  </conditionalFormatting>
  <pageMargins left="0.4" right="0.4" top="0.5" bottom="0.5" header="0.2" footer="0.2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5"/>
  <sheetViews>
    <sheetView showGridLines="0" workbookViewId="0">
      <selection activeCell="B2" sqref="B2:E3"/>
    </sheetView>
  </sheetViews>
  <sheetFormatPr baseColWidth="10" defaultColWidth="9.140625" defaultRowHeight="15" x14ac:dyDescent="0.25"/>
  <cols>
    <col min="1" max="1" width="2.42578125" customWidth="1"/>
    <col min="2" max="4" width="30" customWidth="1"/>
    <col min="5" max="5" width="10" customWidth="1"/>
  </cols>
  <sheetData>
    <row r="2" spans="2:5" ht="21.95" customHeight="1" x14ac:dyDescent="0.25">
      <c r="B2" s="76" t="s">
        <v>0</v>
      </c>
      <c r="C2" s="70"/>
      <c r="D2" s="70"/>
      <c r="E2" s="70"/>
    </row>
    <row r="3" spans="2:5" ht="21.95" customHeight="1" x14ac:dyDescent="0.25">
      <c r="B3" s="70"/>
      <c r="C3" s="70"/>
      <c r="D3" s="70"/>
      <c r="E3" s="70"/>
    </row>
    <row r="4" spans="2:5" ht="20.100000000000001" customHeight="1" x14ac:dyDescent="0.25">
      <c r="B4" s="72" t="s">
        <v>1</v>
      </c>
      <c r="C4" s="70"/>
      <c r="D4" s="70"/>
      <c r="E4" s="70"/>
    </row>
    <row r="6" spans="2:5" ht="17.25" x14ac:dyDescent="0.25">
      <c r="B6" s="69" t="s">
        <v>2</v>
      </c>
      <c r="C6" s="70"/>
      <c r="D6" s="70"/>
      <c r="E6" s="70"/>
    </row>
    <row r="7" spans="2:5" ht="18" customHeight="1" x14ac:dyDescent="0.25">
      <c r="B7" s="75" t="s">
        <v>3</v>
      </c>
      <c r="C7" s="70"/>
      <c r="D7" s="70"/>
      <c r="E7" s="70"/>
    </row>
    <row r="8" spans="2:5" x14ac:dyDescent="0.25">
      <c r="B8" s="70"/>
      <c r="C8" s="70"/>
      <c r="D8" s="70"/>
      <c r="E8" s="70"/>
    </row>
    <row r="9" spans="2:5" x14ac:dyDescent="0.25">
      <c r="B9" s="70"/>
      <c r="C9" s="70"/>
      <c r="D9" s="70"/>
      <c r="E9" s="70"/>
    </row>
    <row r="11" spans="2:5" ht="17.25" x14ac:dyDescent="0.25">
      <c r="B11" s="69" t="s">
        <v>4</v>
      </c>
      <c r="C11" s="70"/>
      <c r="D11" s="70"/>
      <c r="E11" s="70"/>
    </row>
    <row r="12" spans="2:5" ht="32.1" customHeight="1" x14ac:dyDescent="0.25">
      <c r="B12" s="1" t="s">
        <v>5</v>
      </c>
      <c r="C12" s="71" t="s">
        <v>6</v>
      </c>
      <c r="D12" s="70"/>
      <c r="E12" s="70"/>
    </row>
    <row r="13" spans="2:5" ht="32.1" customHeight="1" x14ac:dyDescent="0.25">
      <c r="B13" s="1" t="s">
        <v>7</v>
      </c>
      <c r="C13" s="71" t="s">
        <v>8</v>
      </c>
      <c r="D13" s="70"/>
      <c r="E13" s="70"/>
    </row>
    <row r="14" spans="2:5" ht="32.1" customHeight="1" x14ac:dyDescent="0.25">
      <c r="B14" s="1" t="s">
        <v>9</v>
      </c>
      <c r="C14" s="71" t="s">
        <v>10</v>
      </c>
      <c r="D14" s="70"/>
      <c r="E14" s="70"/>
    </row>
    <row r="15" spans="2:5" ht="32.1" customHeight="1" x14ac:dyDescent="0.25">
      <c r="B15" s="1" t="s">
        <v>11</v>
      </c>
      <c r="C15" s="71" t="s">
        <v>12</v>
      </c>
      <c r="D15" s="70"/>
      <c r="E15" s="70"/>
    </row>
    <row r="17" spans="2:5" ht="17.25" x14ac:dyDescent="0.25">
      <c r="B17" s="69" t="s">
        <v>13</v>
      </c>
      <c r="C17" s="70"/>
      <c r="D17" s="70"/>
      <c r="E17" s="70"/>
    </row>
    <row r="18" spans="2:5" ht="20.100000000000001" customHeight="1" x14ac:dyDescent="0.25">
      <c r="B18" s="2" t="s">
        <v>14</v>
      </c>
      <c r="C18" s="71" t="s">
        <v>15</v>
      </c>
      <c r="D18" s="70"/>
      <c r="E18" s="70"/>
    </row>
    <row r="19" spans="2:5" ht="20.100000000000001" customHeight="1" x14ac:dyDescent="0.25">
      <c r="B19" s="3" t="s">
        <v>16</v>
      </c>
      <c r="C19" s="71" t="s">
        <v>17</v>
      </c>
      <c r="D19" s="70"/>
      <c r="E19" s="70"/>
    </row>
    <row r="20" spans="2:5" ht="20.100000000000001" customHeight="1" x14ac:dyDescent="0.25">
      <c r="B20" s="4" t="s">
        <v>18</v>
      </c>
      <c r="C20" s="71" t="s">
        <v>19</v>
      </c>
      <c r="D20" s="70"/>
      <c r="E20" s="70"/>
    </row>
    <row r="22" spans="2:5" x14ac:dyDescent="0.25">
      <c r="B22" s="77" t="s">
        <v>20</v>
      </c>
      <c r="C22" s="70"/>
      <c r="D22" s="70"/>
      <c r="E22" s="70"/>
    </row>
    <row r="23" spans="2:5" ht="18" customHeight="1" x14ac:dyDescent="0.25">
      <c r="B23" s="73" t="s">
        <v>21</v>
      </c>
      <c r="C23" s="74"/>
      <c r="D23" s="74"/>
      <c r="E23" s="74"/>
    </row>
    <row r="24" spans="2:5" x14ac:dyDescent="0.25">
      <c r="B24" s="74"/>
      <c r="C24" s="74"/>
      <c r="D24" s="74"/>
      <c r="E24" s="74"/>
    </row>
    <row r="25" spans="2:5" x14ac:dyDescent="0.25">
      <c r="B25" s="74"/>
      <c r="C25" s="74"/>
      <c r="D25" s="74"/>
      <c r="E25" s="74"/>
    </row>
  </sheetData>
  <mergeCells count="15">
    <mergeCell ref="B2:E3"/>
    <mergeCell ref="C20:E20"/>
    <mergeCell ref="C12:E12"/>
    <mergeCell ref="B22:E22"/>
    <mergeCell ref="B23:E25"/>
    <mergeCell ref="B6:E6"/>
    <mergeCell ref="C15:E15"/>
    <mergeCell ref="C18:E18"/>
    <mergeCell ref="B11:E11"/>
    <mergeCell ref="B7:E9"/>
    <mergeCell ref="B17:E17"/>
    <mergeCell ref="C14:E14"/>
    <mergeCell ref="B4:E4"/>
    <mergeCell ref="C13:E13"/>
    <mergeCell ref="C19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21</vt:i4>
      </vt:variant>
    </vt:vector>
  </HeadingPairs>
  <TitlesOfParts>
    <vt:vector size="26" baseType="lpstr">
      <vt:lpstr>Fiche de salaire</vt:lpstr>
      <vt:lpstr>Paramètres</vt:lpstr>
      <vt:lpstr>Employés</vt:lpstr>
      <vt:lpstr>Journal de paie</vt:lpstr>
      <vt:lpstr>Mode d'emploi</vt:lpstr>
      <vt:lpstr>'Fiche de salaire'!Druckbereich</vt:lpstr>
      <vt:lpstr>lpp_coord_ded</vt:lpstr>
      <vt:lpstr>lpp_coord_max</vt:lpstr>
      <vt:lpstr>lpp_coord_min</vt:lpstr>
      <vt:lpstr>lpp_part_sal</vt:lpstr>
      <vt:lpstr>lpp_seuil</vt:lpstr>
      <vt:lpstr>lst_cantons</vt:lpstr>
      <vt:lpstr>lst_etat_civil</vt:lpstr>
      <vt:lpstr>lst_mois</vt:lpstr>
      <vt:lpstr>lst_oui_non</vt:lpstr>
      <vt:lpstr>lst_paiement</vt:lpstr>
      <vt:lpstr>lst_permis</vt:lpstr>
      <vt:lpstr>plafond_ac_mois</vt:lpstr>
      <vt:lpstr>tbl_lpp</vt:lpstr>
      <vt:lpstr>tx_aanp</vt:lpstr>
      <vt:lpstr>tx_aap</vt:lpstr>
      <vt:lpstr>tx_ac</vt:lpstr>
      <vt:lpstr>tx_autres_pat</vt:lpstr>
      <vt:lpstr>tx_avs</vt:lpstr>
      <vt:lpstr>tx_charges_pat</vt:lpstr>
      <vt:lpstr>tx_ijm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Jiménez Canales</cp:lastModifiedBy>
  <dcterms:created xsi:type="dcterms:W3CDTF">2026-09-25T09:08:55Z</dcterms:created>
  <dcterms:modified xsi:type="dcterms:W3CDTF">2026-09-27T17:06:29Z</dcterms:modified>
</cp:coreProperties>
</file>