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ModelesExcel\Generador\"/>
    </mc:Choice>
  </mc:AlternateContent>
  <xr:revisionPtr revIDLastSave="0" documentId="13_ncr:1_{1E82BEF1-AFBF-4F9A-BAB1-6F2F13EBD7ED}" xr6:coauthVersionLast="47" xr6:coauthVersionMax="47" xr10:uidLastSave="{00000000-0000-0000-0000-000000000000}"/>
  <bookViews>
    <workbookView xWindow="1035" yWindow="1035" windowWidth="25500" windowHeight="13500" tabRatio="500" xr2:uid="{00000000-000D-0000-FFFF-FFFF00000000}"/>
  </bookViews>
  <sheets>
    <sheet name="Fiche de salaire" sheetId="4" r:id="rId1"/>
    <sheet name="Mode d'emploi" sheetId="1" r:id="rId2"/>
    <sheet name="Paramètres" sheetId="2" r:id="rId3"/>
    <sheet name="Registre des employés" sheetId="3" r:id="rId4"/>
    <sheet name="Récapitulatif annuel" sheetId="5" r:id="rId5"/>
  </sheets>
  <definedNames>
    <definedName name="Année">Paramètres!$C$6</definedName>
    <definedName name="Coord_min">Paramètres!$G$9</definedName>
    <definedName name="Ded_coordination">Paramètres!$G$8</definedName>
    <definedName name="_xlnm.Print_Area" localSheetId="0">'Fiche de salaire'!$A$1:$H$47</definedName>
    <definedName name="_xlnm.Print_Area" localSheetId="1">'Mode d''emploi'!$A$1:$D$35</definedName>
    <definedName name="_xlnm.Print_Area" localSheetId="2">Paramètres!$A$1:$I$37</definedName>
    <definedName name="_xlnm.Print_Area" localSheetId="4">'Récapitulatif annuel'!$A$1:$N$44</definedName>
    <definedName name="_xlnm.Print_Area" localSheetId="3">'Registre des employés'!$A$1:$M$56</definedName>
    <definedName name="Liste_cantons">Paramètres!$D$26:$D$37</definedName>
    <definedName name="Liste_mois">Paramètres!$B$26:$B$37</definedName>
    <definedName name="Liste_ouinon">Paramètres!$C$26:$C$27</definedName>
    <definedName name="LPP_age_min">Paramètres!$F$16:$F$20</definedName>
    <definedName name="LPP_salaire_max">Paramètres!$G$10</definedName>
    <definedName name="LPP_taux">Paramètres!$H$16:$H$20</definedName>
    <definedName name="Mois_noms">Paramètres!$F$26:$F$37</definedName>
    <definedName name="Mois_num">Paramètres!$G$26:$G$37</definedName>
    <definedName name="Part_salarie_LPP">Paramètres!$G$11</definedName>
    <definedName name="Plafond_AC_annuel">Paramètres!$G$6</definedName>
    <definedName name="Plafond_AC_mensuel">Paramètres!$G$12</definedName>
    <definedName name="Reg_13e">'Registre des employés'!$I$4:$I$52</definedName>
    <definedName name="Reg_AANP">'Registre des employés'!$L$4:$L$52</definedName>
    <definedName name="Reg_Activite">'Registre des employés'!$F$4:$F$52</definedName>
    <definedName name="Reg_AVS">'Registre des employés'!$C$4:$C$52</definedName>
    <definedName name="Reg_Base">'Registre des employés'!$H$4:$H$52</definedName>
    <definedName name="Reg_Canton">'Registre des employés'!$E$4:$E$52</definedName>
    <definedName name="Reg_Entree">'Registre des employés'!$G$4:$G$52</definedName>
    <definedName name="Reg_IJM">'Registre des employés'!$M$4:$M$52</definedName>
    <definedName name="Reg_ImpotOui">'Registre des employés'!$J$4:$J$52</definedName>
    <definedName name="Reg_ImpotTaux">'Registre des employés'!$K$4:$K$52</definedName>
    <definedName name="Reg_Matricule">'Registre des employés'!$A$4:$A$52</definedName>
    <definedName name="Reg_Naissance">'Registre des employés'!$D$4:$D$52</definedName>
    <definedName name="Reg_Nom">'Registre des employés'!$B$4:$B$52</definedName>
    <definedName name="Seuil_LPP">Paramètres!$G$7</definedName>
    <definedName name="Taux_AANP_defaut">Paramètres!$C$13</definedName>
    <definedName name="Taux_AC">Paramètres!$C$12</definedName>
    <definedName name="Taux_admin">Paramètres!$C$21</definedName>
    <definedName name="Taux_AF_employeur">Paramètres!$C$20</definedName>
    <definedName name="Taux_AVS">Paramètres!$C$11</definedName>
    <definedName name="Taux_IJM_defaut">Paramètres!$C$14</definedName>
    <definedName name="Taux_LAA_prof">Paramètres!$C$19</definedName>
    <definedName name="Taux_maternite_GE">Paramètres!$C$15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7" i="5" l="1"/>
  <c r="E17" i="5"/>
  <c r="D17" i="5"/>
  <c r="C17" i="5"/>
  <c r="B15" i="5"/>
  <c r="L14" i="5"/>
  <c r="L12" i="5"/>
  <c r="L10" i="5"/>
  <c r="F10" i="5"/>
  <c r="F8" i="5"/>
  <c r="B8" i="5"/>
  <c r="H8" i="5" s="1"/>
  <c r="F6" i="5"/>
  <c r="B6" i="5"/>
  <c r="H6" i="5" s="1"/>
  <c r="L5" i="5"/>
  <c r="W2" i="5"/>
  <c r="V2" i="5"/>
  <c r="U2" i="5"/>
  <c r="L16" i="5" s="1"/>
  <c r="T2" i="5"/>
  <c r="S2" i="5"/>
  <c r="R2" i="5"/>
  <c r="F9" i="5" s="1"/>
  <c r="Q2" i="5"/>
  <c r="B10" i="5" s="1"/>
  <c r="H10" i="5" s="1"/>
  <c r="F2" i="5"/>
  <c r="P2" i="5" s="1"/>
  <c r="X2" i="5" s="1"/>
  <c r="C72" i="4"/>
  <c r="C73" i="4" s="1"/>
  <c r="C70" i="4"/>
  <c r="F30" i="4" s="1"/>
  <c r="C69" i="4"/>
  <c r="C68" i="4"/>
  <c r="C67" i="4"/>
  <c r="F29" i="4" s="1"/>
  <c r="C66" i="4"/>
  <c r="C65" i="4"/>
  <c r="C64" i="4"/>
  <c r="C63" i="4"/>
  <c r="C71" i="4" s="1"/>
  <c r="F27" i="4" s="1"/>
  <c r="F31" i="4"/>
  <c r="F28" i="4"/>
  <c r="F26" i="4"/>
  <c r="F25" i="4"/>
  <c r="E21" i="4"/>
  <c r="E17" i="4"/>
  <c r="E22" i="4" s="1"/>
  <c r="F13" i="4"/>
  <c r="F12" i="4"/>
  <c r="F11" i="4"/>
  <c r="F10" i="4"/>
  <c r="B7" i="4"/>
  <c r="G6" i="4"/>
  <c r="F14" i="4" s="1"/>
  <c r="J56" i="3"/>
  <c r="G56" i="3"/>
  <c r="D56" i="3"/>
  <c r="A56" i="3"/>
  <c r="G12" i="2"/>
  <c r="E30" i="4" l="1"/>
  <c r="G30" i="4" s="1"/>
  <c r="E29" i="4"/>
  <c r="G29" i="4" s="1"/>
  <c r="E28" i="4"/>
  <c r="G28" i="4" s="1"/>
  <c r="E25" i="4"/>
  <c r="G25" i="4" s="1"/>
  <c r="G44" i="4"/>
  <c r="G42" i="4"/>
  <c r="G45" i="4" s="1"/>
  <c r="E26" i="4"/>
  <c r="G26" i="4" s="1"/>
  <c r="E31" i="4"/>
  <c r="G31" i="4" s="1"/>
  <c r="K6" i="5"/>
  <c r="I6" i="5"/>
  <c r="K8" i="5"/>
  <c r="I8" i="5"/>
  <c r="H15" i="5"/>
  <c r="G43" i="4"/>
  <c r="C74" i="4"/>
  <c r="G27" i="4" s="1"/>
  <c r="E27" i="4"/>
  <c r="K10" i="5"/>
  <c r="I10" i="5"/>
  <c r="L8" i="5"/>
  <c r="F13" i="5"/>
  <c r="B13" i="5"/>
  <c r="H13" i="5" s="1"/>
  <c r="B11" i="5"/>
  <c r="H11" i="5" s="1"/>
  <c r="L6" i="5"/>
  <c r="L17" i="5" s="1"/>
  <c r="F11" i="5"/>
  <c r="B9" i="5"/>
  <c r="H9" i="5" s="1"/>
  <c r="L15" i="5"/>
  <c r="F15" i="5"/>
  <c r="F7" i="5"/>
  <c r="B16" i="5"/>
  <c r="H16" i="5" s="1"/>
  <c r="Y2" i="5"/>
  <c r="F5" i="5"/>
  <c r="B14" i="5"/>
  <c r="L9" i="5"/>
  <c r="F14" i="5"/>
  <c r="F16" i="5"/>
  <c r="B7" i="5"/>
  <c r="L13" i="5"/>
  <c r="L11" i="5"/>
  <c r="L7" i="5"/>
  <c r="F12" i="5"/>
  <c r="B5" i="5"/>
  <c r="B12" i="5"/>
  <c r="H12" i="5" s="1"/>
  <c r="C14" i="4"/>
  <c r="H14" i="5" l="1"/>
  <c r="K15" i="5"/>
  <c r="I15" i="5"/>
  <c r="F17" i="5"/>
  <c r="M8" i="5"/>
  <c r="N8" i="5" s="1"/>
  <c r="K16" i="5"/>
  <c r="I16" i="5"/>
  <c r="M6" i="5"/>
  <c r="N6" i="5" s="1"/>
  <c r="K9" i="5"/>
  <c r="I9" i="5"/>
  <c r="J14" i="5"/>
  <c r="J16" i="5"/>
  <c r="J15" i="5"/>
  <c r="J5" i="5"/>
  <c r="J11" i="5"/>
  <c r="J7" i="5"/>
  <c r="J9" i="5"/>
  <c r="J13" i="5"/>
  <c r="J8" i="5"/>
  <c r="J10" i="5"/>
  <c r="J12" i="5"/>
  <c r="J6" i="5"/>
  <c r="I11" i="5"/>
  <c r="K11" i="5"/>
  <c r="K12" i="5"/>
  <c r="I12" i="5"/>
  <c r="M12" i="5" s="1"/>
  <c r="N12" i="5" s="1"/>
  <c r="H5" i="5"/>
  <c r="B17" i="5"/>
  <c r="K13" i="5"/>
  <c r="I13" i="5"/>
  <c r="M13" i="5" s="1"/>
  <c r="N13" i="5" s="1"/>
  <c r="G32" i="4"/>
  <c r="E35" i="4" s="1"/>
  <c r="E38" i="4" s="1"/>
  <c r="M10" i="5"/>
  <c r="N10" i="5" s="1"/>
  <c r="H7" i="5"/>
  <c r="K5" i="5" l="1"/>
  <c r="I5" i="5"/>
  <c r="H17" i="5"/>
  <c r="A21" i="5" s="1"/>
  <c r="M15" i="5"/>
  <c r="N15" i="5" s="1"/>
  <c r="K7" i="5"/>
  <c r="I7" i="5"/>
  <c r="J17" i="5"/>
  <c r="M9" i="5"/>
  <c r="N9" i="5" s="1"/>
  <c r="M16" i="5"/>
  <c r="N16" i="5" s="1"/>
  <c r="M11" i="5"/>
  <c r="N11" i="5" s="1"/>
  <c r="K14" i="5"/>
  <c r="I14" i="5"/>
  <c r="M14" i="5" s="1"/>
  <c r="N14" i="5" s="1"/>
  <c r="I17" i="5" l="1"/>
  <c r="M5" i="5"/>
  <c r="M7" i="5"/>
  <c r="N7" i="5" s="1"/>
  <c r="K17" i="5"/>
  <c r="M17" i="5" l="1"/>
  <c r="N5" i="5"/>
  <c r="N17" i="5" s="1"/>
  <c r="F24" i="5" l="1"/>
  <c r="K21" i="5"/>
  <c r="A24" i="5"/>
  <c r="F21" i="5"/>
</calcChain>
</file>

<file path=xl/sharedStrings.xml><?xml version="1.0" encoding="utf-8"?>
<sst xmlns="http://schemas.openxmlformats.org/spreadsheetml/2006/main" count="293" uniqueCount="217">
  <si>
    <t>Fiche de salaire suisse — mode d'emploi</t>
  </si>
  <si>
    <t>Modèle Excel pour établir des décomptes de salaire mensuels · Année 2027</t>
  </si>
  <si>
    <t xml:space="preserve">  À quoi sert ce fichier ?</t>
  </si>
  <si>
    <t>Ce classeur permet d'établir des fiches de salaire suisses conformes à l'article 323b du Code des obligations : un décompte clair qui fait apparaître, ligne par ligne, le passage du salaire brut au salaire net. Il convient aux TPE, PME, associations et employeurs de personnel domestique qui gèrent quelques collaborateurs non soumis à des barèmes cantonaux complexes.</t>
  </si>
  <si>
    <t xml:space="preserve">  Les 5 feuilles du classeur</t>
  </si>
  <si>
    <t>▪</t>
  </si>
  <si>
    <t>Mode d'emploi — la présente notice.</t>
  </si>
  <si>
    <t>Paramètres — taux de cotisations, plafonds LPP et listes déroulantes. À vérifier chaque année.</t>
  </si>
  <si>
    <t>Registre des employés — la liste de vos collaborateurs et leurs données de paie.</t>
  </si>
  <si>
    <t>Fiche de salaire — le décompte mensuel individuel, prêt à imprimer ou exporter en PDF.</t>
  </si>
  <si>
    <t>Récapitulatif annuel — les cumuls sur 12 mois d'un collaborateur, utiles pour le certificat de salaire.</t>
  </si>
  <si>
    <t xml:space="preserve">  Comment l'utiliser en 5 étapes</t>
  </si>
  <si>
    <t>Ouvrez la feuille « Paramètres » et contrôlez les taux et plafonds de l'année en cours.</t>
  </si>
  <si>
    <t>Dans « Registre des employés », saisissez vos collaborateurs (une ligne chacun).</t>
  </si>
  <si>
    <t>Ouvrez « Fiche de salaire », choisissez un collaborateur et un mois dans les listes déroulantes.</t>
  </si>
  <si>
    <t>Complétez les montants variables du mois (heures supplémentaires, primes, allocations, frais).</t>
  </si>
  <si>
    <t>Imprimez ou exportez la fiche en PDF ; suivez les cumuls dans « Récapitulatif annuel ».</t>
  </si>
  <si>
    <t xml:space="preserve">  Code couleur des cellules</t>
  </si>
  <si>
    <t>À compléter par vous : cellules à saisir ou à modifier (fond jaune, bordure or).</t>
  </si>
  <si>
    <t>Données de référence : informations reprises telles quelles (fond blanc).</t>
  </si>
  <si>
    <t>Sous-totaux : totaux intermédiaires calculés automatiquement.</t>
  </si>
  <si>
    <t>Résultats clés : brut, cumuls et lignes de synthèse (fond foncé).</t>
  </si>
  <si>
    <t xml:space="preserve">  Bon à savoir</t>
  </si>
  <si>
    <t>•</t>
  </si>
  <si>
    <t>Monnaie : franc suisse (CHF). Les fiches de salaire suisses ne s'expriment pas en euros.</t>
  </si>
  <si>
    <t>Les allocations familiales et les remboursements de frais s'ajoutent APRÈS les déductions : ils ne sont pas soumis aux cotisations.</t>
  </si>
  <si>
    <t>La cotisation LPP dépend de l'âge du collaborateur et du salaire coordonné ; elle est calculée automatiquement.</t>
  </si>
  <si>
    <t>L'impôt à la source n'est prélevé que pour les collaborateurs marqués « Oui » dans le registre (permis B/L, frontaliers).</t>
  </si>
  <si>
    <t>Le montant net à payer est arrondi aux 5 centimes, comme dans la pratique suisse.</t>
  </si>
  <si>
    <t>Ce modèle couvre les cas simples. Pour des frontaliers ou plusieurs cantons, un logiciel certifié Swissdec reste recommandé.</t>
  </si>
  <si>
    <t>Les données présentes sont des exemples fictifs : remplacez-les par vos propres informations.</t>
  </si>
  <si>
    <t>PARAMÈTRES DE PAIE</t>
  </si>
  <si>
    <t>Modifiez uniquement les cellules en fond jaune</t>
  </si>
  <si>
    <t>Ces valeurs alimentent automatiquement toutes les fiches. Vérifiez chaque année les taux et plafonds auprès des sources officielles (OFAS / AFC) avant d'établir vos paies.</t>
  </si>
  <si>
    <t xml:space="preserve">  Général</t>
  </si>
  <si>
    <t xml:space="preserve">  Plafonds &amp; prévoyance (LPP)</t>
  </si>
  <si>
    <t>Année de référence</t>
  </si>
  <si>
    <t>◄ à saisir</t>
  </si>
  <si>
    <t>Plafond annuel AC</t>
  </si>
  <si>
    <t>Devise</t>
  </si>
  <si>
    <t>CHF</t>
  </si>
  <si>
    <t>Seuil d'entrée LPP (annuel)</t>
  </si>
  <si>
    <t>Déduction de coordination</t>
  </si>
  <si>
    <t xml:space="preserve">  Cotisations sociales — part salarié</t>
  </si>
  <si>
    <t>Salaire coordonné minimal</t>
  </si>
  <si>
    <t>Cotisation</t>
  </si>
  <si>
    <t>Taux</t>
  </si>
  <si>
    <t>Base / plafond</t>
  </si>
  <si>
    <t>Salaire LPP maximal assuré</t>
  </si>
  <si>
    <t>AVS / AI / APG</t>
  </si>
  <si>
    <t>Totalité du salaire</t>
  </si>
  <si>
    <t>Part salarié LPP</t>
  </si>
  <si>
    <t>Assurance-chômage (AC)</t>
  </si>
  <si>
    <t>Jusqu'au plafond annuel</t>
  </si>
  <si>
    <t>Plafond AC mensuel (calculé)</t>
  </si>
  <si>
    <t>Accidents non prof. (AANP)*</t>
  </si>
  <si>
    <t>Défaut — selon assureur</t>
  </si>
  <si>
    <t>Indemnité journ. maladie (IJM)*</t>
  </si>
  <si>
    <t>Défaut — selon contrat</t>
  </si>
  <si>
    <t xml:space="preserve">  Bonification LPP par tranche d'âge</t>
  </si>
  <si>
    <t>Cotisation maternité (GE)</t>
  </si>
  <si>
    <t>Uniquement canton GE</t>
  </si>
  <si>
    <t>Âge dès</t>
  </si>
  <si>
    <t>Âge à</t>
  </si>
  <si>
    <t>Taux total</t>
  </si>
  <si>
    <t>* AANP et IJM peuvent être ajustés par employé dans le registre.</t>
  </si>
  <si>
    <t xml:space="preserve">  Charges patronales (indicatif)</t>
  </si>
  <si>
    <t>LAA prof. (AAP) — employeur</t>
  </si>
  <si>
    <t>Allocations familiales — employeur</t>
  </si>
  <si>
    <t>Frais d'administration LPP/caisse</t>
  </si>
  <si>
    <t xml:space="preserve">  Listes déroulantes</t>
  </si>
  <si>
    <t xml:space="preserve">  Correspondance mois → n°</t>
  </si>
  <si>
    <t>Mois</t>
  </si>
  <si>
    <t>Oui / Non</t>
  </si>
  <si>
    <t>Cantons</t>
  </si>
  <si>
    <t>N°</t>
  </si>
  <si>
    <t>Janvier</t>
  </si>
  <si>
    <t>Oui</t>
  </si>
  <si>
    <t>GE</t>
  </si>
  <si>
    <t>Février</t>
  </si>
  <si>
    <t>Non</t>
  </si>
  <si>
    <t>VD</t>
  </si>
  <si>
    <t>Mars</t>
  </si>
  <si>
    <t>VS</t>
  </si>
  <si>
    <t>Avril</t>
  </si>
  <si>
    <t>FR</t>
  </si>
  <si>
    <t>Mai</t>
  </si>
  <si>
    <t>NE</t>
  </si>
  <si>
    <t>Juin</t>
  </si>
  <si>
    <t>JU</t>
  </si>
  <si>
    <t>Juillet</t>
  </si>
  <si>
    <t>BE</t>
  </si>
  <si>
    <t>Août</t>
  </si>
  <si>
    <t>ZH</t>
  </si>
  <si>
    <t>Septembre</t>
  </si>
  <si>
    <t>ZG</t>
  </si>
  <si>
    <t>Octobre</t>
  </si>
  <si>
    <t>LU</t>
  </si>
  <si>
    <t>Novembre</t>
  </si>
  <si>
    <t>TI</t>
  </si>
  <si>
    <t>Décembre</t>
  </si>
  <si>
    <t>BS</t>
  </si>
  <si>
    <t>REGISTRE DES EMPLOYÉS</t>
  </si>
  <si>
    <t>Saisissez ici vos collaborateurs. Ces informations remplissent automatiquement la fiche de salaire et le récapitulatif annuel. Les cellules en jaune sont à compléter ; les colonnes grisées sont calculées.</t>
  </si>
  <si>
    <t>Matricule</t>
  </si>
  <si>
    <t>Nom et prénom</t>
  </si>
  <si>
    <t>N° AVS</t>
  </si>
  <si>
    <t>Date de naissance</t>
  </si>
  <si>
    <t>Canton</t>
  </si>
  <si>
    <t>Taux d'activité</t>
  </si>
  <si>
    <t>Date d'entrée</t>
  </si>
  <si>
    <t>Salaire mensuel de base</t>
  </si>
  <si>
    <t>13e salaire</t>
  </si>
  <si>
    <t>Soumis impôt source</t>
  </si>
  <si>
    <t>Taux impôt source</t>
  </si>
  <si>
    <t>Taux AANP</t>
  </si>
  <si>
    <t>Taux IJM</t>
  </si>
  <si>
    <t>E-001</t>
  </si>
  <si>
    <t>Margaux Rossier</t>
  </si>
  <si>
    <t>756.1234.5678.90</t>
  </si>
  <si>
    <t>E-002</t>
  </si>
  <si>
    <t>Thibault Nicolet</t>
  </si>
  <si>
    <t>756.2345.6789.01</t>
  </si>
  <si>
    <t>E-003</t>
  </si>
  <si>
    <t>Léa Voutaz</t>
  </si>
  <si>
    <t>756.3456.7890.12</t>
  </si>
  <si>
    <t>E-004</t>
  </si>
  <si>
    <t>Damien Fauchère</t>
  </si>
  <si>
    <t>756.4567.8901.23</t>
  </si>
  <si>
    <t>E-005</t>
  </si>
  <si>
    <t>Sabrina Progin</t>
  </si>
  <si>
    <t>756.5678.9012.34</t>
  </si>
  <si>
    <t xml:space="preserve">  SYNTHÈSE DE L'EFFECTIF</t>
  </si>
  <si>
    <t>Effectif inscrit</t>
  </si>
  <si>
    <t>Masse salariale mensuelle de base</t>
  </si>
  <si>
    <t>Taux d'activité moyen</t>
  </si>
  <si>
    <t>Collaborateurs soumis à l'impôt source</t>
  </si>
  <si>
    <t>Décompte mensuel de rémunération — conforme à l'art. 323b CO</t>
  </si>
  <si>
    <t>SÉLECTION</t>
  </si>
  <si>
    <t>Choisissez le collaborateur et la période dans les listes déroulantes</t>
  </si>
  <si>
    <t>Collaborateur</t>
  </si>
  <si>
    <t xml:space="preserve">  Employeur</t>
  </si>
  <si>
    <t xml:space="preserve">  Collaborateur</t>
  </si>
  <si>
    <t>Raison sociale</t>
  </si>
  <si>
    <t>Atelier Horizon Sàrl</t>
  </si>
  <si>
    <t>Adresse</t>
  </si>
  <si>
    <t>Rue des Alpes 12</t>
  </si>
  <si>
    <t>NPA / Localité</t>
  </si>
  <si>
    <t>1201 Genève</t>
  </si>
  <si>
    <t>N° IDE</t>
  </si>
  <si>
    <t>CHE-123.456.789</t>
  </si>
  <si>
    <t>Canton de travail</t>
  </si>
  <si>
    <t>Période de paie</t>
  </si>
  <si>
    <t>Date de versement</t>
  </si>
  <si>
    <t xml:space="preserve">  Gains</t>
  </si>
  <si>
    <t>Montant</t>
  </si>
  <si>
    <t>Salaire de base</t>
  </si>
  <si>
    <t>Heures supplémentaires</t>
  </si>
  <si>
    <t>Prime / bonus</t>
  </si>
  <si>
    <t>Commissions</t>
  </si>
  <si>
    <t>13e salaire (part du mois)</t>
  </si>
  <si>
    <t>Salaire brut soumis aux cotisations</t>
  </si>
  <si>
    <t xml:space="preserve">  Déductions sociales et fiscales</t>
  </si>
  <si>
    <t>Base</t>
  </si>
  <si>
    <t>LPP (2e pilier)</t>
  </si>
  <si>
    <t>Accidents non prof. (AANP)</t>
  </si>
  <si>
    <t>Indemnité journalière maladie (IJM)</t>
  </si>
  <si>
    <t>Impôt à la source</t>
  </si>
  <si>
    <t>Total des déductions</t>
  </si>
  <si>
    <t xml:space="preserve">  Résultat</t>
  </si>
  <si>
    <t>Salaire net (après déductions)</t>
  </si>
  <si>
    <t>+ Allocations familiales (non soumises)</t>
  </si>
  <si>
    <t>+ Remboursement de frais (non soumis)</t>
  </si>
  <si>
    <t>NET À PAYER</t>
  </si>
  <si>
    <t>Montant arrondi aux 5 centimes et versé par virement bancaire.</t>
  </si>
  <si>
    <t xml:space="preserve">  Coût employeur (indicatif)</t>
  </si>
  <si>
    <t>AVS/AI/APG + AC (part employeur)</t>
  </si>
  <si>
    <t>LPP (part employeur)</t>
  </si>
  <si>
    <t>LAA prof. + alloc. + admin. (employeur)</t>
  </si>
  <si>
    <t>Coût total employeur (brut + charges)</t>
  </si>
  <si>
    <t>Zone de calcul (ne pas modifier)</t>
  </si>
  <si>
    <t>age</t>
  </si>
  <si>
    <t>base</t>
  </si>
  <si>
    <t>13e</t>
  </si>
  <si>
    <t>aanp</t>
  </si>
  <si>
    <t>ijm</t>
  </si>
  <si>
    <t>impot_oui</t>
  </si>
  <si>
    <t>impot_tx</t>
  </si>
  <si>
    <t>canton</t>
  </si>
  <si>
    <t>lpp_taux</t>
  </si>
  <si>
    <t>salaire_annuel</t>
  </si>
  <si>
    <t>coordonne</t>
  </si>
  <si>
    <t>lpp_mensuel</t>
  </si>
  <si>
    <t>RÉCAPITULATIF ANNUEL DES SALAIRES</t>
  </si>
  <si>
    <t>âge</t>
  </si>
  <si>
    <t>coord_an</t>
  </si>
  <si>
    <t>Collaborateur :</t>
  </si>
  <si>
    <t>Année :</t>
  </si>
  <si>
    <t>Colonnes en jaune modifiables par mois ; le reste est calculé. Récapitulatif de salaire, hors remboursements de frais (non soumis, variables).</t>
  </si>
  <si>
    <t>Heures supp.</t>
  </si>
  <si>
    <t>Primes</t>
  </si>
  <si>
    <t>Allocations</t>
  </si>
  <si>
    <t>Brut soumis</t>
  </si>
  <si>
    <t>AVS/AC</t>
  </si>
  <si>
    <t>LPP</t>
  </si>
  <si>
    <t>Autres cotis.</t>
  </si>
  <si>
    <t>Impôt source</t>
  </si>
  <si>
    <t>Total déductions</t>
  </si>
  <si>
    <t>Net versé</t>
  </si>
  <si>
    <t>TOTAL / CUMULS</t>
  </si>
  <si>
    <t xml:space="preserve">  INDICATEURS ANNUELS</t>
  </si>
  <si>
    <t>Salaire brut annuel</t>
  </si>
  <si>
    <t>Net annuel versé</t>
  </si>
  <si>
    <t>Taux de déduction moyen</t>
  </si>
  <si>
    <t>Net mensuel moyen</t>
  </si>
  <si>
    <t xml:space="preserve">  Évolution mensuelle : brut soumis vs net versé</t>
  </si>
  <si>
    <t>FICHE DE SALAIRE SUISSE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</si>
</sst>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 CHF&quot;"/>
    <numFmt numFmtId="165" formatCode="#,##0.00&quot; CHF&quot;"/>
    <numFmt numFmtId="166" formatCode="0.0%"/>
  </numFmts>
  <fonts count="32" x14ac:knownFonts="1">
    <font>
      <sz val="11"/>
      <color theme="1"/>
      <name val="Calibri"/>
      <family val="2"/>
      <charset val="1"/>
    </font>
    <font>
      <b/>
      <sz val="20"/>
      <color rgb="FFFFFFFF"/>
      <name val="Calibri"/>
      <charset val="1"/>
    </font>
    <font>
      <i/>
      <sz val="10.5"/>
      <color rgb="FFD8E0E3"/>
      <name val="Calibri"/>
      <charset val="1"/>
    </font>
    <font>
      <b/>
      <sz val="12"/>
      <color rgb="FFFFFFFF"/>
      <name val="Calibri"/>
      <charset val="1"/>
    </font>
    <font>
      <sz val="10.5"/>
      <color rgb="FF6B7580"/>
      <name val="Calibri"/>
      <charset val="1"/>
    </font>
    <font>
      <b/>
      <sz val="10"/>
      <color rgb="FF2E7D7B"/>
      <name val="Calibri"/>
      <charset val="1"/>
    </font>
    <font>
      <sz val="10.5"/>
      <color rgb="FF1A1F24"/>
      <name val="Calibri"/>
      <charset val="1"/>
    </font>
    <font>
      <b/>
      <sz val="11"/>
      <color rgb="FFFFFFFF"/>
      <name val="Calibri"/>
      <charset val="1"/>
    </font>
    <font>
      <b/>
      <sz val="11"/>
      <color rgb="FFC9A227"/>
      <name val="Calibri"/>
      <charset val="1"/>
    </font>
    <font>
      <b/>
      <sz val="15"/>
      <color rgb="FFFFFFFF"/>
      <name val="Calibri"/>
      <charset val="1"/>
    </font>
    <font>
      <i/>
      <sz val="9"/>
      <color rgb="FFFFFFFF"/>
      <name val="Calibri"/>
      <charset val="1"/>
    </font>
    <font>
      <i/>
      <sz val="9"/>
      <color rgb="FF6B7580"/>
      <name val="Calibri"/>
      <charset val="1"/>
    </font>
    <font>
      <sz val="10"/>
      <color rgb="FF1A1F24"/>
      <name val="Calibri"/>
      <charset val="1"/>
    </font>
    <font>
      <b/>
      <sz val="10"/>
      <color rgb="FF1A1F24"/>
      <name val="Calibri"/>
      <charset val="1"/>
    </font>
    <font>
      <i/>
      <sz val="8"/>
      <color rgb="FF6B7580"/>
      <name val="Calibri"/>
      <charset val="1"/>
    </font>
    <font>
      <b/>
      <sz val="9"/>
      <color rgb="FFFFFFFF"/>
      <name val="Calibri"/>
      <charset val="1"/>
    </font>
    <font>
      <sz val="9"/>
      <color rgb="FF6B7580"/>
      <name val="Calibri"/>
      <charset val="1"/>
    </font>
    <font>
      <b/>
      <sz val="14"/>
      <color rgb="FF1F3A4D"/>
      <name val="Calibri"/>
      <charset val="1"/>
    </font>
    <font>
      <b/>
      <sz val="18"/>
      <color rgb="FFFFFFFF"/>
      <name val="Calibri"/>
      <charset val="1"/>
    </font>
    <font>
      <i/>
      <sz val="9.5"/>
      <color rgb="FFD8E0E3"/>
      <name val="Calibri"/>
      <charset val="1"/>
    </font>
    <font>
      <i/>
      <sz val="8.5"/>
      <color rgb="FFFFFFFF"/>
      <name val="Calibri"/>
      <charset val="1"/>
    </font>
    <font>
      <b/>
      <sz val="11"/>
      <color rgb="FF1A1F24"/>
      <name val="Calibri"/>
      <charset val="1"/>
    </font>
    <font>
      <b/>
      <sz val="10"/>
      <color rgb="FFFFFFFF"/>
      <name val="Calibri"/>
      <charset val="1"/>
    </font>
    <font>
      <sz val="10"/>
      <color rgb="FF9E3B2E"/>
      <name val="Calibri"/>
      <charset val="1"/>
    </font>
    <font>
      <b/>
      <sz val="11"/>
      <color rgb="FF9E3B2E"/>
      <name val="Calibri"/>
      <charset val="1"/>
    </font>
    <font>
      <b/>
      <sz val="13"/>
      <color rgb="FFFFFFFF"/>
      <name val="Calibri"/>
      <charset val="1"/>
    </font>
    <font>
      <i/>
      <sz val="8.5"/>
      <color rgb="FF6B7580"/>
      <name val="Calibri"/>
      <charset val="1"/>
    </font>
    <font>
      <b/>
      <sz val="11"/>
      <color rgb="FF1F3A4D"/>
      <name val="Calibri"/>
      <charset val="1"/>
    </font>
    <font>
      <b/>
      <sz val="8"/>
      <color rgb="FF6B7580"/>
      <name val="Calibri"/>
      <charset val="1"/>
    </font>
    <font>
      <sz val="8"/>
      <color rgb="FF6B7580"/>
      <name val="Calibri"/>
      <charset val="1"/>
    </font>
    <font>
      <b/>
      <sz val="10"/>
      <color rgb="FF1F3A4D"/>
      <name val="Calibri"/>
      <charset val="1"/>
    </font>
    <font>
      <b/>
      <sz val="15"/>
      <color rgb="FF1F3A4D"/>
      <name val="Calibri"/>
      <charset val="1"/>
    </font>
  </fonts>
  <fills count="9">
    <fill>
      <patternFill patternType="none"/>
    </fill>
    <fill>
      <patternFill patternType="gray125"/>
    </fill>
    <fill>
      <patternFill patternType="solid">
        <fgColor rgb="FF1F3A4D"/>
        <bgColor rgb="FF003366"/>
      </patternFill>
    </fill>
    <fill>
      <patternFill patternType="solid">
        <fgColor rgb="FF2E7D7B"/>
        <bgColor rgb="FF008080"/>
      </patternFill>
    </fill>
    <fill>
      <patternFill patternType="solid">
        <fgColor rgb="FFC9A227"/>
        <bgColor rgb="FF99CC00"/>
      </patternFill>
    </fill>
    <fill>
      <patternFill patternType="solid">
        <fgColor rgb="FFFFF6D6"/>
        <bgColor rgb="FFFFFFFF"/>
      </patternFill>
    </fill>
    <fill>
      <patternFill patternType="solid">
        <fgColor rgb="FFFFFFFF"/>
        <bgColor rgb="FFFFF6D6"/>
      </patternFill>
    </fill>
    <fill>
      <patternFill patternType="solid">
        <fgColor rgb="FFEAE3D6"/>
        <bgColor rgb="FFDDE3E6"/>
      </patternFill>
    </fill>
    <fill>
      <patternFill patternType="solid">
        <fgColor rgb="FFEAF0F1"/>
        <bgColor rgb="FFD8ECEB"/>
      </patternFill>
    </fill>
  </fills>
  <borders count="9">
    <border>
      <left/>
      <right/>
      <top/>
      <bottom/>
      <diagonal/>
    </border>
    <border>
      <left style="thin">
        <color rgb="FFC9A227"/>
      </left>
      <right style="thin">
        <color rgb="FFC9A227"/>
      </right>
      <top style="thin">
        <color rgb="FFC9A227"/>
      </top>
      <bottom style="thin">
        <color rgb="FFC9A227"/>
      </bottom>
      <diagonal/>
    </border>
    <border>
      <left style="thin">
        <color rgb="FFDDE3E6"/>
      </left>
      <right style="thin">
        <color rgb="FFDDE3E6"/>
      </right>
      <top style="thin">
        <color rgb="FFDDE3E6"/>
      </top>
      <bottom style="thin">
        <color rgb="FFDDE3E6"/>
      </bottom>
      <diagonal/>
    </border>
    <border>
      <left style="thin">
        <color rgb="FFC9CFD3"/>
      </left>
      <right style="thin">
        <color rgb="FFC9CFD3"/>
      </right>
      <top style="thin">
        <color rgb="FFC9CFD3"/>
      </top>
      <bottom style="thin">
        <color rgb="FFC9CFD3"/>
      </bottom>
      <diagonal/>
    </border>
    <border>
      <left style="thin">
        <color rgb="FF1F3A4D"/>
      </left>
      <right style="thin">
        <color rgb="FF1F3A4D"/>
      </right>
      <top style="thin">
        <color rgb="FF1F3A4D"/>
      </top>
      <bottom style="thin">
        <color rgb="FF1F3A4D"/>
      </bottom>
      <diagonal/>
    </border>
    <border>
      <left/>
      <right/>
      <top/>
      <bottom style="thin">
        <color rgb="FFDDE3E6"/>
      </bottom>
      <diagonal/>
    </border>
    <border>
      <left style="thin">
        <color rgb="FF2E7D7B"/>
      </left>
      <right style="thin">
        <color rgb="FF2E7D7B"/>
      </right>
      <top style="thin">
        <color rgb="FF2E7D7B"/>
      </top>
      <bottom style="thin">
        <color rgb="FF2E7D7B"/>
      </bottom>
      <diagonal/>
    </border>
    <border>
      <left style="thin">
        <color rgb="FFC9A227"/>
      </left>
      <right/>
      <top style="thin">
        <color rgb="FFC9A227"/>
      </top>
      <bottom style="thin">
        <color rgb="FFC9A227"/>
      </bottom>
      <diagonal/>
    </border>
    <border>
      <left/>
      <right/>
      <top style="thin">
        <color rgb="FFC9CFD3"/>
      </top>
      <bottom style="thin">
        <color rgb="FFC9CFD3"/>
      </bottom>
      <diagonal/>
    </border>
  </borders>
  <cellStyleXfs count="1">
    <xf numFmtId="0" fontId="0" fillId="0" borderId="0"/>
  </cellStyleXfs>
  <cellXfs count="105">
    <xf numFmtId="0" fontId="0" fillId="0" borderId="0" xfId="0"/>
    <xf numFmtId="0" fontId="15" fillId="4" borderId="0" xfId="0" applyFont="1" applyFill="1" applyAlignment="1">
      <alignment horizontal="left" vertical="center"/>
    </xf>
    <xf numFmtId="0" fontId="19" fillId="2" borderId="0" xfId="0" applyFont="1" applyFill="1" applyAlignment="1">
      <alignment horizontal="left" vertical="center"/>
    </xf>
    <xf numFmtId="0" fontId="18" fillId="2" borderId="0" xfId="0" applyFont="1" applyFill="1" applyAlignment="1">
      <alignment horizontal="left" vertical="center"/>
    </xf>
    <xf numFmtId="0" fontId="16" fillId="0" borderId="0" xfId="0" applyFont="1" applyAlignment="1">
      <alignment horizontal="left" vertical="center"/>
    </xf>
    <xf numFmtId="0" fontId="7" fillId="2" borderId="0" xfId="0" applyFont="1" applyFill="1" applyAlignment="1">
      <alignment horizontal="left" vertical="center"/>
    </xf>
    <xf numFmtId="0" fontId="14" fillId="0" borderId="0" xfId="0" applyFont="1"/>
    <xf numFmtId="0" fontId="7" fillId="3" borderId="0" xfId="0" applyFont="1" applyFill="1" applyAlignment="1">
      <alignment horizontal="left" vertical="center"/>
    </xf>
    <xf numFmtId="0" fontId="11" fillId="0" borderId="0" xfId="0" applyFont="1" applyAlignment="1">
      <alignment horizontal="left" vertical="center" wrapText="1"/>
    </xf>
    <xf numFmtId="0" fontId="10" fillId="2" borderId="0" xfId="0" applyFont="1" applyFill="1" applyAlignment="1">
      <alignment horizontal="right" vertical="center"/>
    </xf>
    <xf numFmtId="0" fontId="9" fillId="2" borderId="0" xfId="0" applyFont="1" applyFill="1" applyAlignment="1">
      <alignment horizontal="left" vertical="center"/>
    </xf>
    <xf numFmtId="0" fontId="4" fillId="0" borderId="0" xfId="0" applyFont="1" applyAlignment="1">
      <alignment horizontal="left" vertical="top" wrapText="1"/>
    </xf>
    <xf numFmtId="0" fontId="3" fillId="3" borderId="0" xfId="0" applyFont="1" applyFill="1" applyAlignment="1">
      <alignment horizontal="left" vertical="center"/>
    </xf>
    <xf numFmtId="0" fontId="2" fillId="2" borderId="0" xfId="0" applyFont="1" applyFill="1" applyAlignment="1">
      <alignment horizontal="left" vertical="center"/>
    </xf>
    <xf numFmtId="0" fontId="1" fillId="2" borderId="0" xfId="0" applyFont="1" applyFill="1" applyAlignment="1">
      <alignment horizontal="left" vertical="center"/>
    </xf>
    <xf numFmtId="0" fontId="4" fillId="0" borderId="0" xfId="0" applyFont="1" applyAlignment="1">
      <alignment horizontal="left" vertical="top" wrapText="1"/>
    </xf>
    <xf numFmtId="0" fontId="5" fillId="0" borderId="0" xfId="0" applyFont="1" applyAlignment="1">
      <alignment horizontal="center" vertical="center" wrapText="1"/>
    </xf>
    <xf numFmtId="0" fontId="6" fillId="0" borderId="0" xfId="0" applyFont="1" applyAlignment="1">
      <alignment horizontal="left" vertical="top" wrapText="1"/>
    </xf>
    <xf numFmtId="0" fontId="7" fillId="4" borderId="0" xfId="0" applyFont="1" applyFill="1" applyAlignment="1">
      <alignment horizontal="center" vertical="center" wrapText="1"/>
    </xf>
    <xf numFmtId="0" fontId="0" fillId="5" borderId="1" xfId="0" applyFill="1" applyBorder="1"/>
    <xf numFmtId="0" fontId="0" fillId="6" borderId="2" xfId="0" applyFill="1" applyBorder="1"/>
    <xf numFmtId="0" fontId="0" fillId="7" borderId="3" xfId="0" applyFill="1" applyBorder="1"/>
    <xf numFmtId="0" fontId="0" fillId="2" borderId="4" xfId="0" applyFill="1" applyBorder="1"/>
    <xf numFmtId="0" fontId="8" fillId="0" borderId="0" xfId="0" applyFont="1" applyAlignment="1">
      <alignment horizontal="center" vertical="center" wrapText="1"/>
    </xf>
    <xf numFmtId="0" fontId="0" fillId="2" borderId="0" xfId="0" applyFill="1"/>
    <xf numFmtId="0" fontId="12" fillId="0" borderId="0" xfId="0" applyFont="1"/>
    <xf numFmtId="1" fontId="13" fillId="5" borderId="1" xfId="0" applyNumberFormat="1" applyFont="1" applyFill="1" applyBorder="1" applyAlignment="1">
      <alignment horizontal="center" vertical="center" wrapText="1"/>
    </xf>
    <xf numFmtId="0" fontId="14" fillId="0" borderId="0" xfId="0" applyFont="1"/>
    <xf numFmtId="0" fontId="12" fillId="0" borderId="5" xfId="0" applyFont="1" applyBorder="1"/>
    <xf numFmtId="164" fontId="13" fillId="5" borderId="1" xfId="0" applyNumberFormat="1" applyFont="1" applyFill="1" applyBorder="1" applyAlignment="1">
      <alignment horizontal="center" vertical="center" wrapText="1"/>
    </xf>
    <xf numFmtId="0" fontId="13" fillId="0" borderId="2" xfId="0" applyFont="1" applyBorder="1" applyAlignment="1">
      <alignment horizontal="center" vertical="center" wrapText="1"/>
    </xf>
    <xf numFmtId="0" fontId="15" fillId="2" borderId="4" xfId="0" applyFont="1" applyFill="1" applyBorder="1" applyAlignment="1">
      <alignment horizontal="center" vertical="center" wrapText="1"/>
    </xf>
    <xf numFmtId="10" fontId="13" fillId="5" borderId="1" xfId="0" applyNumberFormat="1" applyFont="1" applyFill="1" applyBorder="1" applyAlignment="1">
      <alignment horizontal="center" vertical="center" wrapText="1"/>
    </xf>
    <xf numFmtId="0" fontId="16" fillId="0" borderId="5" xfId="0" applyFont="1" applyBorder="1" applyAlignment="1">
      <alignment horizontal="left" vertical="center"/>
    </xf>
    <xf numFmtId="165" fontId="5" fillId="0" borderId="2" xfId="0" applyNumberFormat="1" applyFont="1" applyBorder="1" applyAlignment="1">
      <alignment horizontal="center" vertical="center" wrapText="1"/>
    </xf>
    <xf numFmtId="3" fontId="12" fillId="0" borderId="2" xfId="0" applyNumberFormat="1" applyFont="1" applyBorder="1" applyAlignment="1">
      <alignment horizontal="center" vertical="center" wrapText="1"/>
    </xf>
    <xf numFmtId="10" fontId="12" fillId="0" borderId="2" xfId="0" applyNumberFormat="1" applyFont="1" applyBorder="1" applyAlignment="1">
      <alignment horizontal="center" vertical="center" wrapText="1"/>
    </xf>
    <xf numFmtId="0" fontId="12" fillId="0" borderId="5" xfId="0" applyFont="1" applyBorder="1" applyAlignment="1">
      <alignment horizontal="left" vertical="center"/>
    </xf>
    <xf numFmtId="0" fontId="12" fillId="0" borderId="5" xfId="0" applyFont="1" applyBorder="1" applyAlignment="1">
      <alignment horizontal="center" vertical="center" wrapText="1"/>
    </xf>
    <xf numFmtId="3" fontId="12" fillId="0" borderId="5" xfId="0" applyNumberFormat="1" applyFont="1" applyBorder="1" applyAlignment="1">
      <alignment horizontal="center" vertical="center" wrapText="1"/>
    </xf>
    <xf numFmtId="0" fontId="15" fillId="3" borderId="6"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2" xfId="0" applyFont="1" applyFill="1" applyBorder="1" applyAlignment="1">
      <alignment horizontal="left" vertical="center"/>
    </xf>
    <xf numFmtId="14" fontId="12" fillId="6" borderId="2" xfId="0" applyNumberFormat="1" applyFont="1" applyFill="1" applyBorder="1" applyAlignment="1">
      <alignment horizontal="center" vertical="center" wrapText="1"/>
    </xf>
    <xf numFmtId="166" fontId="12" fillId="6" borderId="2" xfId="0" applyNumberFormat="1" applyFont="1" applyFill="1" applyBorder="1" applyAlignment="1">
      <alignment horizontal="center" vertical="center" wrapText="1"/>
    </xf>
    <xf numFmtId="165" fontId="12" fillId="6" borderId="2" xfId="0" applyNumberFormat="1" applyFont="1" applyFill="1" applyBorder="1" applyAlignment="1">
      <alignment horizontal="center" vertical="center" wrapText="1"/>
    </xf>
    <xf numFmtId="10" fontId="12" fillId="6" borderId="2" xfId="0" applyNumberFormat="1"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left" vertical="center"/>
    </xf>
    <xf numFmtId="14" fontId="12" fillId="0" borderId="2" xfId="0" applyNumberFormat="1" applyFont="1" applyBorder="1" applyAlignment="1">
      <alignment horizontal="center" vertical="center" wrapText="1"/>
    </xf>
    <xf numFmtId="166" fontId="12" fillId="0" borderId="2" xfId="0" applyNumberFormat="1" applyFont="1" applyBorder="1" applyAlignment="1">
      <alignment horizontal="center" vertical="center" wrapText="1"/>
    </xf>
    <xf numFmtId="165" fontId="12" fillId="0" borderId="2" xfId="0" applyNumberFormat="1" applyFont="1" applyBorder="1" applyAlignment="1">
      <alignment horizontal="center" vertical="center" wrapText="1"/>
    </xf>
    <xf numFmtId="3" fontId="17" fillId="0" borderId="0" xfId="0" applyNumberFormat="1" applyFont="1" applyAlignment="1">
      <alignment horizontal="left" vertical="center"/>
    </xf>
    <xf numFmtId="165" fontId="17" fillId="0" borderId="0" xfId="0" applyNumberFormat="1" applyFont="1" applyAlignment="1">
      <alignment horizontal="left" vertical="center"/>
    </xf>
    <xf numFmtId="166" fontId="17" fillId="0" borderId="0" xfId="0" applyNumberFormat="1" applyFont="1" applyAlignment="1">
      <alignment horizontal="left" vertical="center"/>
    </xf>
    <xf numFmtId="0" fontId="13" fillId="0" borderId="0" xfId="0" applyFont="1"/>
    <xf numFmtId="0" fontId="13" fillId="0" borderId="0" xfId="0" applyFont="1" applyAlignment="1">
      <alignment horizontal="right" vertical="center"/>
    </xf>
    <xf numFmtId="0" fontId="21" fillId="5" borderId="1" xfId="0" applyFont="1" applyFill="1" applyBorder="1" applyAlignment="1">
      <alignment horizontal="center" vertical="center" wrapText="1"/>
    </xf>
    <xf numFmtId="1" fontId="21" fillId="5" borderId="1" xfId="0" applyNumberFormat="1" applyFont="1" applyFill="1" applyBorder="1" applyAlignment="1">
      <alignment horizontal="center" vertical="center" wrapText="1"/>
    </xf>
    <xf numFmtId="165" fontId="12" fillId="0" borderId="5" xfId="0" applyNumberFormat="1" applyFont="1" applyBorder="1" applyAlignment="1">
      <alignment horizontal="right" vertical="center"/>
    </xf>
    <xf numFmtId="0" fontId="22" fillId="2" borderId="0" xfId="0" applyFont="1" applyFill="1" applyAlignment="1">
      <alignment horizontal="left" vertical="center"/>
    </xf>
    <xf numFmtId="0" fontId="15" fillId="3" borderId="0" xfId="0" applyFont="1" applyFill="1" applyAlignment="1">
      <alignment horizontal="center" vertical="center" wrapText="1"/>
    </xf>
    <xf numFmtId="165" fontId="16" fillId="0" borderId="5" xfId="0" applyNumberFormat="1" applyFont="1" applyBorder="1" applyAlignment="1">
      <alignment horizontal="right" vertical="center"/>
    </xf>
    <xf numFmtId="10" fontId="16" fillId="0" borderId="5" xfId="0" applyNumberFormat="1" applyFont="1" applyBorder="1" applyAlignment="1">
      <alignment horizontal="center" vertical="center" wrapText="1"/>
    </xf>
    <xf numFmtId="165" fontId="23" fillId="0" borderId="5" xfId="0" applyNumberFormat="1" applyFont="1" applyBorder="1" applyAlignment="1">
      <alignment horizontal="right" vertical="center"/>
    </xf>
    <xf numFmtId="0" fontId="13" fillId="7" borderId="8" xfId="0" applyFont="1" applyFill="1" applyBorder="1" applyAlignment="1">
      <alignment horizontal="left" vertical="center"/>
    </xf>
    <xf numFmtId="165" fontId="24" fillId="7" borderId="8" xfId="0" applyNumberFormat="1" applyFont="1" applyFill="1" applyBorder="1" applyAlignment="1">
      <alignment horizontal="right" vertical="center"/>
    </xf>
    <xf numFmtId="0" fontId="25" fillId="4" borderId="0" xfId="0" applyFont="1" applyFill="1" applyAlignment="1">
      <alignment horizontal="left" vertical="center"/>
    </xf>
    <xf numFmtId="0" fontId="13" fillId="8" borderId="8" xfId="0" applyFont="1" applyFill="1" applyBorder="1" applyAlignment="1">
      <alignment horizontal="left" vertical="center"/>
    </xf>
    <xf numFmtId="165" fontId="27" fillId="8" borderId="8" xfId="0" applyNumberFormat="1" applyFont="1" applyFill="1" applyBorder="1" applyAlignment="1">
      <alignment horizontal="right" vertical="center"/>
    </xf>
    <xf numFmtId="0" fontId="28" fillId="0" borderId="0" xfId="0" applyFont="1"/>
    <xf numFmtId="0" fontId="29" fillId="0" borderId="0" xfId="0" applyFont="1"/>
    <xf numFmtId="4" fontId="29" fillId="0" borderId="0" xfId="0" applyNumberFormat="1" applyFont="1"/>
    <xf numFmtId="1" fontId="21" fillId="0" borderId="2" xfId="0" applyNumberFormat="1" applyFont="1" applyBorder="1" applyAlignment="1">
      <alignment horizontal="center" vertical="center" wrapText="1"/>
    </xf>
    <xf numFmtId="0" fontId="12" fillId="0" borderId="0" xfId="0" applyFont="1" applyAlignment="1">
      <alignment horizontal="left" vertical="center"/>
    </xf>
    <xf numFmtId="165" fontId="0" fillId="0" borderId="2" xfId="0" applyNumberFormat="1" applyBorder="1"/>
    <xf numFmtId="165" fontId="12" fillId="5" borderId="1" xfId="0" applyNumberFormat="1" applyFont="1" applyFill="1" applyBorder="1" applyAlignment="1">
      <alignment horizontal="right" vertical="center"/>
    </xf>
    <xf numFmtId="165" fontId="12" fillId="0" borderId="0" xfId="0" applyNumberFormat="1" applyFont="1" applyAlignment="1">
      <alignment horizontal="right" vertical="center"/>
    </xf>
    <xf numFmtId="165" fontId="13" fillId="0" borderId="2" xfId="0" applyNumberFormat="1" applyFont="1" applyBorder="1"/>
    <xf numFmtId="165" fontId="23" fillId="0" borderId="2" xfId="0" applyNumberFormat="1" applyFont="1" applyBorder="1"/>
    <xf numFmtId="165" fontId="30" fillId="0" borderId="2" xfId="0" applyNumberFormat="1" applyFont="1" applyBorder="1"/>
    <xf numFmtId="165" fontId="22" fillId="2" borderId="0" xfId="0" applyNumberFormat="1" applyFont="1" applyFill="1" applyAlignment="1">
      <alignment horizontal="right" vertical="center"/>
    </xf>
    <xf numFmtId="0" fontId="20" fillId="4" borderId="0" xfId="0" applyFont="1" applyFill="1" applyAlignment="1">
      <alignment horizontal="right" vertical="center"/>
    </xf>
    <xf numFmtId="0" fontId="21" fillId="5" borderId="7" xfId="0" applyFont="1" applyFill="1" applyBorder="1" applyAlignment="1">
      <alignment horizontal="left" vertical="center"/>
    </xf>
    <xf numFmtId="0" fontId="11" fillId="0" borderId="0" xfId="0" applyFont="1" applyAlignment="1">
      <alignment horizontal="left" vertical="center"/>
    </xf>
    <xf numFmtId="0" fontId="22" fillId="3" borderId="0" xfId="0" applyFont="1" applyFill="1" applyAlignment="1">
      <alignment horizontal="left" vertical="center"/>
    </xf>
    <xf numFmtId="0" fontId="13" fillId="5" borderId="7" xfId="0" applyFont="1" applyFill="1" applyBorder="1" applyAlignment="1">
      <alignment horizontal="left" vertical="center"/>
    </xf>
    <xf numFmtId="0" fontId="13" fillId="0" borderId="5" xfId="0" applyFont="1" applyBorder="1" applyAlignment="1">
      <alignment horizontal="left" vertical="center"/>
    </xf>
    <xf numFmtId="0" fontId="12" fillId="5" borderId="7" xfId="0" applyFont="1" applyFill="1" applyBorder="1" applyAlignment="1">
      <alignment horizontal="left" vertical="center"/>
    </xf>
    <xf numFmtId="0" fontId="12" fillId="0" borderId="5" xfId="0" applyFont="1" applyBorder="1" applyAlignment="1">
      <alignment horizontal="left" vertical="center"/>
    </xf>
    <xf numFmtId="14" fontId="12" fillId="0" borderId="5" xfId="0" applyNumberFormat="1" applyFont="1" applyBorder="1" applyAlignment="1">
      <alignment horizontal="right" vertical="center"/>
    </xf>
    <xf numFmtId="0" fontId="22" fillId="3" borderId="0" xfId="0" applyFont="1" applyFill="1" applyAlignment="1">
      <alignment horizontal="right" vertical="center"/>
    </xf>
    <xf numFmtId="0" fontId="0" fillId="0" borderId="0" xfId="0"/>
    <xf numFmtId="165" fontId="12" fillId="0" borderId="5" xfId="0" applyNumberFormat="1" applyFont="1" applyBorder="1" applyAlignment="1">
      <alignment horizontal="right" vertical="center"/>
    </xf>
    <xf numFmtId="165" fontId="13" fillId="5" borderId="7" xfId="0" applyNumberFormat="1" applyFont="1" applyFill="1" applyBorder="1" applyAlignment="1">
      <alignment horizontal="right" vertical="center"/>
    </xf>
    <xf numFmtId="0" fontId="0" fillId="2" borderId="0" xfId="0" applyFill="1"/>
    <xf numFmtId="165" fontId="7" fillId="2" borderId="0" xfId="0" applyNumberFormat="1" applyFont="1" applyFill="1" applyAlignment="1">
      <alignment horizontal="right" vertical="center"/>
    </xf>
    <xf numFmtId="0" fontId="0" fillId="7" borderId="8" xfId="0" applyFill="1" applyBorder="1"/>
    <xf numFmtId="0" fontId="0" fillId="4" borderId="0" xfId="0" applyFill="1"/>
    <xf numFmtId="165" fontId="9" fillId="4" borderId="0" xfId="0" applyNumberFormat="1" applyFont="1" applyFill="1" applyAlignment="1">
      <alignment horizontal="right" vertical="center"/>
    </xf>
    <xf numFmtId="0" fontId="26" fillId="0" borderId="0" xfId="0" applyFont="1" applyAlignment="1">
      <alignment horizontal="left" vertical="center"/>
    </xf>
    <xf numFmtId="0" fontId="0" fillId="8" borderId="8" xfId="0" applyFill="1" applyBorder="1"/>
    <xf numFmtId="0" fontId="26" fillId="0" borderId="0" xfId="0" applyFont="1" applyAlignment="1">
      <alignment horizontal="right" vertical="center"/>
    </xf>
    <xf numFmtId="165" fontId="31" fillId="0" borderId="0" xfId="0" applyNumberFormat="1" applyFont="1" applyAlignment="1">
      <alignment horizontal="left" vertical="center"/>
    </xf>
    <xf numFmtId="166" fontId="31" fillId="0" borderId="0" xfId="0" applyNumberFormat="1" applyFont="1" applyAlignment="1">
      <alignment horizontal="left" vertical="center"/>
    </xf>
  </cellXfs>
  <cellStyles count="1">
    <cellStyle name="Standard" xfId="0" builtinId="0"/>
  </cellStyles>
  <dxfs count="2">
    <dxf>
      <font>
        <b/>
        <sz val="11"/>
        <color rgb="FF9E3B2E"/>
        <name val="Calibri"/>
        <charset val="1"/>
      </font>
      <fill>
        <patternFill>
          <bgColor rgb="FFF5D9D4"/>
        </patternFill>
      </fill>
    </dxf>
    <dxf>
      <font>
        <b/>
        <sz val="10"/>
        <color rgb="FF2E7D7B"/>
        <name val="Calibri"/>
        <charset val="1"/>
      </font>
      <fill>
        <patternFill>
          <bgColor rgb="FFD8ECEB"/>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FD3"/>
      <rgbColor rgb="FF878787"/>
      <rgbColor rgb="FF9999FF"/>
      <rgbColor rgb="FF993366"/>
      <rgbColor rgb="FFFFF6D6"/>
      <rgbColor rgb="FFD8ECEB"/>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F0F1"/>
      <rgbColor rgb="FFDDE3E6"/>
      <rgbColor rgb="FFEAE3D6"/>
      <rgbColor rgb="FFD8E0E3"/>
      <rgbColor rgb="FFFF99CC"/>
      <rgbColor rgb="FFCC99FF"/>
      <rgbColor rgb="FFF5D9D4"/>
      <rgbColor rgb="FF3366FF"/>
      <rgbColor rgb="FF33CCCC"/>
      <rgbColor rgb="FF99CC00"/>
      <rgbColor rgb="FFFFCC00"/>
      <rgbColor rgb="FFC9A227"/>
      <rgbColor rgb="FFFF6600"/>
      <rgbColor rgb="FF6B7580"/>
      <rgbColor rgb="FF969696"/>
      <rgbColor rgb="FF003366"/>
      <rgbColor rgb="FF2E7D7B"/>
      <rgbColor rgb="FF003300"/>
      <rgbColor rgb="FF1A1F24"/>
      <rgbColor rgb="FF9E3B2E"/>
      <rgbColor rgb="FF993366"/>
      <rgbColor rgb="FF333399"/>
      <rgbColor rgb="FF1F3A4D"/>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autoTitleDeleted val="1"/>
    <c:plotArea>
      <c:layout/>
      <c:barChart>
        <c:barDir val="col"/>
        <c:grouping val="clustered"/>
        <c:varyColors val="0"/>
        <c:ser>
          <c:idx val="0"/>
          <c:order val="0"/>
          <c:tx>
            <c:strRef>
              <c:f>'Récapitulatif annuel'!$H$4</c:f>
              <c:strCache>
                <c:ptCount val="1"/>
                <c:pt idx="0">
                  <c:v>Brut soumis</c:v>
                </c:pt>
              </c:strCache>
            </c:strRef>
          </c:tx>
          <c:spPr>
            <a:solidFill>
              <a:srgbClr val="1F3A4D"/>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'Récapitulatif annuel'!$A$5:$A$16</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'Récapitulatif annuel'!$H$5:$H$16</c:f>
              <c:numCache>
                <c:formatCode>#,##0.00" CHF"</c:formatCode>
                <c:ptCount val="12"/>
                <c:pt idx="0">
                  <c:v>7366.666666666667</c:v>
                </c:pt>
                <c:pt idx="1">
                  <c:v>7366.666666666667</c:v>
                </c:pt>
                <c:pt idx="2">
                  <c:v>7936.666666666667</c:v>
                </c:pt>
                <c:pt idx="3">
                  <c:v>7366.666666666667</c:v>
                </c:pt>
                <c:pt idx="4">
                  <c:v>7366.666666666667</c:v>
                </c:pt>
                <c:pt idx="5">
                  <c:v>7766.666666666667</c:v>
                </c:pt>
                <c:pt idx="6">
                  <c:v>7366.666666666667</c:v>
                </c:pt>
                <c:pt idx="7">
                  <c:v>7366.666666666667</c:v>
                </c:pt>
                <c:pt idx="8">
                  <c:v>7366.666666666667</c:v>
                </c:pt>
                <c:pt idx="9">
                  <c:v>7366.666666666667</c:v>
                </c:pt>
                <c:pt idx="10">
                  <c:v>7366.666666666667</c:v>
                </c:pt>
                <c:pt idx="11">
                  <c:v>7366.666666666667</c:v>
                </c:pt>
              </c:numCache>
            </c:numRef>
          </c:val>
          <c:extLst>
            <c:ext xmlns:c16="http://schemas.microsoft.com/office/drawing/2014/chart" uri="{C3380CC4-5D6E-409C-BE32-E72D297353CC}">
              <c16:uniqueId val="{00000000-EFF1-4E9C-A289-54615CDC7356}"/>
            </c:ext>
          </c:extLst>
        </c:ser>
        <c:ser>
          <c:idx val="1"/>
          <c:order val="1"/>
          <c:tx>
            <c:strRef>
              <c:f>'Récapitulatif annuel'!$N$4</c:f>
              <c:strCache>
                <c:ptCount val="1"/>
                <c:pt idx="0">
                  <c:v>Net versé</c:v>
                </c:pt>
              </c:strCache>
            </c:strRef>
          </c:tx>
          <c:spPr>
            <a:solidFill>
              <a:srgbClr val="C9A227"/>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'Récapitulatif annuel'!$A$5:$A$16</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'Récapitulatif annuel'!$N$5:$N$16</c:f>
              <c:numCache>
                <c:formatCode>#,##0.00" CHF"</c:formatCode>
                <c:ptCount val="12"/>
                <c:pt idx="0">
                  <c:v>6772.25</c:v>
                </c:pt>
                <c:pt idx="1">
                  <c:v>6772.25</c:v>
                </c:pt>
                <c:pt idx="2">
                  <c:v>7293.05</c:v>
                </c:pt>
                <c:pt idx="3">
                  <c:v>6772.25</c:v>
                </c:pt>
                <c:pt idx="4">
                  <c:v>6772.25</c:v>
                </c:pt>
                <c:pt idx="5">
                  <c:v>7137.7000000000007</c:v>
                </c:pt>
                <c:pt idx="6">
                  <c:v>6772.25</c:v>
                </c:pt>
                <c:pt idx="7">
                  <c:v>6772.25</c:v>
                </c:pt>
                <c:pt idx="8">
                  <c:v>6772.25</c:v>
                </c:pt>
                <c:pt idx="9">
                  <c:v>6772.25</c:v>
                </c:pt>
                <c:pt idx="10">
                  <c:v>6772.25</c:v>
                </c:pt>
                <c:pt idx="11">
                  <c:v>6772.25</c:v>
                </c:pt>
              </c:numCache>
            </c:numRef>
          </c:val>
          <c:extLst>
            <c:ext xmlns:c16="http://schemas.microsoft.com/office/drawing/2014/chart" uri="{C3380CC4-5D6E-409C-BE32-E72D297353CC}">
              <c16:uniqueId val="{00000001-EFF1-4E9C-A289-54615CDC7356}"/>
            </c:ext>
          </c:extLst>
        </c:ser>
        <c:dLbls>
          <c:showLegendKey val="0"/>
          <c:showVal val="0"/>
          <c:showCatName val="0"/>
          <c:showSerName val="0"/>
          <c:showPercent val="0"/>
          <c:showBubbleSize val="0"/>
        </c:dLbls>
        <c:gapWidth val="80"/>
        <c:overlap val="-10"/>
        <c:axId val="93876632"/>
        <c:axId val="29569202"/>
      </c:barChart>
      <c:catAx>
        <c:axId val="9387663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29569202"/>
        <c:crosses val="autoZero"/>
        <c:auto val="1"/>
        <c:lblAlgn val="ctr"/>
        <c:lblOffset val="100"/>
        <c:noMultiLvlLbl val="0"/>
      </c:catAx>
      <c:valAx>
        <c:axId val="29569202"/>
        <c:scaling>
          <c:orientation val="minMax"/>
          <c:min val="0"/>
        </c:scaling>
        <c:delete val="0"/>
        <c:axPos val="l"/>
        <c:title>
          <c:tx>
            <c:rich>
              <a:bodyPr rot="-5400000"/>
              <a:lstStyle/>
              <a:p>
                <a:pPr>
                  <a:defRPr sz="1000" b="1" strike="noStrike" spc="-1">
                    <a:solidFill>
                      <a:srgbClr val="000000"/>
                    </a:solidFill>
                    <a:latin typeface="Calibri"/>
                  </a:defRPr>
                </a:pPr>
                <a:r>
                  <a:rPr sz="1000" b="1" strike="noStrike" spc="-1">
                    <a:solidFill>
                      <a:srgbClr val="000000"/>
                    </a:solidFill>
                    <a:latin typeface="Calibri"/>
                  </a:rPr>
                  <a:t>CHF</a:t>
                </a:r>
              </a:p>
            </c:rich>
          </c:tx>
          <c:overlay val="0"/>
          <c:spPr>
            <a:noFill/>
            <a:ln w="0">
              <a:noFill/>
            </a:ln>
          </c:spPr>
        </c:title>
        <c:numFmt formatCode="#,##0.00&quot; CHF&quot;"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3876632"/>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9</xdr:col>
      <xdr:colOff>745200</xdr:colOff>
      <xdr:row>43</xdr:row>
      <xdr:rowOff>11520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3A4D"/>
    <pageSetUpPr fitToPage="1"/>
  </sheetPr>
  <dimension ref="B2:G74"/>
  <sheetViews>
    <sheetView showGridLines="0" tabSelected="1" zoomScaleNormal="100" workbookViewId="0">
      <pane ySplit="4" topLeftCell="A5" activePane="bottomLeft" state="frozen"/>
      <selection pane="bottomLeft" activeCell="F47" sqref="F47"/>
    </sheetView>
  </sheetViews>
  <sheetFormatPr baseColWidth="10" defaultColWidth="8.7109375" defaultRowHeight="15" x14ac:dyDescent="0.25"/>
  <cols>
    <col min="1" max="1" width="2" customWidth="1"/>
    <col min="2" max="2" width="30" customWidth="1"/>
    <col min="3" max="3" width="17" customWidth="1"/>
    <col min="4" max="4" width="15" customWidth="1"/>
    <col min="5" max="5" width="16" customWidth="1"/>
    <col min="6" max="6" width="17" customWidth="1"/>
    <col min="7" max="7" width="15" customWidth="1"/>
    <col min="8" max="8" width="2" customWidth="1"/>
  </cols>
  <sheetData>
    <row r="2" spans="2:7" ht="30" customHeight="1" x14ac:dyDescent="0.25">
      <c r="B2" s="3" t="s">
        <v>216</v>
      </c>
      <c r="C2" s="3"/>
      <c r="D2" s="3"/>
      <c r="E2" s="3"/>
      <c r="F2" s="3"/>
      <c r="G2" s="3"/>
    </row>
    <row r="3" spans="2:7" ht="18" customHeight="1" x14ac:dyDescent="0.25">
      <c r="B3" s="2" t="s">
        <v>137</v>
      </c>
      <c r="C3" s="2"/>
      <c r="D3" s="2"/>
      <c r="E3" s="2"/>
      <c r="F3" s="2"/>
      <c r="G3" s="2"/>
    </row>
    <row r="5" spans="2:7" x14ac:dyDescent="0.25">
      <c r="B5" s="1" t="s">
        <v>138</v>
      </c>
      <c r="C5" s="1"/>
      <c r="D5" s="82" t="s">
        <v>139</v>
      </c>
      <c r="E5" s="82"/>
      <c r="F5" s="82"/>
      <c r="G5" s="82"/>
    </row>
    <row r="6" spans="2:7" ht="24" customHeight="1" x14ac:dyDescent="0.25">
      <c r="B6" s="55" t="s">
        <v>140</v>
      </c>
      <c r="C6" s="83" t="s">
        <v>118</v>
      </c>
      <c r="D6" s="83"/>
      <c r="E6" s="56" t="s">
        <v>72</v>
      </c>
      <c r="F6" s="57" t="s">
        <v>82</v>
      </c>
      <c r="G6" s="58">
        <f>Année</f>
        <v>2027</v>
      </c>
    </row>
    <row r="7" spans="2:7" ht="15.75" customHeight="1" x14ac:dyDescent="0.25">
      <c r="B7" s="84" t="str">
        <f>IFERROR("Matricule "&amp;INDEX(Reg_Matricule,MATCH($C$6,Reg_Nom,0))&amp;"  •  Taux d'activité "&amp;TEXT(INDEX(Reg_Activite,MATCH($C$6,Reg_Nom,0)),"0%"),"Sélectionnez un collaborateur valide")</f>
        <v>Matricule E-001  •  Taux d'activité 100%</v>
      </c>
      <c r="C7" s="84"/>
      <c r="D7" s="84"/>
      <c r="E7" s="84"/>
      <c r="F7" s="84"/>
      <c r="G7" s="84"/>
    </row>
    <row r="9" spans="2:7" ht="19.5" customHeight="1" x14ac:dyDescent="0.25">
      <c r="B9" s="85" t="s">
        <v>141</v>
      </c>
      <c r="C9" s="85"/>
      <c r="D9" s="85"/>
      <c r="E9" s="85" t="s">
        <v>142</v>
      </c>
      <c r="F9" s="85"/>
      <c r="G9" s="85"/>
    </row>
    <row r="10" spans="2:7" x14ac:dyDescent="0.25">
      <c r="B10" s="33" t="s">
        <v>143</v>
      </c>
      <c r="C10" s="86" t="s">
        <v>144</v>
      </c>
      <c r="D10" s="86"/>
      <c r="E10" s="33" t="s">
        <v>105</v>
      </c>
      <c r="F10" s="87" t="str">
        <f>IFERROR(INDEX(Reg_Nom,MATCH($C$6,Reg_Nom,0)),"")</f>
        <v>Margaux Rossier</v>
      </c>
      <c r="G10" s="87"/>
    </row>
    <row r="11" spans="2:7" x14ac:dyDescent="0.25">
      <c r="B11" s="33" t="s">
        <v>145</v>
      </c>
      <c r="C11" s="88" t="s">
        <v>146</v>
      </c>
      <c r="D11" s="88"/>
      <c r="E11" s="33" t="s">
        <v>106</v>
      </c>
      <c r="F11" s="89" t="str">
        <f>IFERROR(INDEX(Reg_AVS,MATCH($C$6,Reg_Nom,0)),"")</f>
        <v>756.1234.5678.90</v>
      </c>
      <c r="G11" s="89"/>
    </row>
    <row r="12" spans="2:7" x14ac:dyDescent="0.25">
      <c r="B12" s="33" t="s">
        <v>147</v>
      </c>
      <c r="C12" s="88" t="s">
        <v>148</v>
      </c>
      <c r="D12" s="88"/>
      <c r="E12" s="33" t="s">
        <v>107</v>
      </c>
      <c r="F12" s="90">
        <f>IFERROR(INDEX(Reg_Naissance,MATCH($C$6,Reg_Nom,0)),"")</f>
        <v>31120</v>
      </c>
      <c r="G12" s="90"/>
    </row>
    <row r="13" spans="2:7" x14ac:dyDescent="0.25">
      <c r="B13" s="33" t="s">
        <v>149</v>
      </c>
      <c r="C13" s="88" t="s">
        <v>150</v>
      </c>
      <c r="D13" s="88"/>
      <c r="E13" s="33" t="s">
        <v>151</v>
      </c>
      <c r="F13" s="89" t="str">
        <f>IFERROR(INDEX(Reg_Canton,MATCH($C$6,Reg_Nom,0)),"")</f>
        <v>GE</v>
      </c>
      <c r="G13" s="89"/>
    </row>
    <row r="14" spans="2:7" ht="18" customHeight="1" x14ac:dyDescent="0.25">
      <c r="B14" s="33" t="s">
        <v>152</v>
      </c>
      <c r="C14" s="87" t="str">
        <f>$F$6&amp;" "&amp;TEXT($G$6,"0")</f>
        <v>Mars 2027</v>
      </c>
      <c r="D14" s="87"/>
      <c r="E14" s="33" t="s">
        <v>153</v>
      </c>
      <c r="F14" s="90">
        <f>IFERROR(DATE($G$6,INDEX(Mois_num,MATCH($F$6,Mois_noms,0))+1,0),"")</f>
        <v>46477</v>
      </c>
      <c r="G14" s="90"/>
    </row>
    <row r="16" spans="2:7" ht="19.5" customHeight="1" x14ac:dyDescent="0.25">
      <c r="B16" s="85" t="s">
        <v>154</v>
      </c>
      <c r="C16" s="85"/>
      <c r="D16" s="85"/>
      <c r="E16" s="91" t="s">
        <v>155</v>
      </c>
      <c r="F16" s="91"/>
      <c r="G16" s="91"/>
    </row>
    <row r="17" spans="2:7" x14ac:dyDescent="0.25">
      <c r="B17" s="37" t="s">
        <v>156</v>
      </c>
      <c r="C17" s="92"/>
      <c r="D17" s="92"/>
      <c r="E17" s="93">
        <f>IFERROR(INDEX(Reg_Base,MATCH($C$6,Reg_Nom,0)),0)</f>
        <v>6800</v>
      </c>
      <c r="F17" s="93"/>
      <c r="G17" s="93"/>
    </row>
    <row r="18" spans="2:7" x14ac:dyDescent="0.25">
      <c r="B18" s="37" t="s">
        <v>157</v>
      </c>
      <c r="C18" s="92"/>
      <c r="D18" s="92"/>
      <c r="E18" s="94">
        <v>320</v>
      </c>
      <c r="F18" s="94"/>
      <c r="G18" s="94"/>
    </row>
    <row r="19" spans="2:7" x14ac:dyDescent="0.25">
      <c r="B19" s="37" t="s">
        <v>158</v>
      </c>
      <c r="C19" s="92"/>
      <c r="D19" s="92"/>
      <c r="E19" s="94">
        <v>250</v>
      </c>
      <c r="F19" s="94"/>
      <c r="G19" s="94"/>
    </row>
    <row r="20" spans="2:7" x14ac:dyDescent="0.25">
      <c r="B20" s="37" t="s">
        <v>159</v>
      </c>
      <c r="C20" s="92"/>
      <c r="D20" s="92"/>
      <c r="E20" s="94">
        <v>0</v>
      </c>
      <c r="F20" s="94"/>
      <c r="G20" s="94"/>
    </row>
    <row r="21" spans="2:7" x14ac:dyDescent="0.25">
      <c r="B21" s="37" t="s">
        <v>160</v>
      </c>
      <c r="C21" s="92"/>
      <c r="D21" s="92"/>
      <c r="E21" s="93">
        <f>IF($C$65="Oui",$C$64/12,0)</f>
        <v>566.66666666666663</v>
      </c>
      <c r="F21" s="93"/>
      <c r="G21" s="93"/>
    </row>
    <row r="22" spans="2:7" ht="21.75" customHeight="1" x14ac:dyDescent="0.25">
      <c r="B22" s="60" t="s">
        <v>161</v>
      </c>
      <c r="C22" s="95"/>
      <c r="D22" s="95"/>
      <c r="E22" s="96">
        <f>SUM(E17:E21)</f>
        <v>7936.666666666667</v>
      </c>
      <c r="F22" s="96"/>
      <c r="G22" s="96"/>
    </row>
    <row r="24" spans="2:7" ht="19.5" customHeight="1" x14ac:dyDescent="0.25">
      <c r="B24" s="85" t="s">
        <v>162</v>
      </c>
      <c r="C24" s="85"/>
      <c r="D24" s="85"/>
      <c r="E24" s="61" t="s">
        <v>163</v>
      </c>
      <c r="F24" s="61" t="s">
        <v>46</v>
      </c>
      <c r="G24" s="61" t="s">
        <v>155</v>
      </c>
    </row>
    <row r="25" spans="2:7" x14ac:dyDescent="0.25">
      <c r="B25" s="37" t="s">
        <v>49</v>
      </c>
      <c r="C25" s="92"/>
      <c r="D25" s="92"/>
      <c r="E25" s="62">
        <f>$E$22</f>
        <v>7936.666666666667</v>
      </c>
      <c r="F25" s="63">
        <f>Taux_AVS</f>
        <v>5.2999999999999999E-2</v>
      </c>
      <c r="G25" s="64">
        <f>ROUND(E25*F25,2)</f>
        <v>420.64</v>
      </c>
    </row>
    <row r="26" spans="2:7" x14ac:dyDescent="0.25">
      <c r="B26" s="37" t="s">
        <v>52</v>
      </c>
      <c r="C26" s="92"/>
      <c r="D26" s="92"/>
      <c r="E26" s="62">
        <f>MIN($E$22,Plafond_AC_mensuel)</f>
        <v>7936.666666666667</v>
      </c>
      <c r="F26" s="63">
        <f>Taux_AC</f>
        <v>1.0999999999999999E-2</v>
      </c>
      <c r="G26" s="64">
        <f>ROUND(E26*F26,2)</f>
        <v>87.3</v>
      </c>
    </row>
    <row r="27" spans="2:7" x14ac:dyDescent="0.25">
      <c r="B27" s="37" t="s">
        <v>164</v>
      </c>
      <c r="C27" s="92"/>
      <c r="D27" s="92"/>
      <c r="E27" s="62">
        <f>$C$73/12</f>
        <v>5161.666666666667</v>
      </c>
      <c r="F27" s="63">
        <f>$C$71*Part_salarie_LPP</f>
        <v>0.05</v>
      </c>
      <c r="G27" s="64">
        <f>ROUND($C$74,2)</f>
        <v>258.08</v>
      </c>
    </row>
    <row r="28" spans="2:7" x14ac:dyDescent="0.25">
      <c r="B28" s="37" t="s">
        <v>165</v>
      </c>
      <c r="C28" s="92"/>
      <c r="D28" s="92"/>
      <c r="E28" s="62">
        <f>$E$22</f>
        <v>7936.666666666667</v>
      </c>
      <c r="F28" s="63">
        <f>$C$66</f>
        <v>1.4E-2</v>
      </c>
      <c r="G28" s="64">
        <f>ROUND(E28*F28,2)</f>
        <v>111.11</v>
      </c>
    </row>
    <row r="29" spans="2:7" x14ac:dyDescent="0.25">
      <c r="B29" s="37" t="s">
        <v>166</v>
      </c>
      <c r="C29" s="92"/>
      <c r="D29" s="92"/>
      <c r="E29" s="62">
        <f>$E$22</f>
        <v>7936.666666666667</v>
      </c>
      <c r="F29" s="63">
        <f>$C$67</f>
        <v>8.0000000000000002E-3</v>
      </c>
      <c r="G29" s="64">
        <f>ROUND(E29*F29,2)</f>
        <v>63.49</v>
      </c>
    </row>
    <row r="30" spans="2:7" x14ac:dyDescent="0.25">
      <c r="B30" s="37" t="s">
        <v>60</v>
      </c>
      <c r="C30" s="92"/>
      <c r="D30" s="92"/>
      <c r="E30" s="62">
        <f>$E$22</f>
        <v>7936.666666666667</v>
      </c>
      <c r="F30" s="63">
        <f>IF($C$70="GE",Taux_maternite_GE,0)</f>
        <v>3.8000000000000002E-4</v>
      </c>
      <c r="G30" s="64">
        <f>ROUND(E30*F30,2)</f>
        <v>3.02</v>
      </c>
    </row>
    <row r="31" spans="2:7" x14ac:dyDescent="0.25">
      <c r="B31" s="37" t="s">
        <v>167</v>
      </c>
      <c r="C31" s="92"/>
      <c r="D31" s="92"/>
      <c r="E31" s="62">
        <f>$E$22</f>
        <v>7936.666666666667</v>
      </c>
      <c r="F31" s="63">
        <f>IF($C$68="Oui",$C$69,0)</f>
        <v>0</v>
      </c>
      <c r="G31" s="64">
        <f>ROUND(E31*F31,2)</f>
        <v>0</v>
      </c>
    </row>
    <row r="32" spans="2:7" ht="19.5" customHeight="1" x14ac:dyDescent="0.25">
      <c r="B32" s="65" t="s">
        <v>168</v>
      </c>
      <c r="C32" s="97"/>
      <c r="D32" s="97"/>
      <c r="E32" s="97"/>
      <c r="F32" s="97"/>
      <c r="G32" s="66">
        <f>SUM(G25:G31)</f>
        <v>943.64</v>
      </c>
    </row>
    <row r="34" spans="2:7" ht="19.5" customHeight="1" x14ac:dyDescent="0.25">
      <c r="B34" s="85" t="s">
        <v>169</v>
      </c>
      <c r="C34" s="85"/>
      <c r="D34" s="85"/>
      <c r="E34" s="91" t="s">
        <v>155</v>
      </c>
      <c r="F34" s="91"/>
      <c r="G34" s="91"/>
    </row>
    <row r="35" spans="2:7" x14ac:dyDescent="0.25">
      <c r="B35" s="37" t="s">
        <v>170</v>
      </c>
      <c r="C35" s="92"/>
      <c r="D35" s="92"/>
      <c r="E35" s="93">
        <f>$E$22-$G$32</f>
        <v>6993.0266666666666</v>
      </c>
      <c r="F35" s="93"/>
      <c r="G35" s="93"/>
    </row>
    <row r="36" spans="2:7" x14ac:dyDescent="0.25">
      <c r="B36" s="37" t="s">
        <v>171</v>
      </c>
      <c r="C36" s="92"/>
      <c r="D36" s="92"/>
      <c r="E36" s="94">
        <v>300</v>
      </c>
      <c r="F36" s="94"/>
      <c r="G36" s="94"/>
    </row>
    <row r="37" spans="2:7" x14ac:dyDescent="0.25">
      <c r="B37" s="37" t="s">
        <v>172</v>
      </c>
      <c r="C37" s="92"/>
      <c r="D37" s="92"/>
      <c r="E37" s="94">
        <v>150</v>
      </c>
      <c r="F37" s="94"/>
      <c r="G37" s="94"/>
    </row>
    <row r="38" spans="2:7" ht="30" customHeight="1" x14ac:dyDescent="0.25">
      <c r="B38" s="67" t="s">
        <v>173</v>
      </c>
      <c r="C38" s="98"/>
      <c r="D38" s="98"/>
      <c r="E38" s="99">
        <f>ROUND((E35+E36+E37)/0.05,0)*0.05</f>
        <v>7443.05</v>
      </c>
      <c r="F38" s="99"/>
      <c r="G38" s="99"/>
    </row>
    <row r="39" spans="2:7" x14ac:dyDescent="0.25">
      <c r="B39" s="100" t="s">
        <v>174</v>
      </c>
      <c r="C39" s="100"/>
      <c r="D39" s="100"/>
      <c r="E39" s="100"/>
      <c r="F39" s="100"/>
      <c r="G39" s="100"/>
    </row>
    <row r="41" spans="2:7" ht="19.5" customHeight="1" x14ac:dyDescent="0.25">
      <c r="B41" s="85" t="s">
        <v>175</v>
      </c>
      <c r="C41" s="85"/>
      <c r="D41" s="85"/>
      <c r="E41" s="85"/>
      <c r="F41" s="85"/>
      <c r="G41" s="85"/>
    </row>
    <row r="42" spans="2:7" x14ac:dyDescent="0.25">
      <c r="B42" s="37" t="s">
        <v>176</v>
      </c>
      <c r="C42" s="92"/>
      <c r="D42" s="92"/>
      <c r="E42" s="92"/>
      <c r="F42" s="92"/>
      <c r="G42" s="59">
        <f>ROUND($E$22*(Taux_AVS+Taux_AC),2)</f>
        <v>507.95</v>
      </c>
    </row>
    <row r="43" spans="2:7" x14ac:dyDescent="0.25">
      <c r="B43" s="37" t="s">
        <v>177</v>
      </c>
      <c r="C43" s="92"/>
      <c r="D43" s="92"/>
      <c r="E43" s="92"/>
      <c r="F43" s="92"/>
      <c r="G43" s="59">
        <f>ROUND($C$73*$C$71*(1-Part_salarie_LPP)/12,2)</f>
        <v>258.08</v>
      </c>
    </row>
    <row r="44" spans="2:7" x14ac:dyDescent="0.25">
      <c r="B44" s="37" t="s">
        <v>178</v>
      </c>
      <c r="C44" s="92"/>
      <c r="D44" s="92"/>
      <c r="E44" s="92"/>
      <c r="F44" s="92"/>
      <c r="G44" s="59">
        <f>ROUND($E$22*(Taux_LAA_prof+Taux_AF_employeur+Taux_admin),2)</f>
        <v>238.1</v>
      </c>
    </row>
    <row r="45" spans="2:7" ht="19.5" customHeight="1" x14ac:dyDescent="0.25">
      <c r="B45" s="68" t="s">
        <v>179</v>
      </c>
      <c r="C45" s="101"/>
      <c r="D45" s="101"/>
      <c r="E45" s="101"/>
      <c r="F45" s="101"/>
      <c r="G45" s="69">
        <f>ROUND($E$22+G42+G43+G44,2)</f>
        <v>8940.7999999999993</v>
      </c>
    </row>
    <row r="62" spans="2:3" hidden="1" x14ac:dyDescent="0.25">
      <c r="B62" s="70" t="s">
        <v>180</v>
      </c>
    </row>
    <row r="63" spans="2:3" hidden="1" x14ac:dyDescent="0.25">
      <c r="B63" s="71" t="s">
        <v>181</v>
      </c>
      <c r="C63" s="72">
        <f>IFERROR($G$6-YEAR(INDEX(Reg_Naissance,MATCH($C$6,Reg_Nom,0))),0)</f>
        <v>42</v>
      </c>
    </row>
    <row r="64" spans="2:3" hidden="1" x14ac:dyDescent="0.25">
      <c r="B64" s="71" t="s">
        <v>182</v>
      </c>
      <c r="C64" s="72">
        <f>IFERROR(INDEX(Reg_Base,MATCH($C$6,Reg_Nom,0)),0)</f>
        <v>6800</v>
      </c>
    </row>
    <row r="65" spans="2:3" hidden="1" x14ac:dyDescent="0.25">
      <c r="B65" s="71" t="s">
        <v>183</v>
      </c>
      <c r="C65" s="72" t="str">
        <f>IFERROR(INDEX(Reg_13e,MATCH($C$6,Reg_Nom,0)),"Non")</f>
        <v>Oui</v>
      </c>
    </row>
    <row r="66" spans="2:3" hidden="1" x14ac:dyDescent="0.25">
      <c r="B66" s="71" t="s">
        <v>184</v>
      </c>
      <c r="C66" s="72">
        <f>IFERROR(INDEX(Reg_AANP,MATCH($C$6,Reg_Nom,0)),0)</f>
        <v>1.4E-2</v>
      </c>
    </row>
    <row r="67" spans="2:3" hidden="1" x14ac:dyDescent="0.25">
      <c r="B67" s="71" t="s">
        <v>185</v>
      </c>
      <c r="C67" s="72">
        <f>IFERROR(INDEX(Reg_IJM,MATCH($C$6,Reg_Nom,0)),0)</f>
        <v>8.0000000000000002E-3</v>
      </c>
    </row>
    <row r="68" spans="2:3" hidden="1" x14ac:dyDescent="0.25">
      <c r="B68" s="71" t="s">
        <v>186</v>
      </c>
      <c r="C68" s="72" t="str">
        <f>IFERROR(INDEX(Reg_ImpotOui,MATCH($C$6,Reg_Nom,0)),"Non")</f>
        <v>Non</v>
      </c>
    </row>
    <row r="69" spans="2:3" hidden="1" x14ac:dyDescent="0.25">
      <c r="B69" s="71" t="s">
        <v>187</v>
      </c>
      <c r="C69" s="72">
        <f>IFERROR(INDEX(Reg_ImpotTaux,MATCH($C$6,Reg_Nom,0)),0)</f>
        <v>0</v>
      </c>
    </row>
    <row r="70" spans="2:3" hidden="1" x14ac:dyDescent="0.25">
      <c r="B70" s="71" t="s">
        <v>188</v>
      </c>
      <c r="C70" s="72" t="str">
        <f>IFERROR(INDEX(Reg_Canton,MATCH($C$6,Reg_Nom,0)),"")</f>
        <v>GE</v>
      </c>
    </row>
    <row r="71" spans="2:3" hidden="1" x14ac:dyDescent="0.25">
      <c r="B71" s="71" t="s">
        <v>189</v>
      </c>
      <c r="C71" s="72">
        <f>IFERROR(INDEX(LPP_taux,MATCH($C$63,LPP_age_min,1)),0)</f>
        <v>0.1</v>
      </c>
    </row>
    <row r="72" spans="2:3" hidden="1" x14ac:dyDescent="0.25">
      <c r="B72" s="71" t="s">
        <v>190</v>
      </c>
      <c r="C72" s="72">
        <f>IF($C$65="Oui",$C$64*13,$C$64*12)</f>
        <v>88400</v>
      </c>
    </row>
    <row r="73" spans="2:3" hidden="1" x14ac:dyDescent="0.25">
      <c r="B73" s="71" t="s">
        <v>191</v>
      </c>
      <c r="C73" s="72">
        <f>IF($C$72&lt;Seuil_LPP,0,MAX(MIN($C$72,LPP_salaire_max)-Ded_coordination,Coord_min))</f>
        <v>61940</v>
      </c>
    </row>
    <row r="74" spans="2:3" hidden="1" x14ac:dyDescent="0.25">
      <c r="B74" s="71" t="s">
        <v>192</v>
      </c>
      <c r="C74" s="72">
        <f>$C$73*$C$71*Part_salarie_LPP/12</f>
        <v>258.08333333333331</v>
      </c>
    </row>
  </sheetData>
  <mergeCells count="57">
    <mergeCell ref="C43:F43"/>
    <mergeCell ref="C44:F44"/>
    <mergeCell ref="C45:F45"/>
    <mergeCell ref="C38:D38"/>
    <mergeCell ref="E38:G38"/>
    <mergeCell ref="B39:G39"/>
    <mergeCell ref="B41:G41"/>
    <mergeCell ref="C42:F42"/>
    <mergeCell ref="C35:D35"/>
    <mergeCell ref="E35:G35"/>
    <mergeCell ref="C36:D36"/>
    <mergeCell ref="E36:G36"/>
    <mergeCell ref="C37:D37"/>
    <mergeCell ref="E37:G37"/>
    <mergeCell ref="C30:D30"/>
    <mergeCell ref="C31:D31"/>
    <mergeCell ref="C32:F32"/>
    <mergeCell ref="B34:D34"/>
    <mergeCell ref="E34:G34"/>
    <mergeCell ref="C25:D25"/>
    <mergeCell ref="C26:D26"/>
    <mergeCell ref="C27:D27"/>
    <mergeCell ref="C28:D28"/>
    <mergeCell ref="C29:D29"/>
    <mergeCell ref="C21:D21"/>
    <mergeCell ref="E21:G21"/>
    <mergeCell ref="C22:D22"/>
    <mergeCell ref="E22:G22"/>
    <mergeCell ref="B24:D24"/>
    <mergeCell ref="C18:D18"/>
    <mergeCell ref="E18:G18"/>
    <mergeCell ref="C19:D19"/>
    <mergeCell ref="E19:G19"/>
    <mergeCell ref="C20:D20"/>
    <mergeCell ref="E20:G20"/>
    <mergeCell ref="C14:D14"/>
    <mergeCell ref="F14:G14"/>
    <mergeCell ref="B16:D16"/>
    <mergeCell ref="E16:G16"/>
    <mergeCell ref="C17:D17"/>
    <mergeCell ref="E17:G17"/>
    <mergeCell ref="C11:D11"/>
    <mergeCell ref="F11:G11"/>
    <mergeCell ref="C12:D12"/>
    <mergeCell ref="F12:G12"/>
    <mergeCell ref="C13:D13"/>
    <mergeCell ref="F13:G13"/>
    <mergeCell ref="B7:G7"/>
    <mergeCell ref="B9:D9"/>
    <mergeCell ref="E9:G9"/>
    <mergeCell ref="C10:D10"/>
    <mergeCell ref="F10:G10"/>
    <mergeCell ref="B2:G2"/>
    <mergeCell ref="B3:G3"/>
    <mergeCell ref="B5:C5"/>
    <mergeCell ref="D5:G5"/>
    <mergeCell ref="C6:D6"/>
  </mergeCells>
  <conditionalFormatting sqref="C6">
    <cfRule type="expression" dxfId="0" priority="2">
      <formula>ISNA(MATCH($C$6,Reg_Nom,0))</formula>
    </cfRule>
  </conditionalFormatting>
  <dataValidations count="2">
    <dataValidation type="list" allowBlank="1" errorTitle="Valeur invalide" error="Choisissez un collaborateur du registre." promptTitle="Collaborateur" prompt="Sélectionnez un collaborateur" sqref="C6" xr:uid="{00000000-0002-0000-0300-000000000000}">
      <formula1>Reg_Nom</formula1>
      <formula2>0</formula2>
    </dataValidation>
    <dataValidation type="list" allowBlank="1" promptTitle="Mois" prompt="Sélectionnez un mois" sqref="F6" xr:uid="{00000000-0002-0000-0300-000001000000}">
      <formula1>Liste_mois</formula1>
      <formula2>0</formula2>
    </dataValidation>
  </dataValidations>
  <pageMargins left="0.4" right="0.4" top="0.5" bottom="0.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A4D"/>
    <pageSetUpPr fitToPage="1"/>
  </sheetPr>
  <dimension ref="B2:C35"/>
  <sheetViews>
    <sheetView showGridLines="0" zoomScaleNormal="100" workbookViewId="0">
      <selection activeCell="I14" sqref="I14"/>
    </sheetView>
  </sheetViews>
  <sheetFormatPr baseColWidth="10" defaultColWidth="8.7109375" defaultRowHeight="15" x14ac:dyDescent="0.25"/>
  <cols>
    <col min="1" max="1" width="2" customWidth="1"/>
    <col min="2" max="2" width="4" customWidth="1"/>
    <col min="3" max="3" width="92" customWidth="1"/>
    <col min="4" max="4" width="2" customWidth="1"/>
  </cols>
  <sheetData>
    <row r="2" spans="2:3" ht="33.75" customHeight="1" x14ac:dyDescent="0.25">
      <c r="B2" s="14" t="s">
        <v>0</v>
      </c>
      <c r="C2" s="14"/>
    </row>
    <row r="3" spans="2:3" ht="19.5" customHeight="1" x14ac:dyDescent="0.25">
      <c r="B3" s="13" t="s">
        <v>1</v>
      </c>
      <c r="C3" s="13"/>
    </row>
    <row r="5" spans="2:3" ht="24" customHeight="1" x14ac:dyDescent="0.25">
      <c r="B5" s="12" t="s">
        <v>2</v>
      </c>
      <c r="C5" s="12"/>
    </row>
    <row r="6" spans="2:3" ht="57.75" customHeight="1" x14ac:dyDescent="0.25">
      <c r="B6" s="11" t="s">
        <v>3</v>
      </c>
      <c r="C6" s="11"/>
    </row>
    <row r="8" spans="2:3" ht="24" customHeight="1" x14ac:dyDescent="0.25">
      <c r="B8" s="12" t="s">
        <v>4</v>
      </c>
      <c r="C8" s="12"/>
    </row>
    <row r="9" spans="2:3" ht="18" customHeight="1" x14ac:dyDescent="0.25">
      <c r="B9" s="16" t="s">
        <v>5</v>
      </c>
      <c r="C9" s="17" t="s">
        <v>6</v>
      </c>
    </row>
    <row r="10" spans="2:3" ht="18" customHeight="1" x14ac:dyDescent="0.25">
      <c r="B10" s="16" t="s">
        <v>5</v>
      </c>
      <c r="C10" s="17" t="s">
        <v>7</v>
      </c>
    </row>
    <row r="11" spans="2:3" ht="18" customHeight="1" x14ac:dyDescent="0.25">
      <c r="B11" s="16" t="s">
        <v>5</v>
      </c>
      <c r="C11" s="17" t="s">
        <v>8</v>
      </c>
    </row>
    <row r="12" spans="2:3" ht="18" customHeight="1" x14ac:dyDescent="0.25">
      <c r="B12" s="16" t="s">
        <v>5</v>
      </c>
      <c r="C12" s="17" t="s">
        <v>9</v>
      </c>
    </row>
    <row r="13" spans="2:3" ht="18" customHeight="1" x14ac:dyDescent="0.25">
      <c r="B13" s="16" t="s">
        <v>5</v>
      </c>
      <c r="C13" s="17" t="s">
        <v>10</v>
      </c>
    </row>
    <row r="15" spans="2:3" ht="24" customHeight="1" x14ac:dyDescent="0.25">
      <c r="B15" s="12" t="s">
        <v>11</v>
      </c>
      <c r="C15" s="12"/>
    </row>
    <row r="16" spans="2:3" ht="30" customHeight="1" x14ac:dyDescent="0.25">
      <c r="B16" s="18">
        <v>1</v>
      </c>
      <c r="C16" s="17" t="s">
        <v>12</v>
      </c>
    </row>
    <row r="17" spans="2:3" ht="30" customHeight="1" x14ac:dyDescent="0.25">
      <c r="B17" s="18">
        <v>2</v>
      </c>
      <c r="C17" s="17" t="s">
        <v>13</v>
      </c>
    </row>
    <row r="18" spans="2:3" ht="30" customHeight="1" x14ac:dyDescent="0.25">
      <c r="B18" s="18">
        <v>3</v>
      </c>
      <c r="C18" s="17" t="s">
        <v>14</v>
      </c>
    </row>
    <row r="19" spans="2:3" ht="30" customHeight="1" x14ac:dyDescent="0.25">
      <c r="B19" s="18">
        <v>4</v>
      </c>
      <c r="C19" s="17" t="s">
        <v>15</v>
      </c>
    </row>
    <row r="20" spans="2:3" ht="30" customHeight="1" x14ac:dyDescent="0.25">
      <c r="B20" s="18">
        <v>5</v>
      </c>
      <c r="C20" s="17" t="s">
        <v>16</v>
      </c>
    </row>
    <row r="22" spans="2:3" ht="24" customHeight="1" x14ac:dyDescent="0.25">
      <c r="B22" s="12" t="s">
        <v>17</v>
      </c>
      <c r="C22" s="12"/>
    </row>
    <row r="23" spans="2:3" ht="19.5" customHeight="1" x14ac:dyDescent="0.25">
      <c r="B23" s="19"/>
      <c r="C23" s="17" t="s">
        <v>18</v>
      </c>
    </row>
    <row r="24" spans="2:3" ht="19.5" customHeight="1" x14ac:dyDescent="0.25">
      <c r="B24" s="20"/>
      <c r="C24" s="17" t="s">
        <v>19</v>
      </c>
    </row>
    <row r="25" spans="2:3" ht="19.5" customHeight="1" x14ac:dyDescent="0.25">
      <c r="B25" s="21"/>
      <c r="C25" s="17" t="s">
        <v>20</v>
      </c>
    </row>
    <row r="26" spans="2:3" ht="19.5" customHeight="1" x14ac:dyDescent="0.25">
      <c r="B26" s="22"/>
      <c r="C26" s="17" t="s">
        <v>21</v>
      </c>
    </row>
    <row r="28" spans="2:3" ht="24" customHeight="1" x14ac:dyDescent="0.25">
      <c r="B28" s="12" t="s">
        <v>22</v>
      </c>
      <c r="C28" s="12"/>
    </row>
    <row r="29" spans="2:3" ht="31.5" customHeight="1" x14ac:dyDescent="0.25">
      <c r="B29" s="23" t="s">
        <v>23</v>
      </c>
      <c r="C29" s="15" t="s">
        <v>24</v>
      </c>
    </row>
    <row r="30" spans="2:3" ht="31.5" customHeight="1" x14ac:dyDescent="0.25">
      <c r="B30" s="23" t="s">
        <v>23</v>
      </c>
      <c r="C30" s="15" t="s">
        <v>25</v>
      </c>
    </row>
    <row r="31" spans="2:3" ht="31.5" customHeight="1" x14ac:dyDescent="0.25">
      <c r="B31" s="23" t="s">
        <v>23</v>
      </c>
      <c r="C31" s="15" t="s">
        <v>26</v>
      </c>
    </row>
    <row r="32" spans="2:3" ht="31.5" customHeight="1" x14ac:dyDescent="0.25">
      <c r="B32" s="23" t="s">
        <v>23</v>
      </c>
      <c r="C32" s="15" t="s">
        <v>27</v>
      </c>
    </row>
    <row r="33" spans="2:3" ht="18" customHeight="1" x14ac:dyDescent="0.25">
      <c r="B33" s="23" t="s">
        <v>23</v>
      </c>
      <c r="C33" s="15" t="s">
        <v>28</v>
      </c>
    </row>
    <row r="34" spans="2:3" ht="31.5" customHeight="1" x14ac:dyDescent="0.25">
      <c r="B34" s="23" t="s">
        <v>23</v>
      </c>
      <c r="C34" s="15" t="s">
        <v>29</v>
      </c>
    </row>
    <row r="35" spans="2:3" ht="31.5" customHeight="1" x14ac:dyDescent="0.25">
      <c r="B35" s="23" t="s">
        <v>23</v>
      </c>
      <c r="C35" s="15" t="s">
        <v>30</v>
      </c>
    </row>
  </sheetData>
  <mergeCells count="8">
    <mergeCell ref="B15:C15"/>
    <mergeCell ref="B22:C22"/>
    <mergeCell ref="B28:C28"/>
    <mergeCell ref="B2:C2"/>
    <mergeCell ref="B3:C3"/>
    <mergeCell ref="B5:C5"/>
    <mergeCell ref="B6:C6"/>
    <mergeCell ref="B8:C8"/>
  </mergeCells>
  <pageMargins left="0.4" right="0.4" top="1" bottom="1" header="0.511811023622047" footer="0.511811023622047"/>
  <pageSetup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A4D"/>
    <pageSetUpPr fitToPage="1"/>
  </sheetPr>
  <dimension ref="B2:I37"/>
  <sheetViews>
    <sheetView showGridLines="0" zoomScaleNormal="100" workbookViewId="0"/>
  </sheetViews>
  <sheetFormatPr baseColWidth="10" defaultColWidth="8.7109375" defaultRowHeight="15" x14ac:dyDescent="0.25"/>
  <cols>
    <col min="1" max="1" width="2" customWidth="1"/>
    <col min="2" max="2" width="40" customWidth="1"/>
    <col min="3" max="3" width="14" customWidth="1"/>
    <col min="4" max="4" width="22" customWidth="1"/>
    <col min="5" max="5" width="2" customWidth="1"/>
    <col min="6" max="6" width="26" customWidth="1"/>
    <col min="7" max="7" width="15" customWidth="1"/>
    <col min="8" max="8" width="14" customWidth="1"/>
    <col min="9" max="9" width="12" customWidth="1"/>
  </cols>
  <sheetData>
    <row r="2" spans="2:9" ht="25.5" customHeight="1" x14ac:dyDescent="0.25">
      <c r="B2" s="10" t="s">
        <v>31</v>
      </c>
      <c r="C2" s="10"/>
      <c r="D2" s="10"/>
      <c r="E2" s="24"/>
      <c r="F2" s="9" t="s">
        <v>32</v>
      </c>
      <c r="G2" s="9"/>
      <c r="H2" s="9"/>
      <c r="I2" s="9"/>
    </row>
    <row r="3" spans="2:9" ht="27.75" customHeight="1" x14ac:dyDescent="0.25">
      <c r="B3" s="8" t="s">
        <v>33</v>
      </c>
      <c r="C3" s="8"/>
      <c r="D3" s="8"/>
      <c r="E3" s="8"/>
      <c r="F3" s="8"/>
      <c r="G3" s="8"/>
      <c r="H3" s="8"/>
      <c r="I3" s="8"/>
    </row>
    <row r="5" spans="2:9" ht="21.75" customHeight="1" x14ac:dyDescent="0.25">
      <c r="B5" s="7" t="s">
        <v>34</v>
      </c>
      <c r="C5" s="7"/>
      <c r="D5" s="7"/>
      <c r="F5" s="7" t="s">
        <v>35</v>
      </c>
      <c r="G5" s="7"/>
      <c r="H5" s="7"/>
    </row>
    <row r="6" spans="2:9" x14ac:dyDescent="0.25">
      <c r="B6" s="25" t="s">
        <v>36</v>
      </c>
      <c r="C6" s="26">
        <v>2027</v>
      </c>
      <c r="D6" s="27" t="s">
        <v>37</v>
      </c>
      <c r="F6" s="28" t="s">
        <v>38</v>
      </c>
      <c r="G6" s="29">
        <v>148200</v>
      </c>
    </row>
    <row r="7" spans="2:9" x14ac:dyDescent="0.25">
      <c r="B7" s="25" t="s">
        <v>39</v>
      </c>
      <c r="C7" s="30" t="s">
        <v>40</v>
      </c>
      <c r="F7" s="28" t="s">
        <v>41</v>
      </c>
      <c r="G7" s="29">
        <v>22680</v>
      </c>
    </row>
    <row r="8" spans="2:9" x14ac:dyDescent="0.25">
      <c r="F8" s="28" t="s">
        <v>42</v>
      </c>
      <c r="G8" s="29">
        <v>26460</v>
      </c>
    </row>
    <row r="9" spans="2:9" ht="21.75" customHeight="1" x14ac:dyDescent="0.25">
      <c r="B9" s="7" t="s">
        <v>43</v>
      </c>
      <c r="C9" s="7"/>
      <c r="D9" s="7"/>
      <c r="F9" s="28" t="s">
        <v>44</v>
      </c>
      <c r="G9" s="29">
        <v>3780</v>
      </c>
    </row>
    <row r="10" spans="2:9" x14ac:dyDescent="0.25">
      <c r="B10" s="31" t="s">
        <v>45</v>
      </c>
      <c r="C10" s="31" t="s">
        <v>46</v>
      </c>
      <c r="D10" s="31" t="s">
        <v>47</v>
      </c>
      <c r="F10" s="28" t="s">
        <v>48</v>
      </c>
      <c r="G10" s="29">
        <v>90720</v>
      </c>
    </row>
    <row r="11" spans="2:9" x14ac:dyDescent="0.25">
      <c r="B11" s="28" t="s">
        <v>49</v>
      </c>
      <c r="C11" s="32">
        <v>5.2999999999999999E-2</v>
      </c>
      <c r="D11" s="33" t="s">
        <v>50</v>
      </c>
      <c r="F11" s="28" t="s">
        <v>51</v>
      </c>
      <c r="G11" s="32">
        <v>0.5</v>
      </c>
    </row>
    <row r="12" spans="2:9" x14ac:dyDescent="0.25">
      <c r="B12" s="28" t="s">
        <v>52</v>
      </c>
      <c r="C12" s="32">
        <v>1.0999999999999999E-2</v>
      </c>
      <c r="D12" s="33" t="s">
        <v>53</v>
      </c>
      <c r="F12" s="25" t="s">
        <v>54</v>
      </c>
      <c r="G12" s="34">
        <f>Plafond_AC_annuel/12</f>
        <v>12350</v>
      </c>
    </row>
    <row r="13" spans="2:9" x14ac:dyDescent="0.25">
      <c r="B13" s="28" t="s">
        <v>55</v>
      </c>
      <c r="C13" s="32">
        <v>1.4E-2</v>
      </c>
      <c r="D13" s="33" t="s">
        <v>56</v>
      </c>
    </row>
    <row r="14" spans="2:9" ht="21.75" customHeight="1" x14ac:dyDescent="0.25">
      <c r="B14" s="28" t="s">
        <v>57</v>
      </c>
      <c r="C14" s="32">
        <v>8.0000000000000002E-3</v>
      </c>
      <c r="D14" s="33" t="s">
        <v>58</v>
      </c>
      <c r="F14" s="7" t="s">
        <v>59</v>
      </c>
      <c r="G14" s="7"/>
      <c r="H14" s="7"/>
    </row>
    <row r="15" spans="2:9" x14ac:dyDescent="0.25">
      <c r="B15" s="28" t="s">
        <v>60</v>
      </c>
      <c r="C15" s="32">
        <v>3.8000000000000002E-4</v>
      </c>
      <c r="D15" s="33" t="s">
        <v>61</v>
      </c>
      <c r="F15" s="31" t="s">
        <v>62</v>
      </c>
      <c r="G15" s="31" t="s">
        <v>63</v>
      </c>
      <c r="H15" s="31" t="s">
        <v>64</v>
      </c>
    </row>
    <row r="16" spans="2:9" x14ac:dyDescent="0.25">
      <c r="B16" s="6" t="s">
        <v>65</v>
      </c>
      <c r="C16" s="6"/>
      <c r="D16" s="6"/>
      <c r="F16" s="35">
        <v>0</v>
      </c>
      <c r="G16" s="35">
        <v>24</v>
      </c>
      <c r="H16" s="36">
        <v>0</v>
      </c>
    </row>
    <row r="17" spans="2:8" x14ac:dyDescent="0.25">
      <c r="F17" s="35">
        <v>25</v>
      </c>
      <c r="G17" s="35">
        <v>34</v>
      </c>
      <c r="H17" s="36">
        <v>7.0000000000000007E-2</v>
      </c>
    </row>
    <row r="18" spans="2:8" ht="21.75" customHeight="1" x14ac:dyDescent="0.25">
      <c r="B18" s="7" t="s">
        <v>66</v>
      </c>
      <c r="C18" s="7"/>
      <c r="D18" s="7"/>
      <c r="F18" s="35">
        <v>35</v>
      </c>
      <c r="G18" s="35">
        <v>44</v>
      </c>
      <c r="H18" s="36">
        <v>0.1</v>
      </c>
    </row>
    <row r="19" spans="2:8" x14ac:dyDescent="0.25">
      <c r="B19" s="28" t="s">
        <v>67</v>
      </c>
      <c r="C19" s="32">
        <v>8.0000000000000002E-3</v>
      </c>
      <c r="F19" s="35">
        <v>45</v>
      </c>
      <c r="G19" s="35">
        <v>54</v>
      </c>
      <c r="H19" s="36">
        <v>0.15</v>
      </c>
    </row>
    <row r="20" spans="2:8" x14ac:dyDescent="0.25">
      <c r="B20" s="28" t="s">
        <v>68</v>
      </c>
      <c r="C20" s="32">
        <v>1.7000000000000001E-2</v>
      </c>
      <c r="F20" s="35">
        <v>55</v>
      </c>
      <c r="G20" s="35">
        <v>65</v>
      </c>
      <c r="H20" s="36">
        <v>0.18</v>
      </c>
    </row>
    <row r="21" spans="2:8" x14ac:dyDescent="0.25">
      <c r="B21" s="28" t="s">
        <v>69</v>
      </c>
      <c r="C21" s="32">
        <v>5.0000000000000001E-3</v>
      </c>
    </row>
    <row r="24" spans="2:8" ht="21.75" customHeight="1" x14ac:dyDescent="0.25">
      <c r="B24" s="7" t="s">
        <v>70</v>
      </c>
      <c r="C24" s="7"/>
      <c r="D24" s="7"/>
      <c r="F24" s="7" t="s">
        <v>71</v>
      </c>
      <c r="G24" s="7"/>
      <c r="H24" s="7"/>
    </row>
    <row r="25" spans="2:8" x14ac:dyDescent="0.25">
      <c r="B25" s="31" t="s">
        <v>72</v>
      </c>
      <c r="C25" s="31" t="s">
        <v>73</v>
      </c>
      <c r="D25" s="31" t="s">
        <v>74</v>
      </c>
      <c r="F25" s="31" t="s">
        <v>72</v>
      </c>
      <c r="G25" s="31" t="s">
        <v>75</v>
      </c>
    </row>
    <row r="26" spans="2:8" x14ac:dyDescent="0.25">
      <c r="B26" s="37" t="s">
        <v>76</v>
      </c>
      <c r="C26" s="38" t="s">
        <v>77</v>
      </c>
      <c r="D26" s="38" t="s">
        <v>78</v>
      </c>
      <c r="F26" s="37" t="s">
        <v>76</v>
      </c>
      <c r="G26" s="39">
        <v>1</v>
      </c>
    </row>
    <row r="27" spans="2:8" x14ac:dyDescent="0.25">
      <c r="B27" s="37" t="s">
        <v>79</v>
      </c>
      <c r="C27" s="38" t="s">
        <v>80</v>
      </c>
      <c r="D27" s="38" t="s">
        <v>81</v>
      </c>
      <c r="F27" s="37" t="s">
        <v>79</v>
      </c>
      <c r="G27" s="39">
        <v>2</v>
      </c>
    </row>
    <row r="28" spans="2:8" x14ac:dyDescent="0.25">
      <c r="B28" s="37" t="s">
        <v>82</v>
      </c>
      <c r="D28" s="38" t="s">
        <v>83</v>
      </c>
      <c r="F28" s="37" t="s">
        <v>82</v>
      </c>
      <c r="G28" s="39">
        <v>3</v>
      </c>
    </row>
    <row r="29" spans="2:8" x14ac:dyDescent="0.25">
      <c r="B29" s="37" t="s">
        <v>84</v>
      </c>
      <c r="D29" s="38" t="s">
        <v>85</v>
      </c>
      <c r="F29" s="37" t="s">
        <v>84</v>
      </c>
      <c r="G29" s="39">
        <v>4</v>
      </c>
    </row>
    <row r="30" spans="2:8" x14ac:dyDescent="0.25">
      <c r="B30" s="37" t="s">
        <v>86</v>
      </c>
      <c r="D30" s="38" t="s">
        <v>87</v>
      </c>
      <c r="F30" s="37" t="s">
        <v>86</v>
      </c>
      <c r="G30" s="39">
        <v>5</v>
      </c>
    </row>
    <row r="31" spans="2:8" x14ac:dyDescent="0.25">
      <c r="B31" s="37" t="s">
        <v>88</v>
      </c>
      <c r="D31" s="38" t="s">
        <v>89</v>
      </c>
      <c r="F31" s="37" t="s">
        <v>88</v>
      </c>
      <c r="G31" s="39">
        <v>6</v>
      </c>
    </row>
    <row r="32" spans="2:8" x14ac:dyDescent="0.25">
      <c r="B32" s="37" t="s">
        <v>90</v>
      </c>
      <c r="D32" s="38" t="s">
        <v>91</v>
      </c>
      <c r="F32" s="37" t="s">
        <v>90</v>
      </c>
      <c r="G32" s="39">
        <v>7</v>
      </c>
    </row>
    <row r="33" spans="2:7" x14ac:dyDescent="0.25">
      <c r="B33" s="37" t="s">
        <v>92</v>
      </c>
      <c r="D33" s="38" t="s">
        <v>93</v>
      </c>
      <c r="F33" s="37" t="s">
        <v>92</v>
      </c>
      <c r="G33" s="39">
        <v>8</v>
      </c>
    </row>
    <row r="34" spans="2:7" x14ac:dyDescent="0.25">
      <c r="B34" s="37" t="s">
        <v>94</v>
      </c>
      <c r="D34" s="38" t="s">
        <v>95</v>
      </c>
      <c r="F34" s="37" t="s">
        <v>94</v>
      </c>
      <c r="G34" s="39">
        <v>9</v>
      </c>
    </row>
    <row r="35" spans="2:7" x14ac:dyDescent="0.25">
      <c r="B35" s="37" t="s">
        <v>96</v>
      </c>
      <c r="D35" s="38" t="s">
        <v>97</v>
      </c>
      <c r="F35" s="37" t="s">
        <v>96</v>
      </c>
      <c r="G35" s="39">
        <v>10</v>
      </c>
    </row>
    <row r="36" spans="2:7" x14ac:dyDescent="0.25">
      <c r="B36" s="37" t="s">
        <v>98</v>
      </c>
      <c r="D36" s="38" t="s">
        <v>99</v>
      </c>
      <c r="F36" s="37" t="s">
        <v>98</v>
      </c>
      <c r="G36" s="39">
        <v>11</v>
      </c>
    </row>
    <row r="37" spans="2:7" x14ac:dyDescent="0.25">
      <c r="B37" s="37" t="s">
        <v>100</v>
      </c>
      <c r="D37" s="38" t="s">
        <v>101</v>
      </c>
      <c r="F37" s="37" t="s">
        <v>100</v>
      </c>
      <c r="G37" s="39">
        <v>12</v>
      </c>
    </row>
  </sheetData>
  <mergeCells count="11">
    <mergeCell ref="B9:D9"/>
    <mergeCell ref="F14:H14"/>
    <mergeCell ref="B16:D16"/>
    <mergeCell ref="B18:D18"/>
    <mergeCell ref="B24:D24"/>
    <mergeCell ref="F24:H24"/>
    <mergeCell ref="B2:D2"/>
    <mergeCell ref="F2:I2"/>
    <mergeCell ref="B3:I3"/>
    <mergeCell ref="B5:D5"/>
    <mergeCell ref="F5:H5"/>
  </mergeCells>
  <pageMargins left="0.4" right="0.4"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3A4D"/>
    <pageSetUpPr fitToPage="1"/>
  </sheetPr>
  <dimension ref="A1:M56"/>
  <sheetViews>
    <sheetView showGridLines="0" zoomScaleNormal="100" workbookViewId="0">
      <pane ySplit="3" topLeftCell="A4" activePane="bottomLeft" state="frozen"/>
      <selection pane="bottomLeft" sqref="A1:M1"/>
    </sheetView>
  </sheetViews>
  <sheetFormatPr baseColWidth="10" defaultColWidth="8.7109375" defaultRowHeight="15" x14ac:dyDescent="0.25"/>
  <cols>
    <col min="1" max="1" width="12" customWidth="1"/>
    <col min="2" max="2" width="26" customWidth="1"/>
    <col min="3" max="3" width="20" customWidth="1"/>
    <col min="4" max="4" width="17" customWidth="1"/>
    <col min="5" max="5" width="9" customWidth="1"/>
    <col min="6" max="6" width="13" customWidth="1"/>
    <col min="7" max="7" width="15" customWidth="1"/>
    <col min="8" max="8" width="17" customWidth="1"/>
    <col min="9" max="9" width="12" customWidth="1"/>
    <col min="10" max="10" width="15" customWidth="1"/>
    <col min="11" max="11" width="14" customWidth="1"/>
    <col min="12" max="13" width="12" customWidth="1"/>
  </cols>
  <sheetData>
    <row r="1" spans="1:13" ht="30" customHeight="1" x14ac:dyDescent="0.25">
      <c r="A1" s="10" t="s">
        <v>102</v>
      </c>
      <c r="B1" s="10"/>
      <c r="C1" s="10"/>
      <c r="D1" s="10"/>
      <c r="E1" s="10"/>
      <c r="F1" s="10"/>
      <c r="G1" s="10"/>
      <c r="H1" s="10"/>
      <c r="I1" s="10"/>
      <c r="J1" s="10"/>
      <c r="K1" s="10"/>
      <c r="L1" s="10"/>
      <c r="M1" s="10"/>
    </row>
    <row r="2" spans="1:13" ht="25.5" customHeight="1" x14ac:dyDescent="0.25">
      <c r="A2" s="8" t="s">
        <v>103</v>
      </c>
      <c r="B2" s="8"/>
      <c r="C2" s="8"/>
      <c r="D2" s="8"/>
      <c r="E2" s="8"/>
      <c r="F2" s="8"/>
      <c r="G2" s="8"/>
      <c r="H2" s="8"/>
      <c r="I2" s="8"/>
      <c r="J2" s="8"/>
      <c r="K2" s="8"/>
      <c r="L2" s="8"/>
      <c r="M2" s="8"/>
    </row>
    <row r="3" spans="1:13" ht="33.75" customHeight="1" x14ac:dyDescent="0.25">
      <c r="A3" s="40" t="s">
        <v>104</v>
      </c>
      <c r="B3" s="40" t="s">
        <v>105</v>
      </c>
      <c r="C3" s="40" t="s">
        <v>106</v>
      </c>
      <c r="D3" s="40" t="s">
        <v>107</v>
      </c>
      <c r="E3" s="40" t="s">
        <v>108</v>
      </c>
      <c r="F3" s="40" t="s">
        <v>109</v>
      </c>
      <c r="G3" s="40" t="s">
        <v>110</v>
      </c>
      <c r="H3" s="40" t="s">
        <v>111</v>
      </c>
      <c r="I3" s="40" t="s">
        <v>112</v>
      </c>
      <c r="J3" s="40" t="s">
        <v>113</v>
      </c>
      <c r="K3" s="40" t="s">
        <v>114</v>
      </c>
      <c r="L3" s="40" t="s">
        <v>115</v>
      </c>
      <c r="M3" s="40" t="s">
        <v>116</v>
      </c>
    </row>
    <row r="4" spans="1:13" ht="19.5" customHeight="1" x14ac:dyDescent="0.25">
      <c r="A4" s="41" t="s">
        <v>117</v>
      </c>
      <c r="B4" s="42" t="s">
        <v>118</v>
      </c>
      <c r="C4" s="41" t="s">
        <v>119</v>
      </c>
      <c r="D4" s="43">
        <v>31120</v>
      </c>
      <c r="E4" s="41" t="s">
        <v>78</v>
      </c>
      <c r="F4" s="44">
        <v>1</v>
      </c>
      <c r="G4" s="43">
        <v>44440</v>
      </c>
      <c r="H4" s="45">
        <v>6800</v>
      </c>
      <c r="I4" s="41" t="s">
        <v>77</v>
      </c>
      <c r="J4" s="41" t="s">
        <v>80</v>
      </c>
      <c r="K4" s="46">
        <v>0</v>
      </c>
      <c r="L4" s="46">
        <v>1.4E-2</v>
      </c>
      <c r="M4" s="46">
        <v>8.0000000000000002E-3</v>
      </c>
    </row>
    <row r="5" spans="1:13" ht="19.5" customHeight="1" x14ac:dyDescent="0.25">
      <c r="A5" s="41" t="s">
        <v>120</v>
      </c>
      <c r="B5" s="42" t="s">
        <v>121</v>
      </c>
      <c r="C5" s="41" t="s">
        <v>122</v>
      </c>
      <c r="D5" s="43">
        <v>29058</v>
      </c>
      <c r="E5" s="41" t="s">
        <v>81</v>
      </c>
      <c r="F5" s="44">
        <v>0.8</v>
      </c>
      <c r="G5" s="43">
        <v>43480</v>
      </c>
      <c r="H5" s="45">
        <v>7400</v>
      </c>
      <c r="I5" s="41" t="s">
        <v>77</v>
      </c>
      <c r="J5" s="41" t="s">
        <v>80</v>
      </c>
      <c r="K5" s="46">
        <v>0</v>
      </c>
      <c r="L5" s="46">
        <v>1.2500000000000001E-2</v>
      </c>
      <c r="M5" s="46">
        <v>8.0000000000000002E-3</v>
      </c>
    </row>
    <row r="6" spans="1:13" ht="19.5" customHeight="1" x14ac:dyDescent="0.25">
      <c r="A6" s="41" t="s">
        <v>123</v>
      </c>
      <c r="B6" s="42" t="s">
        <v>124</v>
      </c>
      <c r="C6" s="41" t="s">
        <v>125</v>
      </c>
      <c r="D6" s="43">
        <v>35372</v>
      </c>
      <c r="E6" s="41" t="s">
        <v>78</v>
      </c>
      <c r="F6" s="44">
        <v>1</v>
      </c>
      <c r="G6" s="43">
        <v>45078</v>
      </c>
      <c r="H6" s="45">
        <v>5600</v>
      </c>
      <c r="I6" s="41" t="s">
        <v>77</v>
      </c>
      <c r="J6" s="41" t="s">
        <v>77</v>
      </c>
      <c r="K6" s="46">
        <v>0.11799999999999999</v>
      </c>
      <c r="L6" s="46">
        <v>1.4E-2</v>
      </c>
      <c r="M6" s="46">
        <v>8.0000000000000002E-3</v>
      </c>
    </row>
    <row r="7" spans="1:13" ht="19.5" customHeight="1" x14ac:dyDescent="0.25">
      <c r="A7" s="41" t="s">
        <v>126</v>
      </c>
      <c r="B7" s="42" t="s">
        <v>127</v>
      </c>
      <c r="C7" s="41" t="s">
        <v>128</v>
      </c>
      <c r="D7" s="43">
        <v>24988</v>
      </c>
      <c r="E7" s="41" t="s">
        <v>85</v>
      </c>
      <c r="F7" s="44">
        <v>1</v>
      </c>
      <c r="G7" s="43">
        <v>40238</v>
      </c>
      <c r="H7" s="45">
        <v>9200</v>
      </c>
      <c r="I7" s="41" t="s">
        <v>77</v>
      </c>
      <c r="J7" s="41" t="s">
        <v>80</v>
      </c>
      <c r="K7" s="46">
        <v>0</v>
      </c>
      <c r="L7" s="46">
        <v>1.0999999999999999E-2</v>
      </c>
      <c r="M7" s="46">
        <v>7.4999999999999997E-3</v>
      </c>
    </row>
    <row r="8" spans="1:13" ht="19.5" customHeight="1" x14ac:dyDescent="0.25">
      <c r="A8" s="41" t="s">
        <v>129</v>
      </c>
      <c r="B8" s="42" t="s">
        <v>130</v>
      </c>
      <c r="C8" s="41" t="s">
        <v>131</v>
      </c>
      <c r="D8" s="43">
        <v>37153</v>
      </c>
      <c r="E8" s="41" t="s">
        <v>81</v>
      </c>
      <c r="F8" s="44">
        <v>0.6</v>
      </c>
      <c r="G8" s="43">
        <v>45566</v>
      </c>
      <c r="H8" s="45">
        <v>4200</v>
      </c>
      <c r="I8" s="41" t="s">
        <v>80</v>
      </c>
      <c r="J8" s="41" t="s">
        <v>77</v>
      </c>
      <c r="K8" s="46">
        <v>9.5000000000000001E-2</v>
      </c>
      <c r="L8" s="46">
        <v>1.2500000000000001E-2</v>
      </c>
      <c r="M8" s="46">
        <v>8.0000000000000002E-3</v>
      </c>
    </row>
    <row r="9" spans="1:13" ht="18" customHeight="1" x14ac:dyDescent="0.25">
      <c r="A9" s="47"/>
      <c r="B9" s="48"/>
      <c r="C9" s="47"/>
      <c r="D9" s="49"/>
      <c r="E9" s="47"/>
      <c r="F9" s="50"/>
      <c r="G9" s="49"/>
      <c r="H9" s="51"/>
      <c r="I9" s="47"/>
      <c r="J9" s="47"/>
      <c r="K9" s="36"/>
      <c r="L9" s="36"/>
      <c r="M9" s="36"/>
    </row>
    <row r="10" spans="1:13" ht="18" customHeight="1" x14ac:dyDescent="0.25">
      <c r="A10" s="47"/>
      <c r="B10" s="48"/>
      <c r="C10" s="47"/>
      <c r="D10" s="49"/>
      <c r="E10" s="47"/>
      <c r="F10" s="50"/>
      <c r="G10" s="49"/>
      <c r="H10" s="51"/>
      <c r="I10" s="47"/>
      <c r="J10" s="47"/>
      <c r="K10" s="36"/>
      <c r="L10" s="36"/>
      <c r="M10" s="36"/>
    </row>
    <row r="11" spans="1:13" ht="18" customHeight="1" x14ac:dyDescent="0.25">
      <c r="A11" s="47"/>
      <c r="B11" s="48"/>
      <c r="C11" s="47"/>
      <c r="D11" s="49"/>
      <c r="E11" s="47"/>
      <c r="F11" s="50"/>
      <c r="G11" s="49"/>
      <c r="H11" s="51"/>
      <c r="I11" s="47"/>
      <c r="J11" s="47"/>
      <c r="K11" s="36"/>
      <c r="L11" s="36"/>
      <c r="M11" s="36"/>
    </row>
    <row r="12" spans="1:13" ht="18" customHeight="1" x14ac:dyDescent="0.25">
      <c r="A12" s="47"/>
      <c r="B12" s="48"/>
      <c r="C12" s="47"/>
      <c r="D12" s="49"/>
      <c r="E12" s="47"/>
      <c r="F12" s="50"/>
      <c r="G12" s="49"/>
      <c r="H12" s="51"/>
      <c r="I12" s="47"/>
      <c r="J12" s="47"/>
      <c r="K12" s="36"/>
      <c r="L12" s="36"/>
      <c r="M12" s="36"/>
    </row>
    <row r="13" spans="1:13" ht="18" customHeight="1" x14ac:dyDescent="0.25">
      <c r="A13" s="47"/>
      <c r="B13" s="48"/>
      <c r="C13" s="47"/>
      <c r="D13" s="49"/>
      <c r="E13" s="47"/>
      <c r="F13" s="50"/>
      <c r="G13" s="49"/>
      <c r="H13" s="51"/>
      <c r="I13" s="47"/>
      <c r="J13" s="47"/>
      <c r="K13" s="36"/>
      <c r="L13" s="36"/>
      <c r="M13" s="36"/>
    </row>
    <row r="14" spans="1:13" ht="18" customHeight="1" x14ac:dyDescent="0.25">
      <c r="A14" s="47"/>
      <c r="B14" s="48"/>
      <c r="C14" s="47"/>
      <c r="D14" s="49"/>
      <c r="E14" s="47"/>
      <c r="F14" s="50"/>
      <c r="G14" s="49"/>
      <c r="H14" s="51"/>
      <c r="I14" s="47"/>
      <c r="J14" s="47"/>
      <c r="K14" s="36"/>
      <c r="L14" s="36"/>
      <c r="M14" s="36"/>
    </row>
    <row r="15" spans="1:13" ht="18" customHeight="1" x14ac:dyDescent="0.25">
      <c r="A15" s="47"/>
      <c r="B15" s="48"/>
      <c r="C15" s="47"/>
      <c r="D15" s="49"/>
      <c r="E15" s="47"/>
      <c r="F15" s="50"/>
      <c r="G15" s="49"/>
      <c r="H15" s="51"/>
      <c r="I15" s="47"/>
      <c r="J15" s="47"/>
      <c r="K15" s="36"/>
      <c r="L15" s="36"/>
      <c r="M15" s="36"/>
    </row>
    <row r="16" spans="1:13" ht="18" customHeight="1" x14ac:dyDescent="0.25">
      <c r="A16" s="47"/>
      <c r="B16" s="48"/>
      <c r="C16" s="47"/>
      <c r="D16" s="49"/>
      <c r="E16" s="47"/>
      <c r="F16" s="50"/>
      <c r="G16" s="49"/>
      <c r="H16" s="51"/>
      <c r="I16" s="47"/>
      <c r="J16" s="47"/>
      <c r="K16" s="36"/>
      <c r="L16" s="36"/>
      <c r="M16" s="36"/>
    </row>
    <row r="17" spans="1:13" ht="18" customHeight="1" x14ac:dyDescent="0.25">
      <c r="A17" s="47"/>
      <c r="B17" s="48"/>
      <c r="C17" s="47"/>
      <c r="D17" s="49"/>
      <c r="E17" s="47"/>
      <c r="F17" s="50"/>
      <c r="G17" s="49"/>
      <c r="H17" s="51"/>
      <c r="I17" s="47"/>
      <c r="J17" s="47"/>
      <c r="K17" s="36"/>
      <c r="L17" s="36"/>
      <c r="M17" s="36"/>
    </row>
    <row r="18" spans="1:13" ht="18" customHeight="1" x14ac:dyDescent="0.25">
      <c r="A18" s="47"/>
      <c r="B18" s="48"/>
      <c r="C18" s="47"/>
      <c r="D18" s="49"/>
      <c r="E18" s="47"/>
      <c r="F18" s="50"/>
      <c r="G18" s="49"/>
      <c r="H18" s="51"/>
      <c r="I18" s="47"/>
      <c r="J18" s="47"/>
      <c r="K18" s="36"/>
      <c r="L18" s="36"/>
      <c r="M18" s="36"/>
    </row>
    <row r="19" spans="1:13" ht="18" customHeight="1" x14ac:dyDescent="0.25">
      <c r="A19" s="47"/>
      <c r="B19" s="48"/>
      <c r="C19" s="47"/>
      <c r="D19" s="49"/>
      <c r="E19" s="47"/>
      <c r="F19" s="50"/>
      <c r="G19" s="49"/>
      <c r="H19" s="51"/>
      <c r="I19" s="47"/>
      <c r="J19" s="47"/>
      <c r="K19" s="36"/>
      <c r="L19" s="36"/>
      <c r="M19" s="36"/>
    </row>
    <row r="20" spans="1:13" ht="18" customHeight="1" x14ac:dyDescent="0.25">
      <c r="A20" s="47"/>
      <c r="B20" s="48"/>
      <c r="C20" s="47"/>
      <c r="D20" s="49"/>
      <c r="E20" s="47"/>
      <c r="F20" s="50"/>
      <c r="G20" s="49"/>
      <c r="H20" s="51"/>
      <c r="I20" s="47"/>
      <c r="J20" s="47"/>
      <c r="K20" s="36"/>
      <c r="L20" s="36"/>
      <c r="M20" s="36"/>
    </row>
    <row r="21" spans="1:13" ht="18" customHeight="1" x14ac:dyDescent="0.25">
      <c r="A21" s="47"/>
      <c r="B21" s="48"/>
      <c r="C21" s="47"/>
      <c r="D21" s="49"/>
      <c r="E21" s="47"/>
      <c r="F21" s="50"/>
      <c r="G21" s="49"/>
      <c r="H21" s="51"/>
      <c r="I21" s="47"/>
      <c r="J21" s="47"/>
      <c r="K21" s="36"/>
      <c r="L21" s="36"/>
      <c r="M21" s="36"/>
    </row>
    <row r="22" spans="1:13" ht="18" customHeight="1" x14ac:dyDescent="0.25">
      <c r="A22" s="47"/>
      <c r="B22" s="48"/>
      <c r="C22" s="47"/>
      <c r="D22" s="49"/>
      <c r="E22" s="47"/>
      <c r="F22" s="50"/>
      <c r="G22" s="49"/>
      <c r="H22" s="51"/>
      <c r="I22" s="47"/>
      <c r="J22" s="47"/>
      <c r="K22" s="36"/>
      <c r="L22" s="36"/>
      <c r="M22" s="36"/>
    </row>
    <row r="23" spans="1:13" ht="18" customHeight="1" x14ac:dyDescent="0.25">
      <c r="A23" s="47"/>
      <c r="B23" s="48"/>
      <c r="C23" s="47"/>
      <c r="D23" s="49"/>
      <c r="E23" s="47"/>
      <c r="F23" s="50"/>
      <c r="G23" s="49"/>
      <c r="H23" s="51"/>
      <c r="I23" s="47"/>
      <c r="J23" s="47"/>
      <c r="K23" s="36"/>
      <c r="L23" s="36"/>
      <c r="M23" s="36"/>
    </row>
    <row r="24" spans="1:13" ht="18" customHeight="1" x14ac:dyDescent="0.25">
      <c r="A24" s="47"/>
      <c r="B24" s="48"/>
      <c r="C24" s="47"/>
      <c r="D24" s="49"/>
      <c r="E24" s="47"/>
      <c r="F24" s="50"/>
      <c r="G24" s="49"/>
      <c r="H24" s="51"/>
      <c r="I24" s="47"/>
      <c r="J24" s="47"/>
      <c r="K24" s="36"/>
      <c r="L24" s="36"/>
      <c r="M24" s="36"/>
    </row>
    <row r="25" spans="1:13" ht="18" customHeight="1" x14ac:dyDescent="0.25">
      <c r="A25" s="47"/>
      <c r="B25" s="48"/>
      <c r="C25" s="47"/>
      <c r="D25" s="49"/>
      <c r="E25" s="47"/>
      <c r="F25" s="50"/>
      <c r="G25" s="49"/>
      <c r="H25" s="51"/>
      <c r="I25" s="47"/>
      <c r="J25" s="47"/>
      <c r="K25" s="36"/>
      <c r="L25" s="36"/>
      <c r="M25" s="36"/>
    </row>
    <row r="26" spans="1:13" ht="18" customHeight="1" x14ac:dyDescent="0.25">
      <c r="A26" s="47"/>
      <c r="B26" s="48"/>
      <c r="C26" s="47"/>
      <c r="D26" s="49"/>
      <c r="E26" s="47"/>
      <c r="F26" s="50"/>
      <c r="G26" s="49"/>
      <c r="H26" s="51"/>
      <c r="I26" s="47"/>
      <c r="J26" s="47"/>
      <c r="K26" s="36"/>
      <c r="L26" s="36"/>
      <c r="M26" s="36"/>
    </row>
    <row r="27" spans="1:13" ht="18" customHeight="1" x14ac:dyDescent="0.25">
      <c r="A27" s="47"/>
      <c r="B27" s="48"/>
      <c r="C27" s="47"/>
      <c r="D27" s="49"/>
      <c r="E27" s="47"/>
      <c r="F27" s="50"/>
      <c r="G27" s="49"/>
      <c r="H27" s="51"/>
      <c r="I27" s="47"/>
      <c r="J27" s="47"/>
      <c r="K27" s="36"/>
      <c r="L27" s="36"/>
      <c r="M27" s="36"/>
    </row>
    <row r="28" spans="1:13" ht="18" customHeight="1" x14ac:dyDescent="0.25">
      <c r="A28" s="47"/>
      <c r="B28" s="48"/>
      <c r="C28" s="47"/>
      <c r="D28" s="49"/>
      <c r="E28" s="47"/>
      <c r="F28" s="50"/>
      <c r="G28" s="49"/>
      <c r="H28" s="51"/>
      <c r="I28" s="47"/>
      <c r="J28" s="47"/>
      <c r="K28" s="36"/>
      <c r="L28" s="36"/>
      <c r="M28" s="36"/>
    </row>
    <row r="29" spans="1:13" ht="18" customHeight="1" x14ac:dyDescent="0.25">
      <c r="A29" s="47"/>
      <c r="B29" s="48"/>
      <c r="C29" s="47"/>
      <c r="D29" s="49"/>
      <c r="E29" s="47"/>
      <c r="F29" s="50"/>
      <c r="G29" s="49"/>
      <c r="H29" s="51"/>
      <c r="I29" s="47"/>
      <c r="J29" s="47"/>
      <c r="K29" s="36"/>
      <c r="L29" s="36"/>
      <c r="M29" s="36"/>
    </row>
    <row r="30" spans="1:13" ht="18" customHeight="1" x14ac:dyDescent="0.25">
      <c r="A30" s="47"/>
      <c r="B30" s="48"/>
      <c r="C30" s="47"/>
      <c r="D30" s="49"/>
      <c r="E30" s="47"/>
      <c r="F30" s="50"/>
      <c r="G30" s="49"/>
      <c r="H30" s="51"/>
      <c r="I30" s="47"/>
      <c r="J30" s="47"/>
      <c r="K30" s="36"/>
      <c r="L30" s="36"/>
      <c r="M30" s="36"/>
    </row>
    <row r="31" spans="1:13" ht="18" customHeight="1" x14ac:dyDescent="0.25">
      <c r="A31" s="47"/>
      <c r="B31" s="48"/>
      <c r="C31" s="47"/>
      <c r="D31" s="49"/>
      <c r="E31" s="47"/>
      <c r="F31" s="50"/>
      <c r="G31" s="49"/>
      <c r="H31" s="51"/>
      <c r="I31" s="47"/>
      <c r="J31" s="47"/>
      <c r="K31" s="36"/>
      <c r="L31" s="36"/>
      <c r="M31" s="36"/>
    </row>
    <row r="32" spans="1:13" ht="18" customHeight="1" x14ac:dyDescent="0.25">
      <c r="A32" s="47"/>
      <c r="B32" s="48"/>
      <c r="C32" s="47"/>
      <c r="D32" s="49"/>
      <c r="E32" s="47"/>
      <c r="F32" s="50"/>
      <c r="G32" s="49"/>
      <c r="H32" s="51"/>
      <c r="I32" s="47"/>
      <c r="J32" s="47"/>
      <c r="K32" s="36"/>
      <c r="L32" s="36"/>
      <c r="M32" s="36"/>
    </row>
    <row r="33" spans="1:13" ht="18" customHeight="1" x14ac:dyDescent="0.25">
      <c r="A33" s="47"/>
      <c r="B33" s="48"/>
      <c r="C33" s="47"/>
      <c r="D33" s="49"/>
      <c r="E33" s="47"/>
      <c r="F33" s="50"/>
      <c r="G33" s="49"/>
      <c r="H33" s="51"/>
      <c r="I33" s="47"/>
      <c r="J33" s="47"/>
      <c r="K33" s="36"/>
      <c r="L33" s="36"/>
      <c r="M33" s="36"/>
    </row>
    <row r="34" spans="1:13" ht="18" customHeight="1" x14ac:dyDescent="0.25">
      <c r="A34" s="47"/>
      <c r="B34" s="48"/>
      <c r="C34" s="47"/>
      <c r="D34" s="49"/>
      <c r="E34" s="47"/>
      <c r="F34" s="50"/>
      <c r="G34" s="49"/>
      <c r="H34" s="51"/>
      <c r="I34" s="47"/>
      <c r="J34" s="47"/>
      <c r="K34" s="36"/>
      <c r="L34" s="36"/>
      <c r="M34" s="36"/>
    </row>
    <row r="35" spans="1:13" ht="18" customHeight="1" x14ac:dyDescent="0.25">
      <c r="A35" s="47"/>
      <c r="B35" s="48"/>
      <c r="C35" s="47"/>
      <c r="D35" s="49"/>
      <c r="E35" s="47"/>
      <c r="F35" s="50"/>
      <c r="G35" s="49"/>
      <c r="H35" s="51"/>
      <c r="I35" s="47"/>
      <c r="J35" s="47"/>
      <c r="K35" s="36"/>
      <c r="L35" s="36"/>
      <c r="M35" s="36"/>
    </row>
    <row r="36" spans="1:13" ht="18" customHeight="1" x14ac:dyDescent="0.25">
      <c r="A36" s="47"/>
      <c r="B36" s="48"/>
      <c r="C36" s="47"/>
      <c r="D36" s="49"/>
      <c r="E36" s="47"/>
      <c r="F36" s="50"/>
      <c r="G36" s="49"/>
      <c r="H36" s="51"/>
      <c r="I36" s="47"/>
      <c r="J36" s="47"/>
      <c r="K36" s="36"/>
      <c r="L36" s="36"/>
      <c r="M36" s="36"/>
    </row>
    <row r="37" spans="1:13" ht="18" customHeight="1" x14ac:dyDescent="0.25">
      <c r="A37" s="47"/>
      <c r="B37" s="48"/>
      <c r="C37" s="47"/>
      <c r="D37" s="49"/>
      <c r="E37" s="47"/>
      <c r="F37" s="50"/>
      <c r="G37" s="49"/>
      <c r="H37" s="51"/>
      <c r="I37" s="47"/>
      <c r="J37" s="47"/>
      <c r="K37" s="36"/>
      <c r="L37" s="36"/>
      <c r="M37" s="36"/>
    </row>
    <row r="38" spans="1:13" ht="18" customHeight="1" x14ac:dyDescent="0.25">
      <c r="A38" s="47"/>
      <c r="B38" s="48"/>
      <c r="C38" s="47"/>
      <c r="D38" s="49"/>
      <c r="E38" s="47"/>
      <c r="F38" s="50"/>
      <c r="G38" s="49"/>
      <c r="H38" s="51"/>
      <c r="I38" s="47"/>
      <c r="J38" s="47"/>
      <c r="K38" s="36"/>
      <c r="L38" s="36"/>
      <c r="M38" s="36"/>
    </row>
    <row r="39" spans="1:13" ht="18" customHeight="1" x14ac:dyDescent="0.25">
      <c r="A39" s="47"/>
      <c r="B39" s="48"/>
      <c r="C39" s="47"/>
      <c r="D39" s="49"/>
      <c r="E39" s="47"/>
      <c r="F39" s="50"/>
      <c r="G39" s="49"/>
      <c r="H39" s="51"/>
      <c r="I39" s="47"/>
      <c r="J39" s="47"/>
      <c r="K39" s="36"/>
      <c r="L39" s="36"/>
      <c r="M39" s="36"/>
    </row>
    <row r="40" spans="1:13" ht="18" customHeight="1" x14ac:dyDescent="0.25">
      <c r="A40" s="47"/>
      <c r="B40" s="48"/>
      <c r="C40" s="47"/>
      <c r="D40" s="49"/>
      <c r="E40" s="47"/>
      <c r="F40" s="50"/>
      <c r="G40" s="49"/>
      <c r="H40" s="51"/>
      <c r="I40" s="47"/>
      <c r="J40" s="47"/>
      <c r="K40" s="36"/>
      <c r="L40" s="36"/>
      <c r="M40" s="36"/>
    </row>
    <row r="41" spans="1:13" ht="18" customHeight="1" x14ac:dyDescent="0.25">
      <c r="A41" s="47"/>
      <c r="B41" s="48"/>
      <c r="C41" s="47"/>
      <c r="D41" s="49"/>
      <c r="E41" s="47"/>
      <c r="F41" s="50"/>
      <c r="G41" s="49"/>
      <c r="H41" s="51"/>
      <c r="I41" s="47"/>
      <c r="J41" s="47"/>
      <c r="K41" s="36"/>
      <c r="L41" s="36"/>
      <c r="M41" s="36"/>
    </row>
    <row r="42" spans="1:13" ht="18" customHeight="1" x14ac:dyDescent="0.25">
      <c r="A42" s="47"/>
      <c r="B42" s="48"/>
      <c r="C42" s="47"/>
      <c r="D42" s="49"/>
      <c r="E42" s="47"/>
      <c r="F42" s="50"/>
      <c r="G42" s="49"/>
      <c r="H42" s="51"/>
      <c r="I42" s="47"/>
      <c r="J42" s="47"/>
      <c r="K42" s="36"/>
      <c r="L42" s="36"/>
      <c r="M42" s="36"/>
    </row>
    <row r="43" spans="1:13" ht="18" customHeight="1" x14ac:dyDescent="0.25">
      <c r="A43" s="47"/>
      <c r="B43" s="48"/>
      <c r="C43" s="47"/>
      <c r="D43" s="49"/>
      <c r="E43" s="47"/>
      <c r="F43" s="50"/>
      <c r="G43" s="49"/>
      <c r="H43" s="51"/>
      <c r="I43" s="47"/>
      <c r="J43" s="47"/>
      <c r="K43" s="36"/>
      <c r="L43" s="36"/>
      <c r="M43" s="36"/>
    </row>
    <row r="44" spans="1:13" ht="18" customHeight="1" x14ac:dyDescent="0.25">
      <c r="A44" s="47"/>
      <c r="B44" s="48"/>
      <c r="C44" s="47"/>
      <c r="D44" s="49"/>
      <c r="E44" s="47"/>
      <c r="F44" s="50"/>
      <c r="G44" s="49"/>
      <c r="H44" s="51"/>
      <c r="I44" s="47"/>
      <c r="J44" s="47"/>
      <c r="K44" s="36"/>
      <c r="L44" s="36"/>
      <c r="M44" s="36"/>
    </row>
    <row r="45" spans="1:13" ht="18" customHeight="1" x14ac:dyDescent="0.25">
      <c r="A45" s="47"/>
      <c r="B45" s="48"/>
      <c r="C45" s="47"/>
      <c r="D45" s="49"/>
      <c r="E45" s="47"/>
      <c r="F45" s="50"/>
      <c r="G45" s="49"/>
      <c r="H45" s="51"/>
      <c r="I45" s="47"/>
      <c r="J45" s="47"/>
      <c r="K45" s="36"/>
      <c r="L45" s="36"/>
      <c r="M45" s="36"/>
    </row>
    <row r="46" spans="1:13" ht="18" customHeight="1" x14ac:dyDescent="0.25">
      <c r="A46" s="47"/>
      <c r="B46" s="48"/>
      <c r="C46" s="47"/>
      <c r="D46" s="49"/>
      <c r="E46" s="47"/>
      <c r="F46" s="50"/>
      <c r="G46" s="49"/>
      <c r="H46" s="51"/>
      <c r="I46" s="47"/>
      <c r="J46" s="47"/>
      <c r="K46" s="36"/>
      <c r="L46" s="36"/>
      <c r="M46" s="36"/>
    </row>
    <row r="47" spans="1:13" ht="18" customHeight="1" x14ac:dyDescent="0.25">
      <c r="A47" s="47"/>
      <c r="B47" s="48"/>
      <c r="C47" s="47"/>
      <c r="D47" s="49"/>
      <c r="E47" s="47"/>
      <c r="F47" s="50"/>
      <c r="G47" s="49"/>
      <c r="H47" s="51"/>
      <c r="I47" s="47"/>
      <c r="J47" s="47"/>
      <c r="K47" s="36"/>
      <c r="L47" s="36"/>
      <c r="M47" s="36"/>
    </row>
    <row r="48" spans="1:13" ht="18" customHeight="1" x14ac:dyDescent="0.25">
      <c r="A48" s="47"/>
      <c r="B48" s="48"/>
      <c r="C48" s="47"/>
      <c r="D48" s="49"/>
      <c r="E48" s="47"/>
      <c r="F48" s="50"/>
      <c r="G48" s="49"/>
      <c r="H48" s="51"/>
      <c r="I48" s="47"/>
      <c r="J48" s="47"/>
      <c r="K48" s="36"/>
      <c r="L48" s="36"/>
      <c r="M48" s="36"/>
    </row>
    <row r="49" spans="1:13" ht="18" customHeight="1" x14ac:dyDescent="0.25">
      <c r="A49" s="47"/>
      <c r="B49" s="48"/>
      <c r="C49" s="47"/>
      <c r="D49" s="49"/>
      <c r="E49" s="47"/>
      <c r="F49" s="50"/>
      <c r="G49" s="49"/>
      <c r="H49" s="51"/>
      <c r="I49" s="47"/>
      <c r="J49" s="47"/>
      <c r="K49" s="36"/>
      <c r="L49" s="36"/>
      <c r="M49" s="36"/>
    </row>
    <row r="50" spans="1:13" ht="18" customHeight="1" x14ac:dyDescent="0.25">
      <c r="A50" s="47"/>
      <c r="B50" s="48"/>
      <c r="C50" s="47"/>
      <c r="D50" s="49"/>
      <c r="E50" s="47"/>
      <c r="F50" s="50"/>
      <c r="G50" s="49"/>
      <c r="H50" s="51"/>
      <c r="I50" s="47"/>
      <c r="J50" s="47"/>
      <c r="K50" s="36"/>
      <c r="L50" s="36"/>
      <c r="M50" s="36"/>
    </row>
    <row r="51" spans="1:13" ht="18" customHeight="1" x14ac:dyDescent="0.25">
      <c r="A51" s="47"/>
      <c r="B51" s="48"/>
      <c r="C51" s="47"/>
      <c r="D51" s="49"/>
      <c r="E51" s="47"/>
      <c r="F51" s="50"/>
      <c r="G51" s="49"/>
      <c r="H51" s="51"/>
      <c r="I51" s="47"/>
      <c r="J51" s="47"/>
      <c r="K51" s="36"/>
      <c r="L51" s="36"/>
      <c r="M51" s="36"/>
    </row>
    <row r="52" spans="1:13" ht="18" customHeight="1" x14ac:dyDescent="0.25">
      <c r="A52" s="47"/>
      <c r="B52" s="48"/>
      <c r="C52" s="47"/>
      <c r="D52" s="49"/>
      <c r="E52" s="47"/>
      <c r="F52" s="50"/>
      <c r="G52" s="49"/>
      <c r="H52" s="51"/>
      <c r="I52" s="47"/>
      <c r="J52" s="47"/>
      <c r="K52" s="36"/>
      <c r="L52" s="36"/>
      <c r="M52" s="36"/>
    </row>
    <row r="54" spans="1:13" ht="21.75" customHeight="1" x14ac:dyDescent="0.25">
      <c r="A54" s="5" t="s">
        <v>132</v>
      </c>
      <c r="B54" s="5"/>
      <c r="C54" s="5"/>
      <c r="D54" s="5"/>
      <c r="E54" s="5"/>
      <c r="F54" s="5"/>
      <c r="G54" s="5"/>
      <c r="H54" s="5"/>
      <c r="I54" s="5"/>
      <c r="J54" s="5"/>
      <c r="K54" s="5"/>
      <c r="L54" s="5"/>
      <c r="M54" s="5"/>
    </row>
    <row r="55" spans="1:13" ht="15.75" customHeight="1" x14ac:dyDescent="0.25">
      <c r="A55" s="4" t="s">
        <v>133</v>
      </c>
      <c r="B55" s="4"/>
      <c r="D55" s="4" t="s">
        <v>134</v>
      </c>
      <c r="E55" s="4"/>
      <c r="G55" s="4" t="s">
        <v>135</v>
      </c>
      <c r="H55" s="4"/>
      <c r="J55" s="4" t="s">
        <v>136</v>
      </c>
      <c r="K55" s="4"/>
    </row>
    <row r="56" spans="1:13" ht="24" customHeight="1" x14ac:dyDescent="0.25">
      <c r="A56" s="52">
        <f>COUNTA(Reg_Nom)</f>
        <v>5</v>
      </c>
      <c r="D56" s="53">
        <f>SUM(Reg_Base)</f>
        <v>33200</v>
      </c>
      <c r="G56" s="54">
        <f>IFERROR(AVERAGE(Reg_Activite),0)</f>
        <v>0.87999999999999989</v>
      </c>
      <c r="J56" s="52">
        <f>COUNTIF(Reg_ImpotOui,"Oui")</f>
        <v>2</v>
      </c>
    </row>
  </sheetData>
  <mergeCells count="7">
    <mergeCell ref="A1:M1"/>
    <mergeCell ref="A2:M2"/>
    <mergeCell ref="A54:M54"/>
    <mergeCell ref="A55:B55"/>
    <mergeCell ref="D55:E55"/>
    <mergeCell ref="G55:H55"/>
    <mergeCell ref="J55:K55"/>
  </mergeCells>
  <conditionalFormatting sqref="J4:J52">
    <cfRule type="cellIs" dxfId="1" priority="2" operator="equal">
      <formula>"Oui"</formula>
    </cfRule>
  </conditionalFormatting>
  <dataValidations count="3">
    <dataValidation type="list" allowBlank="1" sqref="I4:J52" xr:uid="{00000000-0002-0000-0200-000000000000}">
      <formula1>Liste_ouinon</formula1>
      <formula2>0</formula2>
    </dataValidation>
    <dataValidation type="list" allowBlank="1" sqref="E4:E52" xr:uid="{00000000-0002-0000-0200-000002000000}">
      <formula1>Liste_cantons</formula1>
      <formula2>0</formula2>
    </dataValidation>
    <dataValidation type="decimal" allowBlank="1" errorTitle="Taux invalide" error="Le taux d'activité doit être compris entre 0 % et 100 %." sqref="F4:F52" xr:uid="{00000000-0002-0000-0200-000003000000}">
      <formula1>0</formula1>
      <formula2>1</formula2>
    </dataValidation>
  </dataValidations>
  <pageMargins left="0.4" right="0.4"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3A4D"/>
    <pageSetUpPr fitToPage="1"/>
  </sheetPr>
  <dimension ref="A1:Y26"/>
  <sheetViews>
    <sheetView showGridLines="0" zoomScaleNormal="100" workbookViewId="0">
      <pane ySplit="4" topLeftCell="A5" activePane="bottomLeft" state="frozen"/>
      <selection pane="bottomLeft"/>
    </sheetView>
  </sheetViews>
  <sheetFormatPr baseColWidth="10" defaultColWidth="8.7109375" defaultRowHeight="15" x14ac:dyDescent="0.25"/>
  <cols>
    <col min="1" max="1" width="12" customWidth="1"/>
    <col min="2" max="2" width="15" customWidth="1"/>
    <col min="3" max="3" width="12" customWidth="1"/>
    <col min="4" max="4" width="11" customWidth="1"/>
    <col min="5" max="7" width="12" customWidth="1"/>
    <col min="8" max="8" width="14" customWidth="1"/>
    <col min="9" max="12" width="12" customWidth="1"/>
    <col min="13" max="14" width="15" customWidth="1"/>
    <col min="16" max="25" width="13" hidden="1" customWidth="1"/>
  </cols>
  <sheetData>
    <row r="1" spans="1:25" ht="30" customHeight="1" x14ac:dyDescent="0.25">
      <c r="A1" s="10" t="s">
        <v>193</v>
      </c>
      <c r="B1" s="10"/>
      <c r="C1" s="10"/>
      <c r="D1" s="10"/>
      <c r="E1" s="10"/>
      <c r="F1" s="10"/>
      <c r="G1" s="10"/>
      <c r="H1" s="10"/>
      <c r="I1" s="10"/>
      <c r="J1" s="10"/>
      <c r="K1" s="10"/>
      <c r="L1" s="10"/>
      <c r="M1" s="10"/>
      <c r="N1" s="10"/>
      <c r="P1" s="71" t="s">
        <v>194</v>
      </c>
      <c r="Q1" s="71" t="s">
        <v>182</v>
      </c>
      <c r="R1" s="71" t="s">
        <v>183</v>
      </c>
      <c r="S1" s="71" t="s">
        <v>184</v>
      </c>
      <c r="T1" s="71" t="s">
        <v>185</v>
      </c>
      <c r="U1" s="71" t="s">
        <v>186</v>
      </c>
      <c r="V1" s="71" t="s">
        <v>187</v>
      </c>
      <c r="W1" s="71" t="s">
        <v>188</v>
      </c>
      <c r="X1" s="71" t="s">
        <v>189</v>
      </c>
      <c r="Y1" s="71" t="s">
        <v>195</v>
      </c>
    </row>
    <row r="2" spans="1:25" ht="24" customHeight="1" x14ac:dyDescent="0.25">
      <c r="A2" s="56" t="s">
        <v>196</v>
      </c>
      <c r="B2" s="83" t="s">
        <v>118</v>
      </c>
      <c r="C2" s="83"/>
      <c r="D2" s="83"/>
      <c r="E2" s="56" t="s">
        <v>197</v>
      </c>
      <c r="F2" s="73">
        <f>Année</f>
        <v>2027</v>
      </c>
      <c r="G2" s="102" t="s">
        <v>198</v>
      </c>
      <c r="H2" s="102"/>
      <c r="I2" s="102"/>
      <c r="J2" s="102"/>
      <c r="K2" s="102"/>
      <c r="L2" s="102"/>
      <c r="M2" s="102"/>
      <c r="N2" s="102"/>
      <c r="P2" s="72">
        <f>IFERROR($F$2-YEAR(INDEX(Reg_Naissance,MATCH($B$2,Reg_Nom,0))),0)</f>
        <v>42</v>
      </c>
      <c r="Q2" s="72">
        <f>IFERROR(INDEX(Reg_Base,MATCH($B$2,Reg_Nom,0)),0)</f>
        <v>6800</v>
      </c>
      <c r="R2" s="72" t="str">
        <f>IFERROR(INDEX(Reg_13e,MATCH($B$2,Reg_Nom,0)),"Non")</f>
        <v>Oui</v>
      </c>
      <c r="S2" s="72">
        <f>IFERROR(INDEX(Reg_AANP,MATCH($B$2,Reg_Nom,0)),0)</f>
        <v>1.4E-2</v>
      </c>
      <c r="T2" s="72">
        <f>IFERROR(INDEX(Reg_IJM,MATCH($B$2,Reg_Nom,0)),0)</f>
        <v>8.0000000000000002E-3</v>
      </c>
      <c r="U2" s="72" t="str">
        <f>IFERROR(INDEX(Reg_ImpotOui,MATCH($B$2,Reg_Nom,0)),"Non")</f>
        <v>Non</v>
      </c>
      <c r="V2" s="72">
        <f>IFERROR(INDEX(Reg_ImpotTaux,MATCH($B$2,Reg_Nom,0)),0)</f>
        <v>0</v>
      </c>
      <c r="W2" s="72" t="str">
        <f>IFERROR(INDEX(Reg_Canton,MATCH($B$2,Reg_Nom,0)),"")</f>
        <v>GE</v>
      </c>
      <c r="X2" s="72">
        <f>IFERROR(INDEX(LPP_taux,MATCH($P$2,LPP_age_min,1)),0)</f>
        <v>0.1</v>
      </c>
      <c r="Y2" s="72">
        <f>IF(IF($R$2="Oui",$Q$2*13,$Q$2*12)&lt;Seuil_LPP,0,MAX(MIN(IF($R$2="Oui",$Q$2*13,$Q$2*12),LPP_salaire_max)-Ded_coordination,Coord_min))</f>
        <v>61940</v>
      </c>
    </row>
    <row r="4" spans="1:25" ht="31.5" customHeight="1" x14ac:dyDescent="0.25">
      <c r="A4" s="40" t="s">
        <v>72</v>
      </c>
      <c r="B4" s="40" t="s">
        <v>156</v>
      </c>
      <c r="C4" s="40" t="s">
        <v>199</v>
      </c>
      <c r="D4" s="40" t="s">
        <v>200</v>
      </c>
      <c r="E4" s="40" t="s">
        <v>159</v>
      </c>
      <c r="F4" s="40" t="s">
        <v>112</v>
      </c>
      <c r="G4" s="40" t="s">
        <v>201</v>
      </c>
      <c r="H4" s="40" t="s">
        <v>202</v>
      </c>
      <c r="I4" s="40" t="s">
        <v>203</v>
      </c>
      <c r="J4" s="40" t="s">
        <v>204</v>
      </c>
      <c r="K4" s="40" t="s">
        <v>205</v>
      </c>
      <c r="L4" s="40" t="s">
        <v>206</v>
      </c>
      <c r="M4" s="40" t="s">
        <v>207</v>
      </c>
      <c r="N4" s="40" t="s">
        <v>208</v>
      </c>
    </row>
    <row r="5" spans="1:25" ht="18.75" customHeight="1" x14ac:dyDescent="0.25">
      <c r="A5" s="74" t="s">
        <v>76</v>
      </c>
      <c r="B5" s="75">
        <f t="shared" ref="B5:B16" si="0">$Q$2</f>
        <v>6800</v>
      </c>
      <c r="C5" s="76">
        <v>0</v>
      </c>
      <c r="D5" s="76">
        <v>0</v>
      </c>
      <c r="E5" s="76">
        <v>0</v>
      </c>
      <c r="F5" s="77">
        <f t="shared" ref="F5:F16" si="1">IF($R$2="Oui",$Q$2/12,0)</f>
        <v>566.66666666666663</v>
      </c>
      <c r="G5" s="76">
        <v>300</v>
      </c>
      <c r="H5" s="78">
        <f t="shared" ref="H5:H16" si="2">SUM(B5:F5)</f>
        <v>7366.666666666667</v>
      </c>
      <c r="I5" s="75">
        <f t="shared" ref="I5:I16" si="3">ROUND(H5*Taux_AVS,2)+ROUND(MIN(H5,Plafond_AC_mensuel)*Taux_AC,2)</f>
        <v>471.46000000000004</v>
      </c>
      <c r="J5" s="75">
        <f t="shared" ref="J5:J16" si="4">ROUND($Y$2*$X$2*Part_salarie_LPP/12,2)</f>
        <v>258.08</v>
      </c>
      <c r="K5" s="75">
        <f t="shared" ref="K5:K16" si="5">ROUND(H5*($S$2+$T$2+IF($W$2="GE",Taux_maternite_GE,0)),2)</f>
        <v>164.87</v>
      </c>
      <c r="L5" s="75">
        <f t="shared" ref="L5:L16" si="6">IF($U$2="Oui",ROUND(H5*$V$2,2),0)</f>
        <v>0</v>
      </c>
      <c r="M5" s="79">
        <f t="shared" ref="M5:M16" si="7">SUM(I5:L5)</f>
        <v>894.41</v>
      </c>
      <c r="N5" s="80">
        <f t="shared" ref="N5:N16" si="8">ROUND((H5-M5+G5)/0.05,0)*0.05</f>
        <v>6772.25</v>
      </c>
    </row>
    <row r="6" spans="1:25" ht="18.75" customHeight="1" x14ac:dyDescent="0.25">
      <c r="A6" s="74" t="s">
        <v>79</v>
      </c>
      <c r="B6" s="75">
        <f t="shared" si="0"/>
        <v>6800</v>
      </c>
      <c r="C6" s="76">
        <v>0</v>
      </c>
      <c r="D6" s="76">
        <v>0</v>
      </c>
      <c r="E6" s="76">
        <v>0</v>
      </c>
      <c r="F6" s="77">
        <f t="shared" si="1"/>
        <v>566.66666666666663</v>
      </c>
      <c r="G6" s="76">
        <v>300</v>
      </c>
      <c r="H6" s="78">
        <f t="shared" si="2"/>
        <v>7366.666666666667</v>
      </c>
      <c r="I6" s="75">
        <f t="shared" si="3"/>
        <v>471.46000000000004</v>
      </c>
      <c r="J6" s="75">
        <f t="shared" si="4"/>
        <v>258.08</v>
      </c>
      <c r="K6" s="75">
        <f t="shared" si="5"/>
        <v>164.87</v>
      </c>
      <c r="L6" s="75">
        <f t="shared" si="6"/>
        <v>0</v>
      </c>
      <c r="M6" s="79">
        <f t="shared" si="7"/>
        <v>894.41</v>
      </c>
      <c r="N6" s="80">
        <f t="shared" si="8"/>
        <v>6772.25</v>
      </c>
    </row>
    <row r="7" spans="1:25" ht="18.75" customHeight="1" x14ac:dyDescent="0.25">
      <c r="A7" s="74" t="s">
        <v>82</v>
      </c>
      <c r="B7" s="75">
        <f t="shared" si="0"/>
        <v>6800</v>
      </c>
      <c r="C7" s="76">
        <v>320</v>
      </c>
      <c r="D7" s="76">
        <v>250</v>
      </c>
      <c r="E7" s="76">
        <v>0</v>
      </c>
      <c r="F7" s="77">
        <f t="shared" si="1"/>
        <v>566.66666666666663</v>
      </c>
      <c r="G7" s="76">
        <v>300</v>
      </c>
      <c r="H7" s="78">
        <f t="shared" si="2"/>
        <v>7936.666666666667</v>
      </c>
      <c r="I7" s="75">
        <f t="shared" si="3"/>
        <v>507.94</v>
      </c>
      <c r="J7" s="75">
        <f t="shared" si="4"/>
        <v>258.08</v>
      </c>
      <c r="K7" s="75">
        <f t="shared" si="5"/>
        <v>177.62</v>
      </c>
      <c r="L7" s="75">
        <f t="shared" si="6"/>
        <v>0</v>
      </c>
      <c r="M7" s="79">
        <f t="shared" si="7"/>
        <v>943.64</v>
      </c>
      <c r="N7" s="80">
        <f t="shared" si="8"/>
        <v>7293.05</v>
      </c>
    </row>
    <row r="8" spans="1:25" ht="18.75" customHeight="1" x14ac:dyDescent="0.25">
      <c r="A8" s="74" t="s">
        <v>84</v>
      </c>
      <c r="B8" s="75">
        <f t="shared" si="0"/>
        <v>6800</v>
      </c>
      <c r="C8" s="76">
        <v>0</v>
      </c>
      <c r="D8" s="76">
        <v>0</v>
      </c>
      <c r="E8" s="76">
        <v>0</v>
      </c>
      <c r="F8" s="77">
        <f t="shared" si="1"/>
        <v>566.66666666666663</v>
      </c>
      <c r="G8" s="76">
        <v>300</v>
      </c>
      <c r="H8" s="78">
        <f t="shared" si="2"/>
        <v>7366.666666666667</v>
      </c>
      <c r="I8" s="75">
        <f t="shared" si="3"/>
        <v>471.46000000000004</v>
      </c>
      <c r="J8" s="75">
        <f t="shared" si="4"/>
        <v>258.08</v>
      </c>
      <c r="K8" s="75">
        <f t="shared" si="5"/>
        <v>164.87</v>
      </c>
      <c r="L8" s="75">
        <f t="shared" si="6"/>
        <v>0</v>
      </c>
      <c r="M8" s="79">
        <f t="shared" si="7"/>
        <v>894.41</v>
      </c>
      <c r="N8" s="80">
        <f t="shared" si="8"/>
        <v>6772.25</v>
      </c>
    </row>
    <row r="9" spans="1:25" ht="18.75" customHeight="1" x14ac:dyDescent="0.25">
      <c r="A9" s="74" t="s">
        <v>86</v>
      </c>
      <c r="B9" s="75">
        <f t="shared" si="0"/>
        <v>6800</v>
      </c>
      <c r="C9" s="76">
        <v>0</v>
      </c>
      <c r="D9" s="76">
        <v>0</v>
      </c>
      <c r="E9" s="76">
        <v>0</v>
      </c>
      <c r="F9" s="77">
        <f t="shared" si="1"/>
        <v>566.66666666666663</v>
      </c>
      <c r="G9" s="76">
        <v>300</v>
      </c>
      <c r="H9" s="78">
        <f t="shared" si="2"/>
        <v>7366.666666666667</v>
      </c>
      <c r="I9" s="75">
        <f t="shared" si="3"/>
        <v>471.46000000000004</v>
      </c>
      <c r="J9" s="75">
        <f t="shared" si="4"/>
        <v>258.08</v>
      </c>
      <c r="K9" s="75">
        <f t="shared" si="5"/>
        <v>164.87</v>
      </c>
      <c r="L9" s="75">
        <f t="shared" si="6"/>
        <v>0</v>
      </c>
      <c r="M9" s="79">
        <f t="shared" si="7"/>
        <v>894.41</v>
      </c>
      <c r="N9" s="80">
        <f t="shared" si="8"/>
        <v>6772.25</v>
      </c>
    </row>
    <row r="10" spans="1:25" ht="18.75" customHeight="1" x14ac:dyDescent="0.25">
      <c r="A10" s="74" t="s">
        <v>88</v>
      </c>
      <c r="B10" s="75">
        <f t="shared" si="0"/>
        <v>6800</v>
      </c>
      <c r="C10" s="76">
        <v>0</v>
      </c>
      <c r="D10" s="76">
        <v>0</v>
      </c>
      <c r="E10" s="76">
        <v>400</v>
      </c>
      <c r="F10" s="77">
        <f t="shared" si="1"/>
        <v>566.66666666666663</v>
      </c>
      <c r="G10" s="76">
        <v>300</v>
      </c>
      <c r="H10" s="78">
        <f t="shared" si="2"/>
        <v>7766.666666666667</v>
      </c>
      <c r="I10" s="75">
        <f t="shared" si="3"/>
        <v>497.06</v>
      </c>
      <c r="J10" s="75">
        <f t="shared" si="4"/>
        <v>258.08</v>
      </c>
      <c r="K10" s="75">
        <f t="shared" si="5"/>
        <v>173.82</v>
      </c>
      <c r="L10" s="75">
        <f t="shared" si="6"/>
        <v>0</v>
      </c>
      <c r="M10" s="79">
        <f t="shared" si="7"/>
        <v>928.96</v>
      </c>
      <c r="N10" s="80">
        <f t="shared" si="8"/>
        <v>7137.7000000000007</v>
      </c>
    </row>
    <row r="11" spans="1:25" ht="18.75" customHeight="1" x14ac:dyDescent="0.25">
      <c r="A11" s="74" t="s">
        <v>90</v>
      </c>
      <c r="B11" s="75">
        <f t="shared" si="0"/>
        <v>6800</v>
      </c>
      <c r="C11" s="76">
        <v>0</v>
      </c>
      <c r="D11" s="76">
        <v>0</v>
      </c>
      <c r="E11" s="76">
        <v>0</v>
      </c>
      <c r="F11" s="77">
        <f t="shared" si="1"/>
        <v>566.66666666666663</v>
      </c>
      <c r="G11" s="76">
        <v>300</v>
      </c>
      <c r="H11" s="78">
        <f t="shared" si="2"/>
        <v>7366.666666666667</v>
      </c>
      <c r="I11" s="75">
        <f t="shared" si="3"/>
        <v>471.46000000000004</v>
      </c>
      <c r="J11" s="75">
        <f t="shared" si="4"/>
        <v>258.08</v>
      </c>
      <c r="K11" s="75">
        <f t="shared" si="5"/>
        <v>164.87</v>
      </c>
      <c r="L11" s="75">
        <f t="shared" si="6"/>
        <v>0</v>
      </c>
      <c r="M11" s="79">
        <f t="shared" si="7"/>
        <v>894.41</v>
      </c>
      <c r="N11" s="80">
        <f t="shared" si="8"/>
        <v>6772.25</v>
      </c>
    </row>
    <row r="12" spans="1:25" ht="18.75" customHeight="1" x14ac:dyDescent="0.25">
      <c r="A12" s="74" t="s">
        <v>92</v>
      </c>
      <c r="B12" s="75">
        <f t="shared" si="0"/>
        <v>6800</v>
      </c>
      <c r="C12" s="76">
        <v>0</v>
      </c>
      <c r="D12" s="76">
        <v>0</v>
      </c>
      <c r="E12" s="76">
        <v>0</v>
      </c>
      <c r="F12" s="77">
        <f t="shared" si="1"/>
        <v>566.66666666666663</v>
      </c>
      <c r="G12" s="76">
        <v>300</v>
      </c>
      <c r="H12" s="78">
        <f t="shared" si="2"/>
        <v>7366.666666666667</v>
      </c>
      <c r="I12" s="75">
        <f t="shared" si="3"/>
        <v>471.46000000000004</v>
      </c>
      <c r="J12" s="75">
        <f t="shared" si="4"/>
        <v>258.08</v>
      </c>
      <c r="K12" s="75">
        <f t="shared" si="5"/>
        <v>164.87</v>
      </c>
      <c r="L12" s="75">
        <f t="shared" si="6"/>
        <v>0</v>
      </c>
      <c r="M12" s="79">
        <f t="shared" si="7"/>
        <v>894.41</v>
      </c>
      <c r="N12" s="80">
        <f t="shared" si="8"/>
        <v>6772.25</v>
      </c>
    </row>
    <row r="13" spans="1:25" ht="18.75" customHeight="1" x14ac:dyDescent="0.25">
      <c r="A13" s="74" t="s">
        <v>94</v>
      </c>
      <c r="B13" s="75">
        <f t="shared" si="0"/>
        <v>6800</v>
      </c>
      <c r="C13" s="76">
        <v>0</v>
      </c>
      <c r="D13" s="76">
        <v>0</v>
      </c>
      <c r="E13" s="76">
        <v>0</v>
      </c>
      <c r="F13" s="77">
        <f t="shared" si="1"/>
        <v>566.66666666666663</v>
      </c>
      <c r="G13" s="76">
        <v>300</v>
      </c>
      <c r="H13" s="78">
        <f t="shared" si="2"/>
        <v>7366.666666666667</v>
      </c>
      <c r="I13" s="75">
        <f t="shared" si="3"/>
        <v>471.46000000000004</v>
      </c>
      <c r="J13" s="75">
        <f t="shared" si="4"/>
        <v>258.08</v>
      </c>
      <c r="K13" s="75">
        <f t="shared" si="5"/>
        <v>164.87</v>
      </c>
      <c r="L13" s="75">
        <f t="shared" si="6"/>
        <v>0</v>
      </c>
      <c r="M13" s="79">
        <f t="shared" si="7"/>
        <v>894.41</v>
      </c>
      <c r="N13" s="80">
        <f t="shared" si="8"/>
        <v>6772.25</v>
      </c>
    </row>
    <row r="14" spans="1:25" ht="18.75" customHeight="1" x14ac:dyDescent="0.25">
      <c r="A14" s="74" t="s">
        <v>96</v>
      </c>
      <c r="B14" s="75">
        <f t="shared" si="0"/>
        <v>6800</v>
      </c>
      <c r="C14" s="76">
        <v>0</v>
      </c>
      <c r="D14" s="76">
        <v>0</v>
      </c>
      <c r="E14" s="76">
        <v>0</v>
      </c>
      <c r="F14" s="77">
        <f t="shared" si="1"/>
        <v>566.66666666666663</v>
      </c>
      <c r="G14" s="76">
        <v>300</v>
      </c>
      <c r="H14" s="78">
        <f t="shared" si="2"/>
        <v>7366.666666666667</v>
      </c>
      <c r="I14" s="75">
        <f t="shared" si="3"/>
        <v>471.46000000000004</v>
      </c>
      <c r="J14" s="75">
        <f t="shared" si="4"/>
        <v>258.08</v>
      </c>
      <c r="K14" s="75">
        <f t="shared" si="5"/>
        <v>164.87</v>
      </c>
      <c r="L14" s="75">
        <f t="shared" si="6"/>
        <v>0</v>
      </c>
      <c r="M14" s="79">
        <f t="shared" si="7"/>
        <v>894.41</v>
      </c>
      <c r="N14" s="80">
        <f t="shared" si="8"/>
        <v>6772.25</v>
      </c>
    </row>
    <row r="15" spans="1:25" ht="18.75" customHeight="1" x14ac:dyDescent="0.25">
      <c r="A15" s="74" t="s">
        <v>98</v>
      </c>
      <c r="B15" s="75">
        <f t="shared" si="0"/>
        <v>6800</v>
      </c>
      <c r="C15" s="76">
        <v>0</v>
      </c>
      <c r="D15" s="76">
        <v>0</v>
      </c>
      <c r="E15" s="76">
        <v>0</v>
      </c>
      <c r="F15" s="77">
        <f t="shared" si="1"/>
        <v>566.66666666666663</v>
      </c>
      <c r="G15" s="76">
        <v>300</v>
      </c>
      <c r="H15" s="78">
        <f t="shared" si="2"/>
        <v>7366.666666666667</v>
      </c>
      <c r="I15" s="75">
        <f t="shared" si="3"/>
        <v>471.46000000000004</v>
      </c>
      <c r="J15" s="75">
        <f t="shared" si="4"/>
        <v>258.08</v>
      </c>
      <c r="K15" s="75">
        <f t="shared" si="5"/>
        <v>164.87</v>
      </c>
      <c r="L15" s="75">
        <f t="shared" si="6"/>
        <v>0</v>
      </c>
      <c r="M15" s="79">
        <f t="shared" si="7"/>
        <v>894.41</v>
      </c>
      <c r="N15" s="80">
        <f t="shared" si="8"/>
        <v>6772.25</v>
      </c>
    </row>
    <row r="16" spans="1:25" ht="18.75" customHeight="1" x14ac:dyDescent="0.25">
      <c r="A16" s="74" t="s">
        <v>100</v>
      </c>
      <c r="B16" s="75">
        <f t="shared" si="0"/>
        <v>6800</v>
      </c>
      <c r="C16" s="76">
        <v>0</v>
      </c>
      <c r="D16" s="76">
        <v>0</v>
      </c>
      <c r="E16" s="76">
        <v>0</v>
      </c>
      <c r="F16" s="77">
        <f t="shared" si="1"/>
        <v>566.66666666666663</v>
      </c>
      <c r="G16" s="76">
        <v>300</v>
      </c>
      <c r="H16" s="78">
        <f t="shared" si="2"/>
        <v>7366.666666666667</v>
      </c>
      <c r="I16" s="75">
        <f t="shared" si="3"/>
        <v>471.46000000000004</v>
      </c>
      <c r="J16" s="75">
        <f t="shared" si="4"/>
        <v>258.08</v>
      </c>
      <c r="K16" s="75">
        <f t="shared" si="5"/>
        <v>164.87</v>
      </c>
      <c r="L16" s="75">
        <f t="shared" si="6"/>
        <v>0</v>
      </c>
      <c r="M16" s="79">
        <f t="shared" si="7"/>
        <v>894.41</v>
      </c>
      <c r="N16" s="80">
        <f t="shared" si="8"/>
        <v>6772.25</v>
      </c>
    </row>
    <row r="17" spans="1:14" ht="21.75" customHeight="1" x14ac:dyDescent="0.25">
      <c r="A17" s="60" t="s">
        <v>209</v>
      </c>
      <c r="B17" s="81">
        <f t="shared" ref="B17:N17" si="9">SUM(B5:B16)</f>
        <v>81600</v>
      </c>
      <c r="C17" s="81">
        <f t="shared" si="9"/>
        <v>320</v>
      </c>
      <c r="D17" s="81">
        <f t="shared" si="9"/>
        <v>250</v>
      </c>
      <c r="E17" s="81">
        <f t="shared" si="9"/>
        <v>400</v>
      </c>
      <c r="F17" s="81">
        <f t="shared" si="9"/>
        <v>6800.0000000000009</v>
      </c>
      <c r="G17" s="81">
        <f t="shared" si="9"/>
        <v>3600</v>
      </c>
      <c r="H17" s="81">
        <f t="shared" si="9"/>
        <v>89370.000000000015</v>
      </c>
      <c r="I17" s="81">
        <f t="shared" si="9"/>
        <v>5719.6</v>
      </c>
      <c r="J17" s="81">
        <f t="shared" si="9"/>
        <v>3096.9599999999996</v>
      </c>
      <c r="K17" s="81">
        <f t="shared" si="9"/>
        <v>2000.1399999999994</v>
      </c>
      <c r="L17" s="81">
        <f t="shared" si="9"/>
        <v>0</v>
      </c>
      <c r="M17" s="81">
        <f t="shared" si="9"/>
        <v>10816.699999999999</v>
      </c>
      <c r="N17" s="81">
        <f t="shared" si="9"/>
        <v>82153.25</v>
      </c>
    </row>
    <row r="19" spans="1:14" ht="19.5" customHeight="1" x14ac:dyDescent="0.25">
      <c r="A19" s="7" t="s">
        <v>210</v>
      </c>
      <c r="B19" s="7"/>
      <c r="C19" s="7"/>
      <c r="D19" s="7"/>
      <c r="E19" s="7"/>
      <c r="F19" s="7"/>
      <c r="G19" s="7"/>
      <c r="H19" s="7"/>
      <c r="I19" s="7"/>
      <c r="J19" s="7"/>
      <c r="K19" s="7"/>
      <c r="L19" s="7"/>
      <c r="M19" s="7"/>
      <c r="N19" s="7"/>
    </row>
    <row r="20" spans="1:14" ht="15.75" customHeight="1" x14ac:dyDescent="0.25">
      <c r="A20" s="4" t="s">
        <v>211</v>
      </c>
      <c r="B20" s="4"/>
      <c r="C20" s="4"/>
      <c r="F20" s="4" t="s">
        <v>207</v>
      </c>
      <c r="G20" s="4"/>
      <c r="H20" s="4"/>
      <c r="K20" s="4" t="s">
        <v>212</v>
      </c>
      <c r="L20" s="4"/>
      <c r="M20" s="4"/>
    </row>
    <row r="21" spans="1:14" ht="24" customHeight="1" x14ac:dyDescent="0.25">
      <c r="A21" s="103">
        <f>H17</f>
        <v>89370.000000000015</v>
      </c>
      <c r="B21" s="103"/>
      <c r="C21" s="103"/>
      <c r="F21" s="103">
        <f>M17</f>
        <v>10816.699999999999</v>
      </c>
      <c r="G21" s="103"/>
      <c r="H21" s="103"/>
      <c r="K21" s="103">
        <f>N17</f>
        <v>82153.25</v>
      </c>
      <c r="L21" s="103"/>
      <c r="M21" s="103"/>
    </row>
    <row r="23" spans="1:14" ht="15.75" customHeight="1" x14ac:dyDescent="0.25">
      <c r="A23" s="4" t="s">
        <v>213</v>
      </c>
      <c r="B23" s="4"/>
      <c r="C23" s="4"/>
      <c r="F23" s="4" t="s">
        <v>214</v>
      </c>
      <c r="G23" s="4"/>
      <c r="H23" s="4"/>
    </row>
    <row r="24" spans="1:14" ht="24" customHeight="1" x14ac:dyDescent="0.25">
      <c r="A24" s="104">
        <f>IFERROR(M17/H17,0)</f>
        <v>0.1210327850509119</v>
      </c>
      <c r="B24" s="104"/>
      <c r="C24" s="104"/>
      <c r="F24" s="103">
        <f>IFERROR(N17/12,0)</f>
        <v>6846.104166666667</v>
      </c>
      <c r="G24" s="103"/>
      <c r="H24" s="103"/>
    </row>
    <row r="26" spans="1:14" ht="19.5" customHeight="1" x14ac:dyDescent="0.25">
      <c r="A26" s="7" t="s">
        <v>215</v>
      </c>
      <c r="B26" s="7"/>
      <c r="C26" s="7"/>
      <c r="D26" s="7"/>
      <c r="E26" s="7"/>
      <c r="F26" s="7"/>
      <c r="G26" s="7"/>
      <c r="H26" s="7"/>
      <c r="I26" s="7"/>
      <c r="J26" s="7"/>
      <c r="K26" s="7"/>
      <c r="L26" s="7"/>
      <c r="M26" s="7"/>
      <c r="N26" s="7"/>
    </row>
  </sheetData>
  <mergeCells count="15">
    <mergeCell ref="A24:C24"/>
    <mergeCell ref="F24:H24"/>
    <mergeCell ref="A26:N26"/>
    <mergeCell ref="A21:C21"/>
    <mergeCell ref="F21:H21"/>
    <mergeCell ref="K21:M21"/>
    <mergeCell ref="A23:C23"/>
    <mergeCell ref="F23:H23"/>
    <mergeCell ref="A1:N1"/>
    <mergeCell ref="B2:D2"/>
    <mergeCell ref="G2:N2"/>
    <mergeCell ref="A19:N19"/>
    <mergeCell ref="A20:C20"/>
    <mergeCell ref="F20:H20"/>
    <mergeCell ref="K20:M20"/>
  </mergeCells>
  <conditionalFormatting sqref="N5:N16">
    <cfRule type="dataBar" priority="2">
      <dataBar>
        <cfvo type="min"/>
        <cfvo type="max"/>
        <color rgb="FF2E7D7B"/>
      </dataBar>
      <extLst>
        <ext xmlns:x14="http://schemas.microsoft.com/office/spreadsheetml/2009/9/main" uri="{B025F937-C7B1-47D3-B67F-A62EFF666E3E}">
          <x14:id>{156576DF-141A-4822-B35E-A2DFDA4696CB}</x14:id>
        </ext>
      </extLst>
    </cfRule>
  </conditionalFormatting>
  <dataValidations count="1">
    <dataValidation type="list" allowBlank="1" promptTitle="Collaborateur" prompt="Sélectionnez un collaborateur" sqref="B2" xr:uid="{00000000-0002-0000-0400-000000000000}">
      <formula1>Reg_Nom</formula1>
      <formula2>0</formula2>
    </dataValidation>
  </dataValidations>
  <pageMargins left="0.4" right="0.4" top="1" bottom="1" header="0.511811023622047" footer="0.511811023622047"/>
  <pageSetup fitToHeight="0" orientation="landscape" horizontalDpi="300" verticalDpi="300"/>
  <drawing r:id="rId1"/>
  <extLst>
    <ext xmlns:x14="http://schemas.microsoft.com/office/spreadsheetml/2009/9/main" uri="{78C0D931-6437-407d-A8EE-F0AAD7539E65}">
      <x14:conditionalFormattings>
        <x14:conditionalFormatting xmlns:xm="http://schemas.microsoft.com/office/excel/2006/main">
          <x14:cfRule type="dataBar" id="{156576DF-141A-4822-B35E-A2DFDA4696CB}">
            <x14:dataBar axisPosition="none">
              <x14:cfvo type="min"/>
              <x14:cfvo type="max"/>
              <x14:negativeFillColor rgb="FF2E7D7B"/>
            </x14:dataBar>
          </x14:cfRule>
          <xm:sqref>N5:N16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41</vt:i4>
      </vt:variant>
    </vt:vector>
  </HeadingPairs>
  <TitlesOfParts>
    <vt:vector size="46" baseType="lpstr">
      <vt:lpstr>Fiche de salaire</vt:lpstr>
      <vt:lpstr>Mode d'emploi</vt:lpstr>
      <vt:lpstr>Paramètres</vt:lpstr>
      <vt:lpstr>Registre des employés</vt:lpstr>
      <vt:lpstr>Récapitulatif annuel</vt:lpstr>
      <vt:lpstr>Année</vt:lpstr>
      <vt:lpstr>Coord_min</vt:lpstr>
      <vt:lpstr>Ded_coordination</vt:lpstr>
      <vt:lpstr>'Fiche de salaire'!Druckbereich</vt:lpstr>
      <vt:lpstr>'Mode d''emploi'!Druckbereich</vt:lpstr>
      <vt:lpstr>Paramètres!Druckbereich</vt:lpstr>
      <vt:lpstr>'Récapitulatif annuel'!Druckbereich</vt:lpstr>
      <vt:lpstr>'Registre des employés'!Druckbereich</vt:lpstr>
      <vt:lpstr>Liste_cantons</vt:lpstr>
      <vt:lpstr>Liste_mois</vt:lpstr>
      <vt:lpstr>Liste_ouinon</vt:lpstr>
      <vt:lpstr>LPP_age_min</vt:lpstr>
      <vt:lpstr>LPP_salaire_max</vt:lpstr>
      <vt:lpstr>LPP_taux</vt:lpstr>
      <vt:lpstr>Mois_noms</vt:lpstr>
      <vt:lpstr>Mois_num</vt:lpstr>
      <vt:lpstr>Part_salarie_LPP</vt:lpstr>
      <vt:lpstr>Plafond_AC_annuel</vt:lpstr>
      <vt:lpstr>Plafond_AC_mensuel</vt:lpstr>
      <vt:lpstr>Reg_13e</vt:lpstr>
      <vt:lpstr>Reg_AANP</vt:lpstr>
      <vt:lpstr>Reg_Activite</vt:lpstr>
      <vt:lpstr>Reg_AVS</vt:lpstr>
      <vt:lpstr>Reg_Base</vt:lpstr>
      <vt:lpstr>Reg_Canton</vt:lpstr>
      <vt:lpstr>Reg_Entree</vt:lpstr>
      <vt:lpstr>Reg_IJM</vt:lpstr>
      <vt:lpstr>Reg_ImpotOui</vt:lpstr>
      <vt:lpstr>Reg_ImpotTaux</vt:lpstr>
      <vt:lpstr>Reg_Matricule</vt:lpstr>
      <vt:lpstr>Reg_Naissance</vt:lpstr>
      <vt:lpstr>Reg_Nom</vt:lpstr>
      <vt:lpstr>Seuil_LPP</vt:lpstr>
      <vt:lpstr>Taux_AANP_defaut</vt:lpstr>
      <vt:lpstr>Taux_AC</vt:lpstr>
      <vt:lpstr>Taux_admin</vt:lpstr>
      <vt:lpstr>Taux_AF_employeur</vt:lpstr>
      <vt:lpstr>Taux_AVS</vt:lpstr>
      <vt:lpstr>Taux_IJM_defaut</vt:lpstr>
      <vt:lpstr>Taux_LAA_prof</vt:lpstr>
      <vt:lpstr>Taux_maternite_GE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Exemple fiche de salaire suisse</dc:title>
  <dc:subject/>
  <dc:creator>Modèle Excel</dc:creator>
  <dc:description/>
  <cp:lastModifiedBy>Sergio Jiménez Canales</cp:lastModifiedBy>
  <cp:revision>1</cp:revision>
  <dcterms:created xsi:type="dcterms:W3CDTF">2026-09-25T09:57:18Z</dcterms:created>
  <dcterms:modified xsi:type="dcterms:W3CDTF">2026-09-27T17:06:59Z</dcterms:modified>
  <dc:language>en-US</dc:language>
</cp:coreProperties>
</file>