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D026F2C1-ECB2-495C-BF1F-78CF04246053}" xr6:coauthVersionLast="47" xr6:coauthVersionMax="47" xr10:uidLastSave="{00000000-0000-0000-0000-000000000000}"/>
  <bookViews>
    <workbookView xWindow="1380" yWindow="1380" windowWidth="25500" windowHeight="13500" tabRatio="500" xr2:uid="{00000000-000D-0000-FFFF-FFFF00000000}"/>
  </bookViews>
  <sheets>
    <sheet name="FICHE DE SALAIRE" sheetId="2" r:id="rId1"/>
    <sheet name="PARAMÈTRES 2027" sheetId="1" r:id="rId2"/>
    <sheet name="SIMULATEUR BRUT↔NET" sheetId="3" r:id="rId3"/>
    <sheet name="RÉCAPITULATIF RH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2" i="4" l="1"/>
  <c r="F19" i="4"/>
  <c r="H27" i="4" s="1"/>
  <c r="L18" i="4"/>
  <c r="I18" i="4"/>
  <c r="G18" i="4"/>
  <c r="J18" i="4" s="1"/>
  <c r="L17" i="4"/>
  <c r="I17" i="4"/>
  <c r="G17" i="4"/>
  <c r="J17" i="4" s="1"/>
  <c r="L16" i="4"/>
  <c r="I16" i="4"/>
  <c r="G16" i="4"/>
  <c r="H16" i="4" s="1"/>
  <c r="K16" i="4" s="1"/>
  <c r="L15" i="4"/>
  <c r="I15" i="4"/>
  <c r="G15" i="4"/>
  <c r="J15" i="4" s="1"/>
  <c r="L14" i="4"/>
  <c r="I14" i="4"/>
  <c r="G14" i="4"/>
  <c r="J14" i="4" s="1"/>
  <c r="L13" i="4"/>
  <c r="I13" i="4"/>
  <c r="G13" i="4"/>
  <c r="J13" i="4" s="1"/>
  <c r="L12" i="4"/>
  <c r="I12" i="4"/>
  <c r="G12" i="4"/>
  <c r="J12" i="4" s="1"/>
  <c r="L11" i="4"/>
  <c r="J11" i="4"/>
  <c r="I11" i="4"/>
  <c r="G11" i="4"/>
  <c r="H11" i="4" s="1"/>
  <c r="K11" i="4" s="1"/>
  <c r="L10" i="4"/>
  <c r="I10" i="4"/>
  <c r="G10" i="4"/>
  <c r="J10" i="4" s="1"/>
  <c r="L9" i="4"/>
  <c r="L19" i="4" s="1"/>
  <c r="H26" i="4" s="1"/>
  <c r="I9" i="4"/>
  <c r="I19" i="4" s="1"/>
  <c r="G9" i="4"/>
  <c r="G19" i="4" s="1"/>
  <c r="H25" i="4" s="1"/>
  <c r="E39" i="3"/>
  <c r="F39" i="3" s="1"/>
  <c r="G39" i="3" s="1"/>
  <c r="H39" i="3" s="1"/>
  <c r="D39" i="3"/>
  <c r="E38" i="3"/>
  <c r="F38" i="3" s="1"/>
  <c r="G38" i="3" s="1"/>
  <c r="H38" i="3" s="1"/>
  <c r="D38" i="3"/>
  <c r="E37" i="3"/>
  <c r="F37" i="3" s="1"/>
  <c r="G37" i="3" s="1"/>
  <c r="H37" i="3" s="1"/>
  <c r="D37" i="3"/>
  <c r="E36" i="3"/>
  <c r="F36" i="3" s="1"/>
  <c r="G36" i="3" s="1"/>
  <c r="H36" i="3" s="1"/>
  <c r="D36" i="3"/>
  <c r="F35" i="3"/>
  <c r="G35" i="3" s="1"/>
  <c r="F31" i="3"/>
  <c r="F26" i="3"/>
  <c r="E22" i="3"/>
  <c r="D22" i="3"/>
  <c r="F22" i="3" s="1"/>
  <c r="G21" i="3"/>
  <c r="E21" i="3"/>
  <c r="D21" i="3"/>
  <c r="H21" i="3" s="1"/>
  <c r="E20" i="3"/>
  <c r="D20" i="3"/>
  <c r="F20" i="3" s="1"/>
  <c r="G19" i="3"/>
  <c r="E19" i="3"/>
  <c r="D19" i="3"/>
  <c r="H19" i="3" s="1"/>
  <c r="H18" i="3"/>
  <c r="G18" i="3"/>
  <c r="E18" i="3"/>
  <c r="D18" i="3"/>
  <c r="F18" i="3" s="1"/>
  <c r="G17" i="3"/>
  <c r="E17" i="3"/>
  <c r="D17" i="3"/>
  <c r="H17" i="3" s="1"/>
  <c r="D13" i="3"/>
  <c r="E37" i="2"/>
  <c r="H36" i="2"/>
  <c r="E36" i="2"/>
  <c r="E35" i="2"/>
  <c r="H34" i="2"/>
  <c r="E34" i="2"/>
  <c r="H33" i="2"/>
  <c r="E33" i="2"/>
  <c r="H32" i="2"/>
  <c r="E32" i="2"/>
  <c r="G25" i="2"/>
  <c r="G24" i="2"/>
  <c r="D23" i="2"/>
  <c r="F23" i="2" s="1"/>
  <c r="G22" i="2"/>
  <c r="G21" i="2"/>
  <c r="F17" i="2"/>
  <c r="F33" i="1"/>
  <c r="F29" i="1"/>
  <c r="F28" i="1"/>
  <c r="F27" i="1"/>
  <c r="F26" i="1"/>
  <c r="F23" i="1"/>
  <c r="F22" i="1"/>
  <c r="F21" i="1"/>
  <c r="F20" i="1"/>
  <c r="F15" i="1"/>
  <c r="F14" i="1"/>
  <c r="F10" i="1"/>
  <c r="F9" i="1"/>
  <c r="F8" i="1"/>
  <c r="F26" i="2" l="1"/>
  <c r="G23" i="2"/>
  <c r="H9" i="4"/>
  <c r="J9" i="4"/>
  <c r="F21" i="3"/>
  <c r="H13" i="4"/>
  <c r="K13" i="4" s="1"/>
  <c r="J16" i="4"/>
  <c r="F17" i="3"/>
  <c r="F23" i="3" s="1"/>
  <c r="H10" i="4"/>
  <c r="K10" i="4" s="1"/>
  <c r="H15" i="4"/>
  <c r="K15" i="4" s="1"/>
  <c r="H23" i="4"/>
  <c r="F19" i="3"/>
  <c r="H12" i="4"/>
  <c r="K12" i="4" s="1"/>
  <c r="H17" i="4"/>
  <c r="K17" i="4" s="1"/>
  <c r="H14" i="4"/>
  <c r="K14" i="4" s="1"/>
  <c r="H18" i="4"/>
  <c r="K18" i="4" s="1"/>
  <c r="F27" i="3" l="1"/>
  <c r="F30" i="3"/>
  <c r="F29" i="3"/>
  <c r="F28" i="3"/>
  <c r="K9" i="4"/>
  <c r="K19" i="4" s="1"/>
  <c r="H19" i="4"/>
  <c r="J19" i="4"/>
  <c r="F47" i="2"/>
  <c r="D35" i="2"/>
  <c r="F35" i="2" s="1"/>
  <c r="G35" i="2" s="1"/>
  <c r="D33" i="2"/>
  <c r="F33" i="2" s="1"/>
  <c r="G33" i="2" s="1"/>
  <c r="D37" i="2"/>
  <c r="F37" i="2" s="1"/>
  <c r="G37" i="2" s="1"/>
  <c r="F44" i="2"/>
  <c r="G26" i="2"/>
  <c r="F45" i="2"/>
  <c r="D32" i="2"/>
  <c r="F32" i="2" s="1"/>
  <c r="D36" i="2"/>
  <c r="F36" i="2" s="1"/>
  <c r="G36" i="2" s="1"/>
  <c r="F31" i="2"/>
  <c r="D34" i="2" l="1"/>
  <c r="F34" i="2" s="1"/>
  <c r="G34" i="2" s="1"/>
  <c r="F46" i="2"/>
  <c r="F48" i="2" s="1"/>
  <c r="G32" i="2"/>
  <c r="F38" i="2"/>
  <c r="H28" i="4"/>
  <c r="H24" i="4"/>
  <c r="F41" i="2" l="1"/>
  <c r="G38" i="2"/>
  <c r="F40" i="2"/>
  <c r="G40" i="2" s="1"/>
</calcChain>
</file>

<file path=xl/sharedStrings.xml><?xml version="1.0" encoding="utf-8"?>
<sst xmlns="http://schemas.openxmlformats.org/spreadsheetml/2006/main" count="208" uniqueCount="193">
  <si>
    <t>TAUX DE COTISATIONS SOCIALES — SUISSE 2027</t>
  </si>
  <si>
    <t>Paramètres modifiables · Mis à jour selon la législation fédérale · Référencés automatiquement dans la Fiche de Salaire</t>
  </si>
  <si>
    <t>COTISATION / ASSURANCE</t>
  </si>
  <si>
    <t>PART SALARIÉ</t>
  </si>
  <si>
    <t>PART EMPLOYEUR</t>
  </si>
  <si>
    <t>TAUX TOTAL</t>
  </si>
  <si>
    <t>BASE DE CALCUL / REMARQUE</t>
  </si>
  <si>
    <t xml:space="preserve">  1ER PILIER — AVS / AI / APG (Assurances sociales fédérales)</t>
  </si>
  <si>
    <t>AVS — Assurance-vieillesse et survivants</t>
  </si>
  <si>
    <t>Sur salaire brut. Pas de plafond (sauf indépendants).</t>
  </si>
  <si>
    <t>AI — Assurance invalidité</t>
  </si>
  <si>
    <t>Inclus dans le taux AVS ci-dessus (5,3% global).</t>
  </si>
  <si>
    <t>APG — Allocations perte de gain</t>
  </si>
  <si>
    <t>Inclus dans le taux AVS global (5,3%).</t>
  </si>
  <si>
    <t xml:space="preserve">  ⚠ Note : Le taux AVS/AI/APG de 5,30% (part salarié) est un taux global combinant les 3 assurances du 1er pilier.</t>
  </si>
  <si>
    <t xml:space="preserve">  2ÈME PILIER A — AC (Assurance-chômage)</t>
  </si>
  <si>
    <t>AC — Assurance-chômage (salaire ≤ plafond)</t>
  </si>
  <si>
    <t>Sur salaire brut jusqu'à CHF 148'200/an.</t>
  </si>
  <si>
    <t>AC — Cotisation solidarité (salaire &gt; plafond)</t>
  </si>
  <si>
    <t>Sur part du salaire &gt; CHF 148'200/an. Taux réduit.</t>
  </si>
  <si>
    <t xml:space="preserve">  Plafond AC 2027 : CHF 148'200 / an = CHF 12'350 / mois</t>
  </si>
  <si>
    <t xml:space="preserve">  2ÈME PILIER B — LPP (Prévoyance professionnelle) · TAUX PAR TRANCHE D'ÂGE</t>
  </si>
  <si>
    <t xml:space="preserve">  Seuil d'entrée LPP 2027 : CHF 22'680/an = CHF 1'890/mois · Montant de coordination : CHF 26'460/an = CHF 2'205/mois</t>
  </si>
  <si>
    <t>LPP — 25 à 34 ans</t>
  </si>
  <si>
    <t>7% total sur salaire coordonné</t>
  </si>
  <si>
    <t>LPP — 35 à 44 ans</t>
  </si>
  <si>
    <t>10% total sur salaire coordonné</t>
  </si>
  <si>
    <t>LPP — 45 à 54 ans</t>
  </si>
  <si>
    <t>15% total sur salaire coordonné</t>
  </si>
  <si>
    <t>LPP — 55 à 65 ans</t>
  </si>
  <si>
    <t>18% total sur salaire coordonné</t>
  </si>
  <si>
    <t xml:space="preserve">  ASSURANCE ACCIDENTS (LAA/AANP) &amp; ASSURANCE MALADIE PERTE DE GAIN</t>
  </si>
  <si>
    <t>LAA — Accidents professionnels (AAP)</t>
  </si>
  <si>
    <t>À CHARGE EXCLUSIVE de l'employeur. N'apparaît pas sur la fiche salarié.</t>
  </si>
  <si>
    <t>LAA — Accidents non professionnels (AANP)</t>
  </si>
  <si>
    <t>Taux indicatif — varie selon assureur. À charge exclusive du salarié.</t>
  </si>
  <si>
    <t>IJM — Indemnité journalière maladie</t>
  </si>
  <si>
    <t>Taux indicatif — varie selon CCT et assureur. Part égale salarié/employeur.</t>
  </si>
  <si>
    <t>LAMat — Allocation maternité (ex. GE : 0,058%)</t>
  </si>
  <si>
    <t>Taux cantonal variable. 0 si hors périmètre de la CCT.</t>
  </si>
  <si>
    <t xml:space="preserve">  IMPÔT À LA SOURCE (IS) — Pour salariés non domiciliés en Suisse</t>
  </si>
  <si>
    <t xml:space="preserve">  Applicable aux frontaliers et résidents étrangers sans permis C. Taux variable selon canton, situation familiale et niveau de revenu.</t>
  </si>
  <si>
    <t>IS — Taux approximatif (à adapter selon barème cantonal)</t>
  </si>
  <si>
    <t>S/O</t>
  </si>
  <si>
    <t>À définir selon barème cantonal et situation personnelle.</t>
  </si>
  <si>
    <t xml:space="preserve">  ◼ Cellules bleues = Part salarié (déductible du brut)  ·  ◼ Cellules or = Part employeur (charge patronale, n'apparaît pas sur la fiche salarié)</t>
  </si>
  <si>
    <t>BULLETIN DE SALAIRE</t>
  </si>
  <si>
    <t>Fiche de paie conforme · Art. 323b CO · Suisse · 2027</t>
  </si>
  <si>
    <t>EMPLOYEUR</t>
  </si>
  <si>
    <t>EMPLOYÉ(E)</t>
  </si>
  <si>
    <t>Raison sociale</t>
  </si>
  <si>
    <t>Entreprise Modèle SA</t>
  </si>
  <si>
    <t>Nom et prénom</t>
  </si>
  <si>
    <t>MARTIN Sophie</t>
  </si>
  <si>
    <t>Adresse</t>
  </si>
  <si>
    <t>Route de Lausanne 48</t>
  </si>
  <si>
    <t>Date de naissance</t>
  </si>
  <si>
    <t>12.04.1987</t>
  </si>
  <si>
    <t>NPA / Localité</t>
  </si>
  <si>
    <t>1700 Fribourg</t>
  </si>
  <si>
    <t>N° AVS</t>
  </si>
  <si>
    <t>756.1234.5678.90</t>
  </si>
  <si>
    <t>No. IDE / N° de registre</t>
  </si>
  <si>
    <t>CHE-123.456.789</t>
  </si>
  <si>
    <t>Fonction / Poste</t>
  </si>
  <si>
    <t>Responsable marketing</t>
  </si>
  <si>
    <t>Département</t>
  </si>
  <si>
    <t>Marketing &amp; Communication</t>
  </si>
  <si>
    <t xml:space="preserve">  PÉRIODE DE PAIE ET DONNÉES CONTRACTUELLES</t>
  </si>
  <si>
    <t>Période de paie</t>
  </si>
  <si>
    <t>Juin 2027</t>
  </si>
  <si>
    <t>Taux d'activité (%)</t>
  </si>
  <si>
    <t>Type de contrat</t>
  </si>
  <si>
    <t>CDI</t>
  </si>
  <si>
    <t>Date d'entrée</t>
  </si>
  <si>
    <t>Soumis à l'impôt à la source</t>
  </si>
  <si>
    <t>Non</t>
  </si>
  <si>
    <t>Âge au 31/12/2027</t>
  </si>
  <si>
    <t>Canton de travail</t>
  </si>
  <si>
    <t>Fribourg</t>
  </si>
  <si>
    <t>Classe LPP (auto)</t>
  </si>
  <si>
    <t xml:space="preserve">  RÉMUNÉRATION BRUTE</t>
  </si>
  <si>
    <t>ÉLÉMENT DE RÉMUNÉRATION</t>
  </si>
  <si>
    <t>BASE</t>
  </si>
  <si>
    <t>QUANTITÉ / %</t>
  </si>
  <si>
    <t>MONTANT MENSUEL (CHF)</t>
  </si>
  <si>
    <t>MONTANT ANNUEL (CHF)</t>
  </si>
  <si>
    <t>REMARQUE</t>
  </si>
  <si>
    <t>Salaire de base mensuel</t>
  </si>
  <si>
    <t>Selon contrat de travail</t>
  </si>
  <si>
    <t>Allocation de famille (AF)</t>
  </si>
  <si>
    <t>Forfait</t>
  </si>
  <si>
    <t>Canton FR : CHF 300/enfant/mois (1 enfant)</t>
  </si>
  <si>
    <t>Prime de performance / bonus</t>
  </si>
  <si>
    <t>5% du salaire de base — T1 2027</t>
  </si>
  <si>
    <t>Indemnité kilométrique</t>
  </si>
  <si>
    <t>Si applicable</t>
  </si>
  <si>
    <t>Remboursement frais professionnels</t>
  </si>
  <si>
    <t>Exonéré de cotisations</t>
  </si>
  <si>
    <t>TOTAL SALAIRE BRUT</t>
  </si>
  <si>
    <t xml:space="preserve">  DÉDUCTIONS SOCIALES ET FISCALES (PART SALARIÉ)</t>
  </si>
  <si>
    <t>COTISATION / DÉDUCTION</t>
  </si>
  <si>
    <t>BASE DE CALCUL</t>
  </si>
  <si>
    <t>TAUX SALARIÉ</t>
  </si>
  <si>
    <t>MONTANT MENSUEL</t>
  </si>
  <si>
    <t>MONTANT ANNUEL</t>
  </si>
  <si>
    <t>TAUX EMPLOYEUR (info)</t>
  </si>
  <si>
    <t xml:space="preserve">  ➔ Salaire coordonné LPP = Salaire brut − Montant de coordination (CHF 26'460/an)</t>
  </si>
  <si>
    <t>_sal_coord_mensuel</t>
  </si>
  <si>
    <t>AVS / AI / APG (1er pilier)</t>
  </si>
  <si>
    <t>AC — Assurance-chômage</t>
  </si>
  <si>
    <t>LPP — Prévoyance professionnelle</t>
  </si>
  <si>
    <t>AANP — Accid. non professionnels</t>
  </si>
  <si>
    <t>0%</t>
  </si>
  <si>
    <t>Impôt à la source (IS)</t>
  </si>
  <si>
    <t>TOTAL DÉDUCTIONS SALARIALES</t>
  </si>
  <si>
    <t>SALAIRE NET À PAYER</t>
  </si>
  <si>
    <t>Taux de charges salariales (déductions / brut)</t>
  </si>
  <si>
    <t>Comparatif France ≈ 20–25%</t>
  </si>
  <si>
    <t xml:space="preserve">  COÛT EMPLOYEUR TOTAL (INFORMATION)</t>
  </si>
  <si>
    <t>Part patronale AVS/AI/APG (5,3%)</t>
  </si>
  <si>
    <t>Part patronale AC (1,1%)</t>
  </si>
  <si>
    <t>Part patronale LPP</t>
  </si>
  <si>
    <t>AAP — Accidents professionnels (à charge employeur)</t>
  </si>
  <si>
    <t>COÛT TOTAL EMPLOYEUR MENSUEL</t>
  </si>
  <si>
    <t xml:space="preserve">  Ce bulletin de salaire est établi conformément à l'art. 323b du Code des Obligations suisse (CO). Durée de conservation légale : 10 ans. Contact RH : rh@entreprise-modele.ch</t>
  </si>
  <si>
    <t>SIMULATEUR SALAIRE BRUT → NET</t>
  </si>
  <si>
    <t>Calculez votre salaire net en entrant le brut mensuel · Taux basés sur les paramètres 2027 · Résultats automatiques</t>
  </si>
  <si>
    <t xml:space="preserve">  PARAMÈTRES DE LA SIMULATION</t>
  </si>
  <si>
    <t xml:space="preserve">  ℹ  Saisir uniquement les cellules en fond bleu. Les résultats se mettent à jour automatiquement.</t>
  </si>
  <si>
    <t>Salaire brut mensuel (CHF)</t>
  </si>
  <si>
    <t>Âge du salarié</t>
  </si>
  <si>
    <t>Soumis à l'impôt à la source ?</t>
  </si>
  <si>
    <t>_sal_coord_sim</t>
  </si>
  <si>
    <t xml:space="preserve">  DÉTAIL DES COTISATIONS CALCULÉES</t>
  </si>
  <si>
    <t>COTISATION</t>
  </si>
  <si>
    <t>TAUX EMPLOYEUR</t>
  </si>
  <si>
    <t>PART PATRONALE</t>
  </si>
  <si>
    <t>AVS / AI / APG</t>
  </si>
  <si>
    <t>LPP — Prévoyance prof.</t>
  </si>
  <si>
    <t>AANP — Acc. non prof.</t>
  </si>
  <si>
    <t>IJM — Ind. journalière</t>
  </si>
  <si>
    <t xml:space="preserve">  RÉSULTATS</t>
  </si>
  <si>
    <t>Salaire brut mensuel</t>
  </si>
  <si>
    <t>Total déductions (part salarié)</t>
  </si>
  <si>
    <t>SALAIRE NET MENSUEL</t>
  </si>
  <si>
    <t>Salaire net annuel (× 12)</t>
  </si>
  <si>
    <t>Taux de charges salariales</t>
  </si>
  <si>
    <t>Coût employeur mensuel estimé</t>
  </si>
  <si>
    <t xml:space="preserve">  COMPARATIF LPP PAR TRANCHE D'ÂGE — pour le même salaire brut</t>
  </si>
  <si>
    <t>TRANCHE D'ÂGE</t>
  </si>
  <si>
    <t>TAUX LPP
salarié</t>
  </si>
  <si>
    <t>COTISATION
LPP/mois</t>
  </si>
  <si>
    <t>TOTAL
déductions</t>
  </si>
  <si>
    <t>SALAIRE
NET/mois</t>
  </si>
  <si>
    <t>NET vs. &lt; 25 ans</t>
  </si>
  <si>
    <t>&lt; 25 ans (pas de LPP obligatoire)</t>
  </si>
  <si>
    <t>Référence</t>
  </si>
  <si>
    <t>25–34 ans</t>
  </si>
  <si>
    <t>35–44 ans</t>
  </si>
  <si>
    <t>45–54 ans</t>
  </si>
  <si>
    <t>55–65 ans</t>
  </si>
  <si>
    <t>RÉCAPITULATIF RH ANNUEL — MASSE SALARIALE 2027</t>
  </si>
  <si>
    <t>Tableau de bord RH · Brut/Net par salarié · Charges patronales · Totaux consolidés</t>
  </si>
  <si>
    <t xml:space="preserve">  ℹ  Saisir le salaire brut mensuel et l'âge de chaque salarié dans les colonnes bleues. Les calculs s'effectuent automatiquement.</t>
  </si>
  <si>
    <t>NOM PRÉNOM</t>
  </si>
  <si>
    <t>ÂGE</t>
  </si>
  <si>
    <t>TAUX
ACT.</t>
  </si>
  <si>
    <t>BRUT
MENSUEL</t>
  </si>
  <si>
    <t>DÉDUCT.
SALARIÉ</t>
  </si>
  <si>
    <t>NET
MENSUEL</t>
  </si>
  <si>
    <t>BRUT
ANNUEL</t>
  </si>
  <si>
    <t>TOTAL
DÉD. ANNUEL</t>
  </si>
  <si>
    <t>NET
ANNUEL</t>
  </si>
  <si>
    <t>COÛT
EMPLOYEUR
MENSUEL</t>
  </si>
  <si>
    <t>BERNARD Thomas</t>
  </si>
  <si>
    <t>LECLERC Julie</t>
  </si>
  <si>
    <t>MOREL François</t>
  </si>
  <si>
    <t>DUPONT Isabelle</t>
  </si>
  <si>
    <t>RENAUD Mathieu</t>
  </si>
  <si>
    <t>PETIT Laure</t>
  </si>
  <si>
    <t>GARNIER Nicolas</t>
  </si>
  <si>
    <t>SIMON Cécile</t>
  </si>
  <si>
    <t>LAMBERT Pierre</t>
  </si>
  <si>
    <t>TOTAUX MASSE SALARIALE</t>
  </si>
  <si>
    <t xml:space="preserve">  INDICATEURS CLÉS</t>
  </si>
  <si>
    <t>Nombre de salariés</t>
  </si>
  <si>
    <t>Masse salariale brute mensuelle</t>
  </si>
  <si>
    <t>Masse salariale nette mensuelle</t>
  </si>
  <si>
    <t>Taux de charges moyen (salariés)</t>
  </si>
  <si>
    <t>Coût employeur total mensuel</t>
  </si>
  <si>
    <t>Salaire brut moyen (CHF/mois)</t>
  </si>
  <si>
    <t>Salaire net moyen (CHF/mois)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</si>
</sst>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dd\.mm\.yyyy"/>
    <numFmt numFmtId="166" formatCode="#,##0.00&quot; CHF&quot;"/>
  </numFmts>
  <fonts count="35" x14ac:knownFonts="1">
    <font>
      <sz val="11"/>
      <color theme="1"/>
      <name val="Calibri"/>
      <family val="2"/>
      <charset val="1"/>
    </font>
    <font>
      <b/>
      <sz val="16"/>
      <color rgb="FFFFFFFF"/>
      <name val="Calibri"/>
      <charset val="1"/>
    </font>
    <font>
      <i/>
      <sz val="9"/>
      <color rgb="FFBEE3F8"/>
      <name val="Calibri"/>
      <charset val="1"/>
    </font>
    <font>
      <b/>
      <sz val="9"/>
      <color rgb="FFFFFFFF"/>
      <name val="Calibri"/>
      <charset val="1"/>
    </font>
    <font>
      <b/>
      <sz val="10"/>
      <color rgb="FFFFFFFF"/>
      <name val="Calibri"/>
      <charset val="1"/>
    </font>
    <font>
      <sz val="9"/>
      <color rgb="FF2D3748"/>
      <name val="Calibri"/>
      <charset val="1"/>
    </font>
    <font>
      <sz val="10"/>
      <color rgb="FF2C5282"/>
      <name val="Calibri"/>
      <charset val="1"/>
    </font>
    <font>
      <b/>
      <sz val="10"/>
      <color rgb="FF2D3748"/>
      <name val="Calibri"/>
      <charset val="1"/>
    </font>
    <font>
      <i/>
      <sz val="8"/>
      <color rgb="FF718096"/>
      <name val="Calibri"/>
      <charset val="1"/>
    </font>
    <font>
      <i/>
      <sz val="8"/>
      <color rgb="FFB7791F"/>
      <name val="Calibri"/>
      <charset val="1"/>
    </font>
    <font>
      <i/>
      <sz val="8"/>
      <color rgb="FF2C5282"/>
      <name val="Calibri"/>
      <charset val="1"/>
    </font>
    <font>
      <sz val="9"/>
      <color rgb="FF718096"/>
      <name val="Calibri"/>
      <charset val="1"/>
    </font>
    <font>
      <i/>
      <sz val="8"/>
      <color rgb="FF2D3748"/>
      <name val="Calibri"/>
      <charset val="1"/>
    </font>
    <font>
      <b/>
      <sz val="22"/>
      <color rgb="FFFFFFFF"/>
      <name val="Calibri"/>
      <charset val="1"/>
    </font>
    <font>
      <b/>
      <sz val="8"/>
      <color rgb="FF4A5568"/>
      <name val="Calibri"/>
      <charset val="1"/>
    </font>
    <font>
      <b/>
      <sz val="9"/>
      <color rgb="FF4A5568"/>
      <name val="Calibri"/>
      <charset val="1"/>
    </font>
    <font>
      <b/>
      <sz val="9"/>
      <color rgb="FF1A2F4A"/>
      <name val="Calibri"/>
      <charset val="1"/>
    </font>
    <font>
      <sz val="10"/>
      <color rgb="FF2D3748"/>
      <name val="Calibri"/>
      <charset val="1"/>
    </font>
    <font>
      <b/>
      <sz val="9"/>
      <color rgb="FF2D3748"/>
      <name val="Calibri"/>
      <charset val="1"/>
    </font>
    <font>
      <b/>
      <sz val="11"/>
      <color rgb="FFFFFFFF"/>
      <name val="Calibri"/>
      <charset val="1"/>
    </font>
    <font>
      <b/>
      <sz val="13"/>
      <color rgb="FFFFFFFF"/>
      <name val="Calibri"/>
      <charset val="1"/>
    </font>
    <font>
      <sz val="9"/>
      <color rgb="FF4A5568"/>
      <name val="Calibri"/>
      <charset val="1"/>
    </font>
    <font>
      <b/>
      <sz val="9"/>
      <color rgb="FF2C5282"/>
      <name val="Calibri"/>
      <charset val="1"/>
    </font>
    <font>
      <b/>
      <sz val="10"/>
      <color rgb="FFC53030"/>
      <name val="Calibri"/>
      <charset val="1"/>
    </font>
    <font>
      <sz val="9"/>
      <color rgb="FFB7791F"/>
      <name val="Calibri"/>
      <charset val="1"/>
    </font>
    <font>
      <b/>
      <sz val="14"/>
      <color rgb="FFFFFFFF"/>
      <name val="Calibri"/>
      <charset val="1"/>
    </font>
    <font>
      <b/>
      <sz val="11"/>
      <color rgb="FF1A2F4A"/>
      <name val="Calibri"/>
      <charset val="1"/>
    </font>
    <font>
      <i/>
      <sz val="7"/>
      <color rgb="FF718096"/>
      <name val="Calibri"/>
      <charset val="1"/>
    </font>
    <font>
      <b/>
      <sz val="12"/>
      <color rgb="FFFFFFFF"/>
      <name val="Calibri"/>
      <charset val="1"/>
    </font>
    <font>
      <b/>
      <sz val="11"/>
      <color rgb="FF2D3748"/>
      <name val="Calibri"/>
      <charset val="1"/>
    </font>
    <font>
      <sz val="9"/>
      <color rgb="FFC53030"/>
      <name val="Calibri"/>
      <charset val="1"/>
    </font>
    <font>
      <b/>
      <sz val="10"/>
      <color rgb="FF276749"/>
      <name val="Calibri"/>
      <charset val="1"/>
    </font>
    <font>
      <i/>
      <sz val="9"/>
      <color rgb="FF718096"/>
      <name val="Calibri"/>
      <charset val="1"/>
    </font>
    <font>
      <b/>
      <sz val="15"/>
      <color rgb="FFFFFFFF"/>
      <name val="Calibri"/>
      <charset val="1"/>
    </font>
    <font>
      <b/>
      <sz val="11"/>
      <color rgb="FF2C5282"/>
      <name val="Calibri"/>
      <charset val="1"/>
    </font>
  </fonts>
  <fills count="19">
    <fill>
      <patternFill patternType="none"/>
    </fill>
    <fill>
      <patternFill patternType="gray125"/>
    </fill>
    <fill>
      <patternFill patternType="solid">
        <fgColor rgb="FFC8102E"/>
        <bgColor rgb="FFC53030"/>
      </patternFill>
    </fill>
    <fill>
      <patternFill patternType="solid">
        <fgColor rgb="FF1A2F4A"/>
        <bgColor rgb="FF2D3748"/>
      </patternFill>
    </fill>
    <fill>
      <patternFill patternType="solid">
        <fgColor rgb="FF2C5282"/>
        <bgColor rgb="FF4A5568"/>
      </patternFill>
    </fill>
    <fill>
      <patternFill patternType="solid">
        <fgColor rgb="FFB7791F"/>
        <bgColor rgb="FFC05621"/>
      </patternFill>
    </fill>
    <fill>
      <patternFill patternType="solid">
        <fgColor rgb="FFF7FAFC"/>
        <bgColor rgb="FFFFFFFF"/>
      </patternFill>
    </fill>
    <fill>
      <patternFill patternType="solid">
        <fgColor rgb="FFEBF4FF"/>
        <bgColor rgb="FFF7FAFC"/>
      </patternFill>
    </fill>
    <fill>
      <patternFill patternType="solid">
        <fgColor rgb="FFFEFCBF"/>
        <bgColor rgb="FFFEEBC8"/>
      </patternFill>
    </fill>
    <fill>
      <patternFill patternType="solid">
        <fgColor rgb="FFFFFFFF"/>
        <bgColor rgb="FFF7FAFC"/>
      </patternFill>
    </fill>
    <fill>
      <patternFill patternType="solid">
        <fgColor rgb="FFFEEBC8"/>
        <bgColor rgb="FFFEFCBF"/>
      </patternFill>
    </fill>
    <fill>
      <patternFill patternType="solid">
        <fgColor rgb="FFE2E8F0"/>
        <bgColor rgb="FFEBF4FF"/>
      </patternFill>
    </fill>
    <fill>
      <patternFill patternType="solid">
        <fgColor rgb="FF2D3748"/>
        <bgColor rgb="FF1A2F4A"/>
      </patternFill>
    </fill>
    <fill>
      <patternFill patternType="solid">
        <fgColor rgb="FFFED7D7"/>
        <bgColor rgb="FFFEEBC8"/>
      </patternFill>
    </fill>
    <fill>
      <patternFill patternType="solid">
        <fgColor rgb="FF718096"/>
        <bgColor rgb="FF969696"/>
      </patternFill>
    </fill>
    <fill>
      <patternFill patternType="solid">
        <fgColor rgb="FFC53030"/>
        <bgColor rgb="FFC8102E"/>
      </patternFill>
    </fill>
    <fill>
      <patternFill patternType="solid">
        <fgColor rgb="FF276749"/>
        <bgColor rgb="FF2C5282"/>
      </patternFill>
    </fill>
    <fill>
      <patternFill patternType="solid">
        <fgColor rgb="FFC6F6D5"/>
        <bgColor rgb="FFBEE3F8"/>
      </patternFill>
    </fill>
    <fill>
      <patternFill patternType="solid">
        <fgColor rgb="FFBEE3F8"/>
        <bgColor rgb="FFC6F6D5"/>
      </patternFill>
    </fill>
  </fills>
  <borders count="15">
    <border>
      <left/>
      <right/>
      <top/>
      <bottom/>
      <diagonal/>
    </border>
    <border>
      <left style="thin">
        <color rgb="FF1A2F4A"/>
      </left>
      <right style="thin">
        <color rgb="FF1A2F4A"/>
      </right>
      <top style="thin">
        <color rgb="FF1A2F4A"/>
      </top>
      <bottom style="thin">
        <color rgb="FF1A2F4A"/>
      </bottom>
      <diagonal/>
    </border>
    <border>
      <left style="thick">
        <color rgb="FFC8102E"/>
      </left>
      <right/>
      <top/>
      <bottom style="thin">
        <color rgb="FFC8102E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2C5282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ck">
        <color rgb="FFB7791F"/>
      </left>
      <right/>
      <top/>
      <bottom/>
      <diagonal/>
    </border>
    <border>
      <left style="thick">
        <color rgb="FF2C5282"/>
      </left>
      <right/>
      <top/>
      <bottom/>
      <diagonal/>
    </border>
    <border>
      <left style="thick">
        <color rgb="FFC05621"/>
      </left>
      <right/>
      <top/>
      <bottom/>
      <diagonal/>
    </border>
    <border>
      <left style="thin">
        <color rgb="FF1A2F4A"/>
      </left>
      <right/>
      <top style="thin">
        <color rgb="FF1A2F4A"/>
      </top>
      <bottom style="thin">
        <color rgb="FF1A2F4A"/>
      </bottom>
      <diagonal/>
    </border>
    <border>
      <left style="medium">
        <color rgb="FF2C5282"/>
      </left>
      <right/>
      <top style="thin">
        <color rgb="FFE2E8F0"/>
      </top>
      <bottom style="thin">
        <color rgb="FFE2E8F0"/>
      </bottom>
      <diagonal/>
    </border>
    <border>
      <left style="thin">
        <color rgb="FF2D3748"/>
      </left>
      <right/>
      <top style="thin">
        <color rgb="FF2D3748"/>
      </top>
      <bottom style="thin">
        <color rgb="FF2D3748"/>
      </bottom>
      <diagonal/>
    </border>
    <border>
      <left style="thin">
        <color rgb="FF2D3748"/>
      </left>
      <right style="thin">
        <color rgb="FF2D3748"/>
      </right>
      <top style="thin">
        <color rgb="FF2D3748"/>
      </top>
      <bottom style="thin">
        <color rgb="FF2D3748"/>
      </bottom>
      <diagonal/>
    </border>
    <border>
      <left style="thin">
        <color rgb="FFE2E8F0"/>
      </left>
      <right/>
      <top style="thin">
        <color rgb="FFE2E8F0"/>
      </top>
      <bottom style="thin">
        <color rgb="FFE2E8F0"/>
      </bottom>
      <diagonal/>
    </border>
    <border>
      <left style="thick">
        <color rgb="FFB7791F"/>
      </left>
      <right/>
      <top/>
      <bottom style="thin">
        <color rgb="FFB7791F"/>
      </bottom>
      <diagonal/>
    </border>
    <border>
      <left/>
      <right/>
      <top style="medium">
        <color rgb="FFE2E8F0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165" fontId="6" fillId="7" borderId="9" xfId="0" applyNumberFormat="1" applyFont="1" applyFill="1" applyBorder="1" applyAlignment="1">
      <alignment horizontal="right" vertical="center" indent="1"/>
    </xf>
    <xf numFmtId="164" fontId="6" fillId="7" borderId="9" xfId="0" applyNumberFormat="1" applyFont="1" applyFill="1" applyBorder="1" applyAlignment="1">
      <alignment horizontal="right" vertical="center" indent="1"/>
    </xf>
    <xf numFmtId="0" fontId="4" fillId="12" borderId="2" xfId="0" applyFont="1" applyFill="1" applyBorder="1" applyAlignment="1">
      <alignment horizontal="left" vertical="center" indent="1"/>
    </xf>
    <xf numFmtId="0" fontId="6" fillId="7" borderId="9" xfId="0" applyFont="1" applyFill="1" applyBorder="1" applyAlignment="1">
      <alignment horizontal="left" vertical="center" indent="1"/>
    </xf>
    <xf numFmtId="0" fontId="3" fillId="4" borderId="8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2" fillId="11" borderId="0" xfId="0" applyFont="1" applyFill="1" applyAlignment="1">
      <alignment horizontal="left" vertical="center" indent="2"/>
    </xf>
    <xf numFmtId="0" fontId="8" fillId="10" borderId="7" xfId="0" applyFont="1" applyFill="1" applyBorder="1" applyAlignment="1">
      <alignment horizontal="left" vertical="center" indent="2"/>
    </xf>
    <xf numFmtId="0" fontId="10" fillId="7" borderId="6" xfId="0" applyFont="1" applyFill="1" applyBorder="1" applyAlignment="1">
      <alignment horizontal="left" vertical="center" indent="2"/>
    </xf>
    <xf numFmtId="0" fontId="9" fillId="8" borderId="5" xfId="0" applyFont="1" applyFill="1" applyBorder="1" applyAlignment="1">
      <alignment horizontal="left" vertical="center" indent="2"/>
    </xf>
    <xf numFmtId="0" fontId="4" fillId="3" borderId="2" xfId="0" applyFont="1" applyFill="1" applyBorder="1" applyAlignment="1">
      <alignment horizontal="left" vertical="center" indent="1"/>
    </xf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2" borderId="0" xfId="0" applyFill="1"/>
    <xf numFmtId="0" fontId="3" fillId="3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left" vertical="center" indent="1"/>
    </xf>
    <xf numFmtId="10" fontId="6" fillId="7" borderId="4" xfId="0" applyNumberFormat="1" applyFont="1" applyFill="1" applyBorder="1" applyAlignment="1">
      <alignment horizontal="right" vertical="center" indent="1"/>
    </xf>
    <xf numFmtId="10" fontId="6" fillId="8" borderId="4" xfId="0" applyNumberFormat="1" applyFont="1" applyFill="1" applyBorder="1" applyAlignment="1">
      <alignment horizontal="right" vertical="center" indent="1"/>
    </xf>
    <xf numFmtId="10" fontId="7" fillId="6" borderId="3" xfId="0" applyNumberFormat="1" applyFont="1" applyFill="1" applyBorder="1" applyAlignment="1">
      <alignment horizontal="right" vertical="center"/>
    </xf>
    <xf numFmtId="0" fontId="8" fillId="6" borderId="3" xfId="0" applyFont="1" applyFill="1" applyBorder="1" applyAlignment="1">
      <alignment horizontal="left" vertical="center" wrapText="1" indent="1"/>
    </xf>
    <xf numFmtId="0" fontId="5" fillId="9" borderId="3" xfId="0" applyFont="1" applyFill="1" applyBorder="1" applyAlignment="1">
      <alignment horizontal="left" vertical="center" indent="1"/>
    </xf>
    <xf numFmtId="10" fontId="7" fillId="9" borderId="3" xfId="0" applyNumberFormat="1" applyFont="1" applyFill="1" applyBorder="1" applyAlignment="1">
      <alignment horizontal="right" vertical="center"/>
    </xf>
    <xf numFmtId="0" fontId="8" fillId="9" borderId="3" xfId="0" applyFont="1" applyFill="1" applyBorder="1" applyAlignment="1">
      <alignment horizontal="left" vertical="center" wrapText="1" indent="1"/>
    </xf>
    <xf numFmtId="0" fontId="8" fillId="6" borderId="3" xfId="0" applyFont="1" applyFill="1" applyBorder="1" applyAlignment="1">
      <alignment horizontal="left" vertical="center" indent="1"/>
    </xf>
    <xf numFmtId="0" fontId="8" fillId="9" borderId="3" xfId="0" applyFont="1" applyFill="1" applyBorder="1" applyAlignment="1">
      <alignment horizontal="left" vertical="center" indent="1"/>
    </xf>
    <xf numFmtId="0" fontId="11" fillId="6" borderId="3" xfId="0" applyFont="1" applyFill="1" applyBorder="1" applyAlignment="1">
      <alignment horizontal="center" vertical="center"/>
    </xf>
    <xf numFmtId="0" fontId="14" fillId="9" borderId="3" xfId="0" applyFont="1" applyFill="1" applyBorder="1" applyAlignment="1">
      <alignment horizontal="left" vertical="center" indent="1"/>
    </xf>
    <xf numFmtId="0" fontId="14" fillId="6" borderId="3" xfId="0" applyFont="1" applyFill="1" applyBorder="1" applyAlignment="1">
      <alignment horizontal="left" vertical="center" indent="1"/>
    </xf>
    <xf numFmtId="0" fontId="15" fillId="9" borderId="3" xfId="0" applyFont="1" applyFill="1" applyBorder="1" applyAlignment="1">
      <alignment horizontal="left" vertical="center" indent="1"/>
    </xf>
    <xf numFmtId="0" fontId="15" fillId="6" borderId="3" xfId="0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0" fontId="18" fillId="9" borderId="3" xfId="0" applyFont="1" applyFill="1" applyBorder="1" applyAlignment="1">
      <alignment horizontal="left" vertical="center" indent="1"/>
    </xf>
    <xf numFmtId="0" fontId="6" fillId="7" borderId="4" xfId="0" applyFont="1" applyFill="1" applyBorder="1" applyAlignment="1">
      <alignment horizontal="center" vertical="center" indent="1"/>
    </xf>
    <xf numFmtId="166" fontId="6" fillId="7" borderId="4" xfId="0" applyNumberFormat="1" applyFont="1" applyFill="1" applyBorder="1" applyAlignment="1">
      <alignment horizontal="right" vertical="center" indent="1"/>
    </xf>
    <xf numFmtId="166" fontId="7" fillId="9" borderId="3" xfId="0" applyNumberFormat="1" applyFont="1" applyFill="1" applyBorder="1" applyAlignment="1">
      <alignment horizontal="right" vertical="center"/>
    </xf>
    <xf numFmtId="0" fontId="17" fillId="11" borderId="0" xfId="0" applyFont="1" applyFill="1" applyAlignment="1">
      <alignment horizontal="left" vertical="center"/>
    </xf>
    <xf numFmtId="166" fontId="7" fillId="6" borderId="3" xfId="0" applyNumberFormat="1" applyFont="1" applyFill="1" applyBorder="1" applyAlignment="1">
      <alignment horizontal="right" vertical="center"/>
    </xf>
    <xf numFmtId="166" fontId="5" fillId="6" borderId="3" xfId="0" applyNumberFormat="1" applyFont="1" applyFill="1" applyBorder="1" applyAlignment="1">
      <alignment horizontal="right" vertical="center"/>
    </xf>
    <xf numFmtId="164" fontId="6" fillId="7" borderId="4" xfId="0" applyNumberFormat="1" applyFont="1" applyFill="1" applyBorder="1" applyAlignment="1">
      <alignment horizontal="center" vertical="center" indent="1"/>
    </xf>
    <xf numFmtId="166" fontId="17" fillId="6" borderId="3" xfId="0" applyNumberFormat="1" applyFont="1" applyFill="1" applyBorder="1" applyAlignment="1">
      <alignment horizontal="right" vertical="center"/>
    </xf>
    <xf numFmtId="166" fontId="20" fillId="3" borderId="1" xfId="0" applyNumberFormat="1" applyFont="1" applyFill="1" applyBorder="1" applyAlignment="1">
      <alignment horizontal="right" vertical="center" indent="1"/>
    </xf>
    <xf numFmtId="166" fontId="19" fillId="3" borderId="3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/>
    </xf>
    <xf numFmtId="166" fontId="0" fillId="0" borderId="0" xfId="0" applyNumberFormat="1"/>
    <xf numFmtId="0" fontId="17" fillId="4" borderId="0" xfId="0" applyFont="1" applyFill="1" applyAlignment="1">
      <alignment horizontal="left" vertical="center"/>
    </xf>
    <xf numFmtId="166" fontId="21" fillId="9" borderId="3" xfId="0" applyNumberFormat="1" applyFont="1" applyFill="1" applyBorder="1" applyAlignment="1">
      <alignment horizontal="right" vertical="center"/>
    </xf>
    <xf numFmtId="10" fontId="22" fillId="7" borderId="3" xfId="0" applyNumberFormat="1" applyFont="1" applyFill="1" applyBorder="1" applyAlignment="1">
      <alignment horizontal="center" vertical="center"/>
    </xf>
    <xf numFmtId="166" fontId="23" fillId="13" borderId="3" xfId="0" applyNumberFormat="1" applyFont="1" applyFill="1" applyBorder="1" applyAlignment="1">
      <alignment horizontal="right" vertical="center"/>
    </xf>
    <xf numFmtId="10" fontId="24" fillId="8" borderId="3" xfId="0" applyNumberFormat="1" applyFont="1" applyFill="1" applyBorder="1" applyAlignment="1">
      <alignment horizontal="center" vertical="center"/>
    </xf>
    <xf numFmtId="166" fontId="21" fillId="6" borderId="3" xfId="0" applyNumberFormat="1" applyFont="1" applyFill="1" applyBorder="1" applyAlignment="1">
      <alignment horizontal="right" vertical="center"/>
    </xf>
    <xf numFmtId="0" fontId="17" fillId="14" borderId="0" xfId="0" applyFont="1" applyFill="1" applyAlignment="1">
      <alignment horizontal="left" vertical="center"/>
    </xf>
    <xf numFmtId="0" fontId="8" fillId="6" borderId="3" xfId="0" applyFont="1" applyFill="1" applyBorder="1" applyAlignment="1">
      <alignment horizontal="center" vertical="center"/>
    </xf>
    <xf numFmtId="166" fontId="20" fillId="15" borderId="11" xfId="0" applyNumberFormat="1" applyFont="1" applyFill="1" applyBorder="1" applyAlignment="1">
      <alignment horizontal="right" vertical="center" indent="1"/>
    </xf>
    <xf numFmtId="166" fontId="19" fillId="15" borderId="3" xfId="0" applyNumberFormat="1" applyFont="1" applyFill="1" applyBorder="1" applyAlignment="1">
      <alignment horizontal="right" vertical="center"/>
    </xf>
    <xf numFmtId="0" fontId="17" fillId="12" borderId="11" xfId="0" applyFont="1" applyFill="1" applyBorder="1" applyAlignment="1">
      <alignment horizontal="left" vertical="center"/>
    </xf>
    <xf numFmtId="166" fontId="1" fillId="16" borderId="1" xfId="0" applyNumberFormat="1" applyFont="1" applyFill="1" applyBorder="1" applyAlignment="1">
      <alignment horizontal="right" vertical="center" indent="1"/>
    </xf>
    <xf numFmtId="166" fontId="20" fillId="16" borderId="3" xfId="0" applyNumberFormat="1" applyFont="1" applyFill="1" applyBorder="1" applyAlignment="1">
      <alignment horizontal="right" vertical="center"/>
    </xf>
    <xf numFmtId="164" fontId="26" fillId="7" borderId="3" xfId="0" applyNumberFormat="1" applyFont="1" applyFill="1" applyBorder="1" applyAlignment="1">
      <alignment horizontal="right" vertical="center" indent="1"/>
    </xf>
    <xf numFmtId="0" fontId="17" fillId="6" borderId="3" xfId="0" applyFont="1" applyFill="1" applyBorder="1" applyAlignment="1">
      <alignment horizontal="left" vertical="center"/>
    </xf>
    <xf numFmtId="166" fontId="24" fillId="8" borderId="3" xfId="0" applyNumberFormat="1" applyFont="1" applyFill="1" applyBorder="1" applyAlignment="1">
      <alignment horizontal="right" vertical="center"/>
    </xf>
    <xf numFmtId="0" fontId="17" fillId="8" borderId="3" xfId="0" applyFont="1" applyFill="1" applyBorder="1" applyAlignment="1">
      <alignment horizontal="left" vertical="center"/>
    </xf>
    <xf numFmtId="166" fontId="20" fillId="5" borderId="11" xfId="0" applyNumberFormat="1" applyFont="1" applyFill="1" applyBorder="1" applyAlignment="1">
      <alignment horizontal="right" vertical="center" indent="1"/>
    </xf>
    <xf numFmtId="0" fontId="17" fillId="5" borderId="11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right" vertical="center" indent="1"/>
    </xf>
    <xf numFmtId="9" fontId="21" fillId="6" borderId="3" xfId="0" applyNumberFormat="1" applyFont="1" applyFill="1" applyBorder="1" applyAlignment="1">
      <alignment horizontal="right" vertical="center"/>
    </xf>
    <xf numFmtId="0" fontId="0" fillId="6" borderId="3" xfId="0" applyFill="1" applyBorder="1"/>
    <xf numFmtId="166" fontId="28" fillId="15" borderId="11" xfId="0" applyNumberFormat="1" applyFont="1" applyFill="1" applyBorder="1" applyAlignment="1">
      <alignment horizontal="right" vertical="center" indent="1"/>
    </xf>
    <xf numFmtId="0" fontId="0" fillId="12" borderId="11" xfId="0" applyFill="1" applyBorder="1"/>
    <xf numFmtId="166" fontId="25" fillId="3" borderId="11" xfId="0" applyNumberFormat="1" applyFont="1" applyFill="1" applyBorder="1" applyAlignment="1">
      <alignment horizontal="right" vertical="center" indent="1"/>
    </xf>
    <xf numFmtId="0" fontId="0" fillId="3" borderId="11" xfId="0" applyFill="1" applyBorder="1"/>
    <xf numFmtId="0" fontId="0" fillId="15" borderId="11" xfId="0" applyFill="1" applyBorder="1"/>
    <xf numFmtId="166" fontId="1" fillId="16" borderId="11" xfId="0" applyNumberFormat="1" applyFont="1" applyFill="1" applyBorder="1" applyAlignment="1">
      <alignment horizontal="right" vertical="center" indent="1"/>
    </xf>
    <xf numFmtId="0" fontId="0" fillId="16" borderId="11" xfId="0" applyFill="1" applyBorder="1"/>
    <xf numFmtId="166" fontId="28" fillId="16" borderId="11" xfId="0" applyNumberFormat="1" applyFont="1" applyFill="1" applyBorder="1" applyAlignment="1">
      <alignment horizontal="right" vertical="center" indent="1"/>
    </xf>
    <xf numFmtId="164" fontId="19" fillId="4" borderId="11" xfId="0" applyNumberFormat="1" applyFont="1" applyFill="1" applyBorder="1" applyAlignment="1">
      <alignment horizontal="right" vertical="center" indent="1"/>
    </xf>
    <xf numFmtId="0" fontId="0" fillId="4" borderId="11" xfId="0" applyFill="1" applyBorder="1"/>
    <xf numFmtId="166" fontId="19" fillId="5" borderId="11" xfId="0" applyNumberFormat="1" applyFont="1" applyFill="1" applyBorder="1" applyAlignment="1">
      <alignment horizontal="right" vertical="center" indent="1"/>
    </xf>
    <xf numFmtId="0" fontId="0" fillId="5" borderId="11" xfId="0" applyFill="1" applyBorder="1"/>
    <xf numFmtId="10" fontId="5" fillId="9" borderId="3" xfId="0" applyNumberFormat="1" applyFont="1" applyFill="1" applyBorder="1" applyAlignment="1">
      <alignment horizontal="center" vertical="center"/>
    </xf>
    <xf numFmtId="166" fontId="5" fillId="9" borderId="3" xfId="0" applyNumberFormat="1" applyFont="1" applyFill="1" applyBorder="1" applyAlignment="1">
      <alignment horizontal="right" vertical="center"/>
    </xf>
    <xf numFmtId="166" fontId="30" fillId="13" borderId="3" xfId="0" applyNumberFormat="1" applyFont="1" applyFill="1" applyBorder="1" applyAlignment="1">
      <alignment horizontal="right" vertical="center"/>
    </xf>
    <xf numFmtId="166" fontId="31" fillId="17" borderId="3" xfId="0" applyNumberFormat="1" applyFont="1" applyFill="1" applyBorder="1" applyAlignment="1">
      <alignment horizontal="right" vertical="center"/>
    </xf>
    <xf numFmtId="0" fontId="32" fillId="6" borderId="3" xfId="0" applyFont="1" applyFill="1" applyBorder="1" applyAlignment="1">
      <alignment horizontal="center" vertical="center"/>
    </xf>
    <xf numFmtId="166" fontId="18" fillId="9" borderId="3" xfId="0" applyNumberFormat="1" applyFont="1" applyFill="1" applyBorder="1" applyAlignment="1">
      <alignment horizontal="right" vertical="center"/>
    </xf>
    <xf numFmtId="10" fontId="5" fillId="6" borderId="3" xfId="0" applyNumberFormat="1" applyFont="1" applyFill="1" applyBorder="1" applyAlignment="1">
      <alignment horizontal="center" vertical="center"/>
    </xf>
    <xf numFmtId="166" fontId="18" fillId="6" borderId="3" xfId="0" applyNumberFormat="1" applyFont="1" applyFill="1" applyBorder="1" applyAlignment="1">
      <alignment horizontal="right" vertical="center"/>
    </xf>
    <xf numFmtId="0" fontId="6" fillId="7" borderId="4" xfId="0" applyFont="1" applyFill="1" applyBorder="1" applyAlignment="1">
      <alignment horizontal="left" vertical="center" indent="1"/>
    </xf>
    <xf numFmtId="9" fontId="6" fillId="7" borderId="4" xfId="0" applyNumberFormat="1" applyFont="1" applyFill="1" applyBorder="1" applyAlignment="1">
      <alignment horizontal="right" vertical="center" indent="1"/>
    </xf>
    <xf numFmtId="166" fontId="19" fillId="3" borderId="1" xfId="0" applyNumberFormat="1" applyFont="1" applyFill="1" applyBorder="1" applyAlignment="1">
      <alignment horizontal="right" vertical="center" indent="1"/>
    </xf>
    <xf numFmtId="166" fontId="19" fillId="5" borderId="1" xfId="0" applyNumberFormat="1" applyFont="1" applyFill="1" applyBorder="1" applyAlignment="1">
      <alignment horizontal="right" vertical="center" indent="1"/>
    </xf>
    <xf numFmtId="3" fontId="26" fillId="7" borderId="3" xfId="0" applyNumberFormat="1" applyFont="1" applyFill="1" applyBorder="1" applyAlignment="1">
      <alignment horizontal="right" vertical="center" indent="1"/>
    </xf>
    <xf numFmtId="0" fontId="0" fillId="9" borderId="3" xfId="0" applyFill="1" applyBorder="1"/>
    <xf numFmtId="166" fontId="26" fillId="18" borderId="3" xfId="0" applyNumberFormat="1" applyFont="1" applyFill="1" applyBorder="1" applyAlignment="1">
      <alignment horizontal="right" vertical="center" indent="1"/>
    </xf>
    <xf numFmtId="166" fontId="26" fillId="7" borderId="3" xfId="0" applyNumberFormat="1" applyFont="1" applyFill="1" applyBorder="1" applyAlignment="1">
      <alignment horizontal="right" vertical="center" indent="1"/>
    </xf>
    <xf numFmtId="164" fontId="34" fillId="18" borderId="3" xfId="0" applyNumberFormat="1" applyFont="1" applyFill="1" applyBorder="1" applyAlignment="1">
      <alignment horizontal="right" vertical="center" indent="1"/>
    </xf>
    <xf numFmtId="0" fontId="6" fillId="7" borderId="9" xfId="0" applyFont="1" applyFill="1" applyBorder="1" applyAlignment="1">
      <alignment horizontal="right" vertical="center" indent="1"/>
    </xf>
    <xf numFmtId="0" fontId="16" fillId="7" borderId="3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right" vertical="center" indent="1"/>
    </xf>
    <xf numFmtId="0" fontId="19" fillId="12" borderId="10" xfId="0" applyFont="1" applyFill="1" applyBorder="1" applyAlignment="1">
      <alignment horizontal="right" vertical="center" indent="1"/>
    </xf>
    <xf numFmtId="0" fontId="25" fillId="3" borderId="8" xfId="0" applyFont="1" applyFill="1" applyBorder="1" applyAlignment="1">
      <alignment horizontal="right" vertical="center" indent="1"/>
    </xf>
    <xf numFmtId="0" fontId="5" fillId="6" borderId="12" xfId="0" applyFont="1" applyFill="1" applyBorder="1" applyAlignment="1">
      <alignment horizontal="right" vertical="center" indent="1"/>
    </xf>
    <xf numFmtId="0" fontId="4" fillId="12" borderId="13" xfId="0" applyFont="1" applyFill="1" applyBorder="1" applyAlignment="1">
      <alignment horizontal="left" vertical="center" indent="1"/>
    </xf>
    <xf numFmtId="0" fontId="5" fillId="8" borderId="12" xfId="0" applyFont="1" applyFill="1" applyBorder="1" applyAlignment="1">
      <alignment horizontal="right" vertical="center" indent="1"/>
    </xf>
    <xf numFmtId="0" fontId="27" fillId="6" borderId="14" xfId="0" applyFont="1" applyFill="1" applyBorder="1" applyAlignment="1">
      <alignment horizontal="left" vertical="center" indent="2"/>
    </xf>
    <xf numFmtId="0" fontId="4" fillId="12" borderId="10" xfId="0" applyFont="1" applyFill="1" applyBorder="1" applyAlignment="1">
      <alignment horizontal="right" vertical="center" indent="1"/>
    </xf>
    <xf numFmtId="0" fontId="29" fillId="6" borderId="10" xfId="0" applyFont="1" applyFill="1" applyBorder="1" applyAlignment="1">
      <alignment horizontal="right" vertical="center" indent="1"/>
    </xf>
    <xf numFmtId="0" fontId="7" fillId="6" borderId="10" xfId="0" applyFont="1" applyFill="1" applyBorder="1" applyAlignment="1">
      <alignment horizontal="right" vertical="center" indent="1"/>
    </xf>
    <xf numFmtId="0" fontId="33" fillId="3" borderId="0" xfId="0" applyFont="1" applyFill="1" applyAlignment="1">
      <alignment horizontal="center" vertical="center"/>
    </xf>
    <xf numFmtId="0" fontId="4" fillId="3" borderId="8" xfId="0" applyFont="1" applyFill="1" applyBorder="1" applyAlignment="1">
      <alignment horizontal="right" vertical="center" indent="1"/>
    </xf>
    <xf numFmtId="0" fontId="15" fillId="9" borderId="12" xfId="0" applyFont="1" applyFill="1" applyBorder="1" applyAlignment="1">
      <alignment horizontal="left" vertical="center" indent="1"/>
    </xf>
    <xf numFmtId="0" fontId="15" fillId="6" borderId="12" xfId="0" applyFont="1" applyFill="1" applyBorder="1" applyAlignment="1">
      <alignment horizontal="left" vertical="center" indent="1"/>
    </xf>
  </cellXfs>
  <cellStyles count="1">
    <cellStyle name="Standard" xfId="0" builtinId="0"/>
  </cellStyles>
  <dxfs count="1">
    <dxf>
      <font>
        <b/>
        <color rgb="FFC53030"/>
        <name val="Calibri"/>
        <charset val="1"/>
      </font>
      <fill>
        <patternFill>
          <bgColor rgb="FFFED7D7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7791F"/>
      <rgbColor rgb="FF800080"/>
      <rgbColor rgb="FF276749"/>
      <rgbColor rgb="FFF7FAFC"/>
      <rgbColor rgb="FF718096"/>
      <rgbColor rgb="FF9999FF"/>
      <rgbColor rgb="FF993366"/>
      <rgbColor rgb="FFFEFCBF"/>
      <rgbColor rgb="FFEBF4FF"/>
      <rgbColor rgb="FF660066"/>
      <rgbColor rgb="FFFF8080"/>
      <rgbColor rgb="FF0066CC"/>
      <rgbColor rgb="FFBEE3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8F0"/>
      <rgbColor rgb="FFC6F6D5"/>
      <rgbColor rgb="FFFEEBC8"/>
      <rgbColor rgb="FF99CCFF"/>
      <rgbColor rgb="FFFF99CC"/>
      <rgbColor rgb="FFCC99FF"/>
      <rgbColor rgb="FFFED7D7"/>
      <rgbColor rgb="FF3366FF"/>
      <rgbColor rgb="FF33CCCC"/>
      <rgbColor rgb="FF99CC00"/>
      <rgbColor rgb="FFFFCC00"/>
      <rgbColor rgb="FFFF9900"/>
      <rgbColor rgb="FFC05621"/>
      <rgbColor rgb="FF4A5568"/>
      <rgbColor rgb="FF969696"/>
      <rgbColor rgb="FF1A2F4A"/>
      <rgbColor rgb="FF339966"/>
      <rgbColor rgb="FF003300"/>
      <rgbColor rgb="FF333300"/>
      <rgbColor rgb="FFC53030"/>
      <rgbColor rgb="FF993366"/>
      <rgbColor rgb="FF2C5282"/>
      <rgbColor rgb="FF2D374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A2F4A"/>
  </sheetPr>
  <dimension ref="A1:J50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55" sqref="G55"/>
    </sheetView>
  </sheetViews>
  <sheetFormatPr baseColWidth="10" defaultColWidth="8.7109375" defaultRowHeight="15" x14ac:dyDescent="0.25"/>
  <cols>
    <col min="1" max="1" width="1.5703125" customWidth="1"/>
    <col min="2" max="2" width="22.42578125" bestFit="1" customWidth="1"/>
    <col min="3" max="3" width="32.140625" bestFit="1" customWidth="1"/>
    <col min="4" max="4" width="12.85546875" bestFit="1" customWidth="1"/>
    <col min="5" max="5" width="15.85546875" bestFit="1" customWidth="1"/>
    <col min="6" max="6" width="19.28515625" bestFit="1" customWidth="1"/>
    <col min="7" max="7" width="22" bestFit="1" customWidth="1"/>
    <col min="8" max="8" width="31.5703125" bestFit="1" customWidth="1"/>
    <col min="9" max="9" width="14" customWidth="1"/>
    <col min="10" max="10" width="1.5703125" customWidth="1"/>
  </cols>
  <sheetData>
    <row r="1" spans="1:10" ht="6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0" ht="43.5" customHeight="1" x14ac:dyDescent="0.25">
      <c r="A2" s="6" t="s">
        <v>46</v>
      </c>
      <c r="B2" s="6"/>
      <c r="C2" s="6"/>
      <c r="D2" s="6"/>
      <c r="E2" s="6"/>
      <c r="F2" s="6"/>
      <c r="G2" s="6"/>
      <c r="H2" s="6"/>
      <c r="I2" s="6"/>
      <c r="J2" s="6"/>
    </row>
    <row r="3" spans="1:10" ht="18" customHeight="1" x14ac:dyDescent="0.25">
      <c r="A3" s="12" t="s">
        <v>47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6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</row>
    <row r="5" spans="1:10" ht="12" customHeight="1" x14ac:dyDescent="0.25"/>
    <row r="6" spans="1:10" ht="24" customHeight="1" x14ac:dyDescent="0.25">
      <c r="B6" s="5" t="s">
        <v>48</v>
      </c>
      <c r="C6" s="5"/>
      <c r="D6" s="5"/>
      <c r="E6" s="5"/>
      <c r="F6" s="5" t="s">
        <v>49</v>
      </c>
      <c r="G6" s="5"/>
      <c r="H6" s="5"/>
      <c r="I6" s="5"/>
    </row>
    <row r="7" spans="1:10" ht="19.5" customHeight="1" x14ac:dyDescent="0.25">
      <c r="B7" s="30" t="s">
        <v>50</v>
      </c>
      <c r="C7" s="4" t="s">
        <v>51</v>
      </c>
      <c r="D7" s="4"/>
      <c r="E7" s="4"/>
      <c r="F7" s="30" t="s">
        <v>52</v>
      </c>
      <c r="G7" s="4" t="s">
        <v>53</v>
      </c>
      <c r="H7" s="4"/>
      <c r="I7" s="4"/>
    </row>
    <row r="8" spans="1:10" ht="19.5" customHeight="1" x14ac:dyDescent="0.25">
      <c r="B8" s="31" t="s">
        <v>54</v>
      </c>
      <c r="C8" s="4" t="s">
        <v>55</v>
      </c>
      <c r="D8" s="4"/>
      <c r="E8" s="4"/>
      <c r="F8" s="31" t="s">
        <v>56</v>
      </c>
      <c r="G8" s="4" t="s">
        <v>57</v>
      </c>
      <c r="H8" s="4"/>
      <c r="I8" s="4"/>
    </row>
    <row r="9" spans="1:10" ht="19.5" customHeight="1" x14ac:dyDescent="0.25">
      <c r="B9" s="30" t="s">
        <v>58</v>
      </c>
      <c r="C9" s="4" t="s">
        <v>59</v>
      </c>
      <c r="D9" s="4"/>
      <c r="E9" s="4"/>
      <c r="F9" s="30" t="s">
        <v>60</v>
      </c>
      <c r="G9" s="4" t="s">
        <v>61</v>
      </c>
      <c r="H9" s="4"/>
      <c r="I9" s="4"/>
    </row>
    <row r="10" spans="1:10" ht="19.5" customHeight="1" x14ac:dyDescent="0.25">
      <c r="B10" s="31" t="s">
        <v>62</v>
      </c>
      <c r="C10" s="4" t="s">
        <v>63</v>
      </c>
      <c r="D10" s="4"/>
      <c r="E10" s="4"/>
      <c r="F10" s="31" t="s">
        <v>64</v>
      </c>
      <c r="G10" s="4" t="s">
        <v>65</v>
      </c>
      <c r="H10" s="4"/>
      <c r="I10" s="4"/>
    </row>
    <row r="11" spans="1:10" ht="19.5" customHeight="1" x14ac:dyDescent="0.25">
      <c r="B11" s="30"/>
      <c r="C11" s="4"/>
      <c r="D11" s="4"/>
      <c r="E11" s="4"/>
      <c r="F11" s="30" t="s">
        <v>66</v>
      </c>
      <c r="G11" s="4" t="s">
        <v>67</v>
      </c>
      <c r="H11" s="4"/>
      <c r="I11" s="4"/>
    </row>
    <row r="12" spans="1:10" ht="4.5" customHeight="1" x14ac:dyDescent="0.25"/>
    <row r="13" spans="1:10" ht="24" customHeight="1" x14ac:dyDescent="0.25">
      <c r="B13" s="3" t="s">
        <v>68</v>
      </c>
      <c r="C13" s="3"/>
      <c r="D13" s="3"/>
      <c r="E13" s="3"/>
      <c r="F13" s="3"/>
      <c r="G13" s="3"/>
      <c r="H13" s="3"/>
      <c r="I13" s="3"/>
    </row>
    <row r="14" spans="1:10" ht="21.75" customHeight="1" x14ac:dyDescent="0.25">
      <c r="B14" s="32" t="s">
        <v>69</v>
      </c>
      <c r="C14" s="2" t="s">
        <v>70</v>
      </c>
      <c r="D14" s="2"/>
      <c r="E14" s="32" t="s">
        <v>71</v>
      </c>
      <c r="F14" s="2">
        <v>1</v>
      </c>
      <c r="G14" s="2"/>
      <c r="H14" s="2"/>
      <c r="I14" s="2"/>
    </row>
    <row r="15" spans="1:10" ht="21.75" customHeight="1" x14ac:dyDescent="0.25">
      <c r="B15" s="33" t="s">
        <v>72</v>
      </c>
      <c r="C15" s="1" t="s">
        <v>73</v>
      </c>
      <c r="D15" s="1"/>
      <c r="E15" s="33" t="s">
        <v>74</v>
      </c>
      <c r="F15" s="1">
        <v>44986</v>
      </c>
      <c r="G15" s="1"/>
      <c r="H15" s="1"/>
      <c r="I15" s="1"/>
    </row>
    <row r="16" spans="1:10" ht="21.75" customHeight="1" x14ac:dyDescent="0.25">
      <c r="B16" s="32" t="s">
        <v>75</v>
      </c>
      <c r="C16" s="100" t="s">
        <v>76</v>
      </c>
      <c r="D16" s="100"/>
      <c r="E16" s="32" t="s">
        <v>77</v>
      </c>
      <c r="F16" s="100">
        <v>40</v>
      </c>
      <c r="G16" s="100"/>
      <c r="H16" s="100"/>
      <c r="I16" s="100"/>
    </row>
    <row r="17" spans="2:9" ht="21.75" customHeight="1" x14ac:dyDescent="0.25">
      <c r="B17" s="33" t="s">
        <v>78</v>
      </c>
      <c r="C17" s="100" t="s">
        <v>79</v>
      </c>
      <c r="D17" s="100"/>
      <c r="E17" s="33" t="s">
        <v>80</v>
      </c>
      <c r="F17" s="101" t="str">
        <f>IF(F16&lt;25,"&lt; 25 ans — Pas de LPP",IF(F16&lt;=34,"25–34 ans",IF(F16&lt;=44,"35–44 ans",IF(F16&lt;=54,"45–54 ans","55–65 ans"))))</f>
        <v>35–44 ans</v>
      </c>
      <c r="G17" s="101"/>
      <c r="H17" s="101"/>
      <c r="I17" s="101"/>
    </row>
    <row r="18" spans="2:9" ht="6" customHeight="1" x14ac:dyDescent="0.25"/>
    <row r="19" spans="2:9" ht="24" customHeight="1" x14ac:dyDescent="0.25">
      <c r="B19" s="3" t="s">
        <v>81</v>
      </c>
      <c r="C19" s="3"/>
      <c r="D19" s="3"/>
      <c r="E19" s="3"/>
      <c r="F19" s="3"/>
      <c r="G19" s="3"/>
      <c r="H19" s="3"/>
      <c r="I19" s="3"/>
    </row>
    <row r="20" spans="2:9" ht="27.75" customHeight="1" x14ac:dyDescent="0.25">
      <c r="B20" s="34"/>
      <c r="C20" s="34" t="s">
        <v>82</v>
      </c>
      <c r="D20" s="34" t="s">
        <v>83</v>
      </c>
      <c r="E20" s="34" t="s">
        <v>84</v>
      </c>
      <c r="F20" s="34" t="s">
        <v>85</v>
      </c>
      <c r="G20" s="34" t="s">
        <v>86</v>
      </c>
      <c r="H20" s="34" t="s">
        <v>87</v>
      </c>
    </row>
    <row r="21" spans="2:9" ht="21.75" customHeight="1" x14ac:dyDescent="0.25">
      <c r="B21" s="35"/>
      <c r="C21" s="36" t="s">
        <v>88</v>
      </c>
      <c r="D21" s="37"/>
      <c r="E21" s="37">
        <v>1</v>
      </c>
      <c r="F21" s="38">
        <v>6800</v>
      </c>
      <c r="G21" s="39">
        <f t="shared" ref="G21:G26" si="0">F21*12</f>
        <v>81600</v>
      </c>
      <c r="H21" s="26" t="s">
        <v>89</v>
      </c>
    </row>
    <row r="22" spans="2:9" ht="21.75" customHeight="1" x14ac:dyDescent="0.25">
      <c r="B22" s="40"/>
      <c r="C22" s="19" t="s">
        <v>90</v>
      </c>
      <c r="D22" s="37" t="s">
        <v>91</v>
      </c>
      <c r="E22" s="37"/>
      <c r="F22" s="38">
        <v>300</v>
      </c>
      <c r="G22" s="41">
        <f t="shared" si="0"/>
        <v>3600</v>
      </c>
      <c r="H22" s="23" t="s">
        <v>92</v>
      </c>
    </row>
    <row r="23" spans="2:9" ht="21.75" customHeight="1" x14ac:dyDescent="0.25">
      <c r="B23" s="40"/>
      <c r="C23" s="24" t="s">
        <v>93</v>
      </c>
      <c r="D23" s="42">
        <f>F21</f>
        <v>6800</v>
      </c>
      <c r="E23" s="43">
        <v>0.05</v>
      </c>
      <c r="F23" s="44">
        <f>IF(E23="",0,D23*E23)</f>
        <v>340</v>
      </c>
      <c r="G23" s="39">
        <f t="shared" si="0"/>
        <v>4080</v>
      </c>
      <c r="H23" s="26" t="s">
        <v>94</v>
      </c>
    </row>
    <row r="24" spans="2:9" ht="21.75" customHeight="1" x14ac:dyDescent="0.25">
      <c r="B24" s="40"/>
      <c r="C24" s="19" t="s">
        <v>95</v>
      </c>
      <c r="D24" s="37" t="s">
        <v>91</v>
      </c>
      <c r="E24" s="37"/>
      <c r="F24" s="38">
        <v>0</v>
      </c>
      <c r="G24" s="41">
        <f t="shared" si="0"/>
        <v>0</v>
      </c>
      <c r="H24" s="23" t="s">
        <v>96</v>
      </c>
    </row>
    <row r="25" spans="2:9" ht="21.75" customHeight="1" x14ac:dyDescent="0.25">
      <c r="B25" s="40"/>
      <c r="C25" s="24" t="s">
        <v>97</v>
      </c>
      <c r="D25" s="37" t="s">
        <v>91</v>
      </c>
      <c r="E25" s="37"/>
      <c r="F25" s="38">
        <v>0</v>
      </c>
      <c r="G25" s="39">
        <f t="shared" si="0"/>
        <v>0</v>
      </c>
      <c r="H25" s="26" t="s">
        <v>98</v>
      </c>
    </row>
    <row r="26" spans="2:9" ht="25.5" customHeight="1" x14ac:dyDescent="0.25">
      <c r="B26" s="35"/>
      <c r="C26" s="102" t="s">
        <v>99</v>
      </c>
      <c r="D26" s="102"/>
      <c r="E26" s="102"/>
      <c r="F26" s="45">
        <f>F21+F22+F23+F24+F25</f>
        <v>7440</v>
      </c>
      <c r="G26" s="46">
        <f t="shared" si="0"/>
        <v>89280</v>
      </c>
      <c r="H26" s="47"/>
    </row>
    <row r="27" spans="2:9" ht="6" customHeight="1" x14ac:dyDescent="0.25"/>
    <row r="28" spans="2:9" ht="24" customHeight="1" x14ac:dyDescent="0.25">
      <c r="B28" s="3" t="s">
        <v>100</v>
      </c>
      <c r="C28" s="3"/>
      <c r="D28" s="3"/>
      <c r="E28" s="3"/>
      <c r="F28" s="3"/>
      <c r="G28" s="3"/>
      <c r="H28" s="3"/>
      <c r="I28" s="3"/>
    </row>
    <row r="29" spans="2:9" ht="27.75" customHeight="1" x14ac:dyDescent="0.25">
      <c r="B29" s="34"/>
      <c r="C29" s="34" t="s">
        <v>101</v>
      </c>
      <c r="D29" s="34" t="s">
        <v>102</v>
      </c>
      <c r="E29" s="34" t="s">
        <v>103</v>
      </c>
      <c r="F29" s="34" t="s">
        <v>104</v>
      </c>
      <c r="G29" s="34" t="s">
        <v>105</v>
      </c>
      <c r="H29" s="34" t="s">
        <v>106</v>
      </c>
    </row>
    <row r="30" spans="2:9" ht="18" customHeight="1" x14ac:dyDescent="0.25">
      <c r="B30" s="9" t="s">
        <v>107</v>
      </c>
      <c r="C30" s="9"/>
      <c r="D30" s="9"/>
      <c r="E30" s="9"/>
      <c r="F30" s="9"/>
      <c r="G30" s="9"/>
      <c r="H30" s="9"/>
      <c r="I30" s="9"/>
    </row>
    <row r="31" spans="2:9" ht="0.75" customHeight="1" x14ac:dyDescent="0.25">
      <c r="C31" t="s">
        <v>108</v>
      </c>
      <c r="F31" s="48">
        <f>MAX(0,F26-(26460/12))</f>
        <v>5235</v>
      </c>
    </row>
    <row r="32" spans="2:9" ht="24" customHeight="1" x14ac:dyDescent="0.25">
      <c r="B32" s="49"/>
      <c r="C32" s="24" t="s">
        <v>109</v>
      </c>
      <c r="D32" s="50">
        <f>F26</f>
        <v>7440</v>
      </c>
      <c r="E32" s="51">
        <f>'PARAMÈTRES 2027'!D8</f>
        <v>5.2999999999999999E-2</v>
      </c>
      <c r="F32" s="52">
        <f t="shared" ref="F32:F37" si="1">D32*E32</f>
        <v>394.32</v>
      </c>
      <c r="G32" s="39">
        <f t="shared" ref="G32:G38" si="2">F32*12</f>
        <v>4731.84</v>
      </c>
      <c r="H32" s="53">
        <f>'PARAMÈTRES 2027'!E8</f>
        <v>5.2999999999999999E-2</v>
      </c>
    </row>
    <row r="33" spans="2:9" ht="24" customHeight="1" x14ac:dyDescent="0.25">
      <c r="B33" s="49"/>
      <c r="C33" s="19" t="s">
        <v>110</v>
      </c>
      <c r="D33" s="54">
        <f>MIN(F26,12350)</f>
        <v>7440</v>
      </c>
      <c r="E33" s="51">
        <f>'PARAMÈTRES 2027'!D14</f>
        <v>1.0999999999999999E-2</v>
      </c>
      <c r="F33" s="52">
        <f t="shared" si="1"/>
        <v>81.839999999999989</v>
      </c>
      <c r="G33" s="41">
        <f t="shared" si="2"/>
        <v>982.07999999999993</v>
      </c>
      <c r="H33" s="53">
        <f>'PARAMÈTRES 2027'!E14</f>
        <v>1.0999999999999999E-2</v>
      </c>
    </row>
    <row r="34" spans="2:9" ht="24" customHeight="1" x14ac:dyDescent="0.25">
      <c r="B34" s="49"/>
      <c r="C34" s="24" t="s">
        <v>111</v>
      </c>
      <c r="D34" s="50">
        <f>MAX(0,F31)</f>
        <v>5235</v>
      </c>
      <c r="E34" s="51">
        <f>IF(F16&lt;25,0,IF(F16&lt;=34,'PARAMÈTRES 2027'!D20,IF(F16&lt;=44,'PARAMÈTRES 2027'!D21,IF(F16&lt;=54,'PARAMÈTRES 2027'!D22,'PARAMÈTRES 2027'!D23))))</f>
        <v>0.05</v>
      </c>
      <c r="F34" s="52">
        <f t="shared" si="1"/>
        <v>261.75</v>
      </c>
      <c r="G34" s="39">
        <f t="shared" si="2"/>
        <v>3141</v>
      </c>
      <c r="H34" s="53">
        <f>IF(F16&lt;25,0,IF(F16&lt;=34,'PARAMÈTRES 2027'!E20,IF(F16&lt;=44,'PARAMÈTRES 2027'!E21,IF(F16&lt;=54,'PARAMÈTRES 2027'!E22,'PARAMÈTRES 2027'!E23))))</f>
        <v>0.05</v>
      </c>
    </row>
    <row r="35" spans="2:9" ht="24" customHeight="1" x14ac:dyDescent="0.25">
      <c r="B35" s="55"/>
      <c r="C35" s="19" t="s">
        <v>112</v>
      </c>
      <c r="D35" s="54">
        <f>F26</f>
        <v>7440</v>
      </c>
      <c r="E35" s="51">
        <f>'PARAMÈTRES 2027'!D27</f>
        <v>8.5000000000000006E-3</v>
      </c>
      <c r="F35" s="52">
        <f t="shared" si="1"/>
        <v>63.24</v>
      </c>
      <c r="G35" s="41">
        <f t="shared" si="2"/>
        <v>758.88</v>
      </c>
      <c r="H35" s="56" t="s">
        <v>113</v>
      </c>
    </row>
    <row r="36" spans="2:9" ht="24" customHeight="1" x14ac:dyDescent="0.25">
      <c r="B36" s="55"/>
      <c r="C36" s="24" t="s">
        <v>36</v>
      </c>
      <c r="D36" s="50">
        <f>F26</f>
        <v>7440</v>
      </c>
      <c r="E36" s="51">
        <f>'PARAMÈTRES 2027'!D28</f>
        <v>0.01</v>
      </c>
      <c r="F36" s="52">
        <f t="shared" si="1"/>
        <v>74.400000000000006</v>
      </c>
      <c r="G36" s="39">
        <f t="shared" si="2"/>
        <v>892.80000000000007</v>
      </c>
      <c r="H36" s="53">
        <f>'PARAMÈTRES 2027'!E28</f>
        <v>0.01</v>
      </c>
    </row>
    <row r="37" spans="2:9" ht="24" customHeight="1" x14ac:dyDescent="0.25">
      <c r="B37" s="55"/>
      <c r="C37" s="19" t="s">
        <v>114</v>
      </c>
      <c r="D37" s="54">
        <f>F26</f>
        <v>7440</v>
      </c>
      <c r="E37" s="51">
        <f>IF(F16="Oui",'PARAMÈTRES 2027'!D33,0)</f>
        <v>0</v>
      </c>
      <c r="F37" s="52">
        <f t="shared" si="1"/>
        <v>0</v>
      </c>
      <c r="G37" s="41">
        <f t="shared" si="2"/>
        <v>0</v>
      </c>
      <c r="H37" s="56" t="s">
        <v>43</v>
      </c>
    </row>
    <row r="38" spans="2:9" ht="25.5" customHeight="1" x14ac:dyDescent="0.25">
      <c r="B38" s="35"/>
      <c r="C38" s="103" t="s">
        <v>115</v>
      </c>
      <c r="D38" s="103"/>
      <c r="E38" s="103"/>
      <c r="F38" s="57">
        <f>F32+F33+F34+F35+F36+F37</f>
        <v>875.55</v>
      </c>
      <c r="G38" s="58">
        <f t="shared" si="2"/>
        <v>10506.599999999999</v>
      </c>
      <c r="H38" s="59"/>
    </row>
    <row r="39" spans="2:9" ht="6" customHeight="1" x14ac:dyDescent="0.25"/>
    <row r="40" spans="2:9" ht="36" customHeight="1" x14ac:dyDescent="0.25">
      <c r="B40" s="35"/>
      <c r="C40" s="104" t="s">
        <v>116</v>
      </c>
      <c r="D40" s="104"/>
      <c r="E40" s="104"/>
      <c r="F40" s="60">
        <f>F26-F38</f>
        <v>6564.45</v>
      </c>
      <c r="G40" s="61">
        <f>F40*12</f>
        <v>78773.399999999994</v>
      </c>
      <c r="H40" s="47"/>
    </row>
    <row r="41" spans="2:9" ht="21.75" customHeight="1" x14ac:dyDescent="0.25">
      <c r="B41" s="49"/>
      <c r="C41" s="105" t="s">
        <v>117</v>
      </c>
      <c r="D41" s="105"/>
      <c r="E41" s="105"/>
      <c r="F41" s="62">
        <f>IFERROR(F38/F26,0)</f>
        <v>0.11768145161290322</v>
      </c>
      <c r="G41" s="27" t="s">
        <v>118</v>
      </c>
      <c r="H41" s="63"/>
    </row>
    <row r="42" spans="2:9" ht="6" customHeight="1" x14ac:dyDescent="0.25"/>
    <row r="43" spans="2:9" ht="24" customHeight="1" x14ac:dyDescent="0.25">
      <c r="B43" s="106" t="s">
        <v>119</v>
      </c>
      <c r="C43" s="106"/>
      <c r="D43" s="106"/>
      <c r="E43" s="106"/>
      <c r="F43" s="106"/>
      <c r="G43" s="106"/>
      <c r="H43" s="106"/>
      <c r="I43" s="106"/>
    </row>
    <row r="44" spans="2:9" ht="21.75" customHeight="1" x14ac:dyDescent="0.25">
      <c r="C44" s="107" t="s">
        <v>120</v>
      </c>
      <c r="D44" s="107"/>
      <c r="E44" s="107"/>
      <c r="F44" s="64">
        <f>F26*'PARAMÈTRES 2027'!E8</f>
        <v>394.32</v>
      </c>
      <c r="H44" s="65"/>
    </row>
    <row r="45" spans="2:9" ht="21.75" customHeight="1" x14ac:dyDescent="0.25">
      <c r="C45" s="107" t="s">
        <v>121</v>
      </c>
      <c r="D45" s="107"/>
      <c r="E45" s="107"/>
      <c r="F45" s="64">
        <f>MIN(F26,12350)*'PARAMÈTRES 2027'!E14</f>
        <v>81.839999999999989</v>
      </c>
      <c r="H45" s="65"/>
    </row>
    <row r="46" spans="2:9" ht="21.75" customHeight="1" x14ac:dyDescent="0.25">
      <c r="C46" s="107" t="s">
        <v>122</v>
      </c>
      <c r="D46" s="107"/>
      <c r="E46" s="107"/>
      <c r="F46" s="64">
        <f>MAX(0,F31)*IF(F16&lt;25,0,IF(F16&lt;=34,'PARAMÈTRES 2027'!E20,IF(F16&lt;=44,'PARAMÈTRES 2027'!E21,IF(F16&lt;=54,'PARAMÈTRES 2027'!E22,'PARAMÈTRES 2027'!E23))))</f>
        <v>261.75</v>
      </c>
      <c r="H46" s="65"/>
    </row>
    <row r="47" spans="2:9" ht="21.75" customHeight="1" x14ac:dyDescent="0.25">
      <c r="C47" s="107" t="s">
        <v>123</v>
      </c>
      <c r="D47" s="107"/>
      <c r="E47" s="107"/>
      <c r="F47" s="64">
        <f>F26*0.01</f>
        <v>74.400000000000006</v>
      </c>
      <c r="H47" s="65"/>
    </row>
    <row r="48" spans="2:9" ht="25.5" customHeight="1" x14ac:dyDescent="0.25">
      <c r="C48" s="103" t="s">
        <v>124</v>
      </c>
      <c r="D48" s="103"/>
      <c r="E48" s="103"/>
      <c r="F48" s="66">
        <f>F26+F44+F45+F46+F47</f>
        <v>8252.31</v>
      </c>
      <c r="G48" s="67"/>
      <c r="H48" s="59"/>
    </row>
    <row r="49" spans="2:9" ht="4.5" customHeight="1" x14ac:dyDescent="0.25"/>
    <row r="50" spans="2:9" ht="15.75" customHeight="1" x14ac:dyDescent="0.25">
      <c r="B50" s="108" t="s">
        <v>125</v>
      </c>
      <c r="C50" s="108"/>
      <c r="D50" s="108"/>
      <c r="E50" s="108"/>
      <c r="F50" s="108"/>
      <c r="G50" s="108"/>
      <c r="H50" s="108"/>
      <c r="I50" s="108"/>
    </row>
  </sheetData>
  <mergeCells count="39">
    <mergeCell ref="B50:I50"/>
    <mergeCell ref="C44:E44"/>
    <mergeCell ref="C45:E45"/>
    <mergeCell ref="C46:E46"/>
    <mergeCell ref="C47:E47"/>
    <mergeCell ref="C48:E48"/>
    <mergeCell ref="B30:I30"/>
    <mergeCell ref="C38:E38"/>
    <mergeCell ref="C40:E40"/>
    <mergeCell ref="C41:E41"/>
    <mergeCell ref="B43:I43"/>
    <mergeCell ref="C17:D17"/>
    <mergeCell ref="F17:I17"/>
    <mergeCell ref="B19:I19"/>
    <mergeCell ref="C26:E26"/>
    <mergeCell ref="B28:I28"/>
    <mergeCell ref="C14:D14"/>
    <mergeCell ref="F14:I14"/>
    <mergeCell ref="C15:D15"/>
    <mergeCell ref="F15:I15"/>
    <mergeCell ref="C16:D16"/>
    <mergeCell ref="F16:I16"/>
    <mergeCell ref="C10:E10"/>
    <mergeCell ref="G10:I10"/>
    <mergeCell ref="C11:E11"/>
    <mergeCell ref="G11:I11"/>
    <mergeCell ref="B13:I13"/>
    <mergeCell ref="C7:E7"/>
    <mergeCell ref="G7:I7"/>
    <mergeCell ref="C8:E8"/>
    <mergeCell ref="G8:I8"/>
    <mergeCell ref="C9:E9"/>
    <mergeCell ref="G9:I9"/>
    <mergeCell ref="A1:J1"/>
    <mergeCell ref="A2:J2"/>
    <mergeCell ref="A3:J3"/>
    <mergeCell ref="A4:J4"/>
    <mergeCell ref="B6:E6"/>
    <mergeCell ref="F6:I6"/>
  </mergeCells>
  <dataValidations count="3">
    <dataValidation type="list" sqref="D19" xr:uid="{00000000-0002-0000-0100-000000000000}">
      <formula1>"Oui,Non"</formula1>
      <formula2>0</formula2>
    </dataValidation>
    <dataValidation type="list" sqref="D20" xr:uid="{00000000-0002-0000-0100-000001000000}">
      <formula1>"Genève,Vaud,Fribourg,Neuchâtel,Valais,Berne,Zurich,Autre"</formula1>
      <formula2>0</formula2>
    </dataValidation>
    <dataValidation type="list" sqref="D18" xr:uid="{00000000-0002-0000-0100-000002000000}">
      <formula1>"CDI,CDD,Temps partiel,Apprenti,Stagiaire"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8102E"/>
  </sheetPr>
  <dimension ref="A1:I35"/>
  <sheetViews>
    <sheetView showGridLines="0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L17" sqref="L17"/>
    </sheetView>
  </sheetViews>
  <sheetFormatPr baseColWidth="10" defaultColWidth="8.7109375" defaultRowHeight="15" x14ac:dyDescent="0.25"/>
  <cols>
    <col min="1" max="1" width="2" customWidth="1"/>
    <col min="2" max="2" width="4" customWidth="1"/>
    <col min="3" max="3" width="48.85546875" bestFit="1" customWidth="1"/>
    <col min="4" max="4" width="11" bestFit="1" customWidth="1"/>
    <col min="5" max="5" width="14" customWidth="1"/>
    <col min="6" max="6" width="10" bestFit="1" customWidth="1"/>
    <col min="7" max="7" width="52.140625" bestFit="1" customWidth="1"/>
    <col min="8" max="9" width="4" customWidth="1"/>
  </cols>
  <sheetData>
    <row r="1" spans="1:9" ht="4.5" customHeight="1" x14ac:dyDescent="0.25">
      <c r="A1" s="14"/>
      <c r="B1" s="14"/>
      <c r="C1" s="14"/>
      <c r="D1" s="14"/>
      <c r="E1" s="14"/>
      <c r="F1" s="14"/>
      <c r="G1" s="14"/>
      <c r="H1" s="14"/>
      <c r="I1" s="14"/>
    </row>
    <row r="2" spans="1:9" ht="39.75" customHeight="1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</row>
    <row r="3" spans="1:9" ht="18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</row>
    <row r="4" spans="1:9" ht="4.5" customHeight="1" x14ac:dyDescent="0.25">
      <c r="A4" s="14"/>
      <c r="B4" s="14"/>
      <c r="C4" s="14"/>
      <c r="D4" s="14"/>
      <c r="E4" s="14"/>
      <c r="F4" s="14"/>
      <c r="G4" s="14"/>
      <c r="H4" s="14"/>
      <c r="I4" s="14"/>
    </row>
    <row r="5" spans="1:9" ht="9.75" customHeight="1" x14ac:dyDescent="0.25"/>
    <row r="6" spans="1:9" ht="27.75" customHeight="1" x14ac:dyDescent="0.25">
      <c r="C6" s="15" t="s">
        <v>2</v>
      </c>
      <c r="D6" s="16" t="s">
        <v>3</v>
      </c>
      <c r="E6" s="17" t="s">
        <v>4</v>
      </c>
      <c r="F6" s="18" t="s">
        <v>5</v>
      </c>
      <c r="G6" s="18" t="s">
        <v>6</v>
      </c>
    </row>
    <row r="7" spans="1:9" ht="24" customHeight="1" x14ac:dyDescent="0.25">
      <c r="B7" s="11" t="s">
        <v>7</v>
      </c>
      <c r="C7" s="11"/>
      <c r="D7" s="11"/>
      <c r="E7" s="11"/>
      <c r="F7" s="11"/>
      <c r="G7" s="11"/>
      <c r="H7" s="11"/>
    </row>
    <row r="8" spans="1:9" ht="19.5" customHeight="1" x14ac:dyDescent="0.25">
      <c r="C8" s="19" t="s">
        <v>8</v>
      </c>
      <c r="D8" s="20">
        <v>5.2999999999999999E-2</v>
      </c>
      <c r="E8" s="21">
        <v>5.2999999999999999E-2</v>
      </c>
      <c r="F8" s="22">
        <f>D8+E8</f>
        <v>0.106</v>
      </c>
      <c r="G8" s="23" t="s">
        <v>9</v>
      </c>
    </row>
    <row r="9" spans="1:9" ht="19.5" customHeight="1" x14ac:dyDescent="0.25">
      <c r="C9" s="24" t="s">
        <v>10</v>
      </c>
      <c r="D9" s="20">
        <v>7.0000000000000001E-3</v>
      </c>
      <c r="E9" s="21">
        <v>7.0000000000000001E-3</v>
      </c>
      <c r="F9" s="25">
        <f>D9+E9</f>
        <v>1.4E-2</v>
      </c>
      <c r="G9" s="26" t="s">
        <v>11</v>
      </c>
    </row>
    <row r="10" spans="1:9" ht="19.5" customHeight="1" x14ac:dyDescent="0.25">
      <c r="C10" s="19" t="s">
        <v>12</v>
      </c>
      <c r="D10" s="20">
        <v>2.5000000000000001E-3</v>
      </c>
      <c r="E10" s="21">
        <v>2.5000000000000001E-3</v>
      </c>
      <c r="F10" s="22">
        <f>D10+E10</f>
        <v>5.0000000000000001E-3</v>
      </c>
      <c r="G10" s="23" t="s">
        <v>13</v>
      </c>
    </row>
    <row r="11" spans="1:9" ht="15.75" customHeight="1" x14ac:dyDescent="0.25">
      <c r="C11" s="10" t="s">
        <v>14</v>
      </c>
      <c r="D11" s="10"/>
      <c r="E11" s="10"/>
      <c r="F11" s="10"/>
      <c r="G11" s="10"/>
    </row>
    <row r="12" spans="1:9" ht="6" customHeight="1" x14ac:dyDescent="0.25"/>
    <row r="13" spans="1:9" ht="24" customHeight="1" x14ac:dyDescent="0.25">
      <c r="B13" s="11" t="s">
        <v>15</v>
      </c>
      <c r="C13" s="11"/>
      <c r="D13" s="11"/>
      <c r="E13" s="11"/>
      <c r="F13" s="11"/>
      <c r="G13" s="11"/>
      <c r="H13" s="11"/>
    </row>
    <row r="14" spans="1:9" ht="19.5" customHeight="1" x14ac:dyDescent="0.25">
      <c r="C14" s="19" t="s">
        <v>16</v>
      </c>
      <c r="D14" s="20">
        <v>1.0999999999999999E-2</v>
      </c>
      <c r="E14" s="21">
        <v>1.0999999999999999E-2</v>
      </c>
      <c r="F14" s="22">
        <f>D14+E14</f>
        <v>2.1999999999999999E-2</v>
      </c>
      <c r="G14" s="23" t="s">
        <v>17</v>
      </c>
    </row>
    <row r="15" spans="1:9" ht="19.5" customHeight="1" x14ac:dyDescent="0.25">
      <c r="C15" s="24" t="s">
        <v>18</v>
      </c>
      <c r="D15" s="20">
        <v>5.0000000000000001E-3</v>
      </c>
      <c r="E15" s="21">
        <v>5.0000000000000001E-3</v>
      </c>
      <c r="F15" s="25">
        <f>D15+E15</f>
        <v>0.01</v>
      </c>
      <c r="G15" s="26" t="s">
        <v>19</v>
      </c>
    </row>
    <row r="16" spans="1:9" ht="15.75" customHeight="1" x14ac:dyDescent="0.25">
      <c r="C16" s="9" t="s">
        <v>20</v>
      </c>
      <c r="D16" s="9"/>
      <c r="E16" s="9"/>
      <c r="F16" s="9"/>
      <c r="G16" s="9"/>
    </row>
    <row r="17" spans="2:8" ht="6" customHeight="1" x14ac:dyDescent="0.25"/>
    <row r="18" spans="2:8" ht="24" customHeight="1" x14ac:dyDescent="0.25">
      <c r="B18" s="11" t="s">
        <v>21</v>
      </c>
      <c r="C18" s="11"/>
      <c r="D18" s="11"/>
      <c r="E18" s="11"/>
      <c r="F18" s="11"/>
      <c r="G18" s="11"/>
      <c r="H18" s="11"/>
    </row>
    <row r="19" spans="2:8" ht="15.75" customHeight="1" x14ac:dyDescent="0.25">
      <c r="C19" s="9" t="s">
        <v>22</v>
      </c>
      <c r="D19" s="9"/>
      <c r="E19" s="9"/>
      <c r="F19" s="9"/>
      <c r="G19" s="9"/>
    </row>
    <row r="20" spans="2:8" ht="19.5" customHeight="1" x14ac:dyDescent="0.25">
      <c r="C20" s="19" t="s">
        <v>23</v>
      </c>
      <c r="D20" s="20">
        <v>3.5000000000000003E-2</v>
      </c>
      <c r="E20" s="21">
        <v>3.5000000000000003E-2</v>
      </c>
      <c r="F20" s="22">
        <f>D20+E20</f>
        <v>7.0000000000000007E-2</v>
      </c>
      <c r="G20" s="27" t="s">
        <v>24</v>
      </c>
    </row>
    <row r="21" spans="2:8" ht="19.5" customHeight="1" x14ac:dyDescent="0.25">
      <c r="C21" s="24" t="s">
        <v>25</v>
      </c>
      <c r="D21" s="20">
        <v>0.05</v>
      </c>
      <c r="E21" s="21">
        <v>0.05</v>
      </c>
      <c r="F21" s="25">
        <f>D21+E21</f>
        <v>0.1</v>
      </c>
      <c r="G21" s="28" t="s">
        <v>26</v>
      </c>
    </row>
    <row r="22" spans="2:8" ht="19.5" customHeight="1" x14ac:dyDescent="0.25">
      <c r="C22" s="19" t="s">
        <v>27</v>
      </c>
      <c r="D22" s="20">
        <v>7.4999999999999997E-2</v>
      </c>
      <c r="E22" s="21">
        <v>7.4999999999999997E-2</v>
      </c>
      <c r="F22" s="22">
        <f>D22+E22</f>
        <v>0.15</v>
      </c>
      <c r="G22" s="27" t="s">
        <v>28</v>
      </c>
    </row>
    <row r="23" spans="2:8" ht="19.5" customHeight="1" x14ac:dyDescent="0.25">
      <c r="C23" s="24" t="s">
        <v>29</v>
      </c>
      <c r="D23" s="20">
        <v>0.09</v>
      </c>
      <c r="E23" s="21">
        <v>0.09</v>
      </c>
      <c r="F23" s="25">
        <f>D23+E23</f>
        <v>0.18</v>
      </c>
      <c r="G23" s="28" t="s">
        <v>30</v>
      </c>
    </row>
    <row r="24" spans="2:8" ht="6" customHeight="1" x14ac:dyDescent="0.25"/>
    <row r="25" spans="2:8" ht="24" customHeight="1" x14ac:dyDescent="0.25">
      <c r="B25" s="11" t="s">
        <v>31</v>
      </c>
      <c r="C25" s="11"/>
      <c r="D25" s="11"/>
      <c r="E25" s="11"/>
      <c r="F25" s="11"/>
      <c r="G25" s="11"/>
      <c r="H25" s="11"/>
    </row>
    <row r="26" spans="2:8" ht="19.5" customHeight="1" x14ac:dyDescent="0.25">
      <c r="C26" s="19" t="s">
        <v>32</v>
      </c>
      <c r="D26" s="20">
        <v>0</v>
      </c>
      <c r="E26" s="21">
        <v>0.01</v>
      </c>
      <c r="F26" s="22">
        <f>D26+E26</f>
        <v>0.01</v>
      </c>
      <c r="G26" s="23" t="s">
        <v>33</v>
      </c>
    </row>
    <row r="27" spans="2:8" ht="19.5" customHeight="1" x14ac:dyDescent="0.25">
      <c r="C27" s="24" t="s">
        <v>34</v>
      </c>
      <c r="D27" s="20">
        <v>8.5000000000000006E-3</v>
      </c>
      <c r="E27" s="21">
        <v>0</v>
      </c>
      <c r="F27" s="25">
        <f>D27+E27</f>
        <v>8.5000000000000006E-3</v>
      </c>
      <c r="G27" s="26" t="s">
        <v>35</v>
      </c>
    </row>
    <row r="28" spans="2:8" ht="19.5" customHeight="1" x14ac:dyDescent="0.25">
      <c r="C28" s="19" t="s">
        <v>36</v>
      </c>
      <c r="D28" s="20">
        <v>0.01</v>
      </c>
      <c r="E28" s="21">
        <v>0.01</v>
      </c>
      <c r="F28" s="22">
        <f>D28+E28</f>
        <v>0.02</v>
      </c>
      <c r="G28" s="23" t="s">
        <v>37</v>
      </c>
    </row>
    <row r="29" spans="2:8" ht="19.5" customHeight="1" x14ac:dyDescent="0.25">
      <c r="C29" s="24" t="s">
        <v>38</v>
      </c>
      <c r="D29" s="20">
        <v>0</v>
      </c>
      <c r="E29" s="21">
        <v>0</v>
      </c>
      <c r="F29" s="25">
        <f>D29+E29</f>
        <v>0</v>
      </c>
      <c r="G29" s="26" t="s">
        <v>39</v>
      </c>
    </row>
    <row r="30" spans="2:8" ht="6" customHeight="1" x14ac:dyDescent="0.25"/>
    <row r="31" spans="2:8" ht="24" customHeight="1" x14ac:dyDescent="0.25">
      <c r="B31" s="11" t="s">
        <v>40</v>
      </c>
      <c r="C31" s="11"/>
      <c r="D31" s="11"/>
      <c r="E31" s="11"/>
      <c r="F31" s="11"/>
      <c r="G31" s="11"/>
      <c r="H31" s="11"/>
    </row>
    <row r="32" spans="2:8" ht="15.75" customHeight="1" x14ac:dyDescent="0.25">
      <c r="C32" s="8" t="s">
        <v>41</v>
      </c>
      <c r="D32" s="8"/>
      <c r="E32" s="8"/>
      <c r="F32" s="8"/>
      <c r="G32" s="8"/>
    </row>
    <row r="33" spans="2:8" ht="19.5" customHeight="1" x14ac:dyDescent="0.25">
      <c r="C33" s="19" t="s">
        <v>42</v>
      </c>
      <c r="D33" s="20">
        <v>0.05</v>
      </c>
      <c r="E33" s="29" t="s">
        <v>43</v>
      </c>
      <c r="F33" s="22">
        <f>D33</f>
        <v>0.05</v>
      </c>
      <c r="G33" s="27" t="s">
        <v>44</v>
      </c>
    </row>
    <row r="34" spans="2:8" ht="7.5" customHeight="1" x14ac:dyDescent="0.25"/>
    <row r="35" spans="2:8" ht="18" customHeight="1" x14ac:dyDescent="0.25">
      <c r="B35" s="7" t="s">
        <v>45</v>
      </c>
      <c r="C35" s="7"/>
      <c r="D35" s="7"/>
      <c r="E35" s="7"/>
      <c r="F35" s="7"/>
      <c r="G35" s="7"/>
      <c r="H35" s="7"/>
    </row>
  </sheetData>
  <mergeCells count="14">
    <mergeCell ref="B25:H25"/>
    <mergeCell ref="B31:H31"/>
    <mergeCell ref="C32:G32"/>
    <mergeCell ref="B35:H35"/>
    <mergeCell ref="C11:G11"/>
    <mergeCell ref="B13:H13"/>
    <mergeCell ref="C16:G16"/>
    <mergeCell ref="B18:H18"/>
    <mergeCell ref="C19:G19"/>
    <mergeCell ref="A1:I1"/>
    <mergeCell ref="A2:I2"/>
    <mergeCell ref="A3:I3"/>
    <mergeCell ref="A4:I4"/>
    <mergeCell ref="B7:H7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C5282"/>
  </sheetPr>
  <dimension ref="A1:J40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baseColWidth="10" defaultColWidth="8.7109375" defaultRowHeight="15" x14ac:dyDescent="0.25"/>
  <cols>
    <col min="1" max="1" width="2" customWidth="1"/>
    <col min="2" max="2" width="4" customWidth="1"/>
    <col min="3" max="3" width="30" customWidth="1"/>
    <col min="4" max="4" width="14" customWidth="1"/>
    <col min="5" max="6" width="12" customWidth="1"/>
    <col min="7" max="8" width="14" customWidth="1"/>
    <col min="9" max="9" width="12" customWidth="1"/>
    <col min="10" max="10" width="2" customWidth="1"/>
  </cols>
  <sheetData>
    <row r="1" spans="1:10" ht="4.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0" ht="39.75" customHeight="1" x14ac:dyDescent="0.25">
      <c r="A2" s="13" t="s">
        <v>126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8" customHeight="1" x14ac:dyDescent="0.25">
      <c r="A3" s="12" t="s">
        <v>127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.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</row>
    <row r="5" spans="1:10" ht="12" customHeight="1" x14ac:dyDescent="0.25"/>
    <row r="6" spans="1:10" ht="24" customHeight="1" x14ac:dyDescent="0.25">
      <c r="B6" s="3" t="s">
        <v>128</v>
      </c>
      <c r="C6" s="3"/>
      <c r="D6" s="3"/>
      <c r="E6" s="3"/>
      <c r="F6" s="3"/>
      <c r="G6" s="3"/>
      <c r="H6" s="3"/>
      <c r="I6" s="3"/>
    </row>
    <row r="7" spans="1:10" ht="15.75" customHeight="1" x14ac:dyDescent="0.25">
      <c r="B7" s="9" t="s">
        <v>129</v>
      </c>
      <c r="C7" s="9"/>
      <c r="D7" s="9"/>
      <c r="E7" s="9"/>
      <c r="F7" s="9"/>
      <c r="G7" s="9"/>
      <c r="H7" s="9"/>
      <c r="I7" s="9"/>
    </row>
    <row r="8" spans="1:10" ht="6" customHeight="1" x14ac:dyDescent="0.25"/>
    <row r="9" spans="1:10" ht="21.75" customHeight="1" x14ac:dyDescent="0.25">
      <c r="C9" s="32" t="s">
        <v>130</v>
      </c>
      <c r="D9" s="38">
        <v>7500</v>
      </c>
    </row>
    <row r="10" spans="1:10" ht="21.75" customHeight="1" x14ac:dyDescent="0.25">
      <c r="C10" s="33" t="s">
        <v>131</v>
      </c>
      <c r="D10" s="68">
        <v>40</v>
      </c>
    </row>
    <row r="11" spans="1:10" ht="21.75" customHeight="1" x14ac:dyDescent="0.25">
      <c r="C11" s="32" t="s">
        <v>132</v>
      </c>
      <c r="D11" s="68" t="s">
        <v>76</v>
      </c>
    </row>
    <row r="12" spans="1:10" ht="21.75" customHeight="1" x14ac:dyDescent="0.25">
      <c r="C12" s="33" t="s">
        <v>71</v>
      </c>
      <c r="D12" s="69">
        <v>1</v>
      </c>
    </row>
    <row r="13" spans="1:10" ht="0.75" customHeight="1" x14ac:dyDescent="0.25">
      <c r="C13" t="s">
        <v>133</v>
      </c>
      <c r="D13">
        <f>MAX(0,D9-(26460/12))</f>
        <v>5295</v>
      </c>
    </row>
    <row r="14" spans="1:10" ht="6" customHeight="1" x14ac:dyDescent="0.25"/>
    <row r="15" spans="1:10" ht="24" customHeight="1" x14ac:dyDescent="0.25">
      <c r="B15" s="3" t="s">
        <v>134</v>
      </c>
      <c r="C15" s="3"/>
      <c r="D15" s="3"/>
      <c r="E15" s="3"/>
      <c r="F15" s="3"/>
      <c r="G15" s="3"/>
      <c r="H15" s="3"/>
      <c r="I15" s="3"/>
    </row>
    <row r="16" spans="1:10" ht="30" customHeight="1" x14ac:dyDescent="0.25">
      <c r="C16" s="34" t="s">
        <v>135</v>
      </c>
      <c r="D16" s="34" t="s">
        <v>83</v>
      </c>
      <c r="E16" s="34" t="s">
        <v>103</v>
      </c>
      <c r="F16" s="34" t="s">
        <v>104</v>
      </c>
      <c r="G16" s="34" t="s">
        <v>136</v>
      </c>
      <c r="H16" s="34" t="s">
        <v>137</v>
      </c>
    </row>
    <row r="17" spans="2:9" ht="21.75" customHeight="1" x14ac:dyDescent="0.25">
      <c r="C17" s="24" t="s">
        <v>138</v>
      </c>
      <c r="D17" s="50">
        <f>D9</f>
        <v>7500</v>
      </c>
      <c r="E17" s="51">
        <f>'PARAMÈTRES 2027'!D8</f>
        <v>5.2999999999999999E-2</v>
      </c>
      <c r="F17" s="52">
        <f t="shared" ref="F17:F22" si="0">D17*E17</f>
        <v>397.5</v>
      </c>
      <c r="G17" s="53">
        <f>'PARAMÈTRES 2027'!E8</f>
        <v>5.2999999999999999E-2</v>
      </c>
      <c r="H17" s="64">
        <f>D17*G17</f>
        <v>397.5</v>
      </c>
    </row>
    <row r="18" spans="2:9" ht="21.75" customHeight="1" x14ac:dyDescent="0.25">
      <c r="C18" s="19" t="s">
        <v>110</v>
      </c>
      <c r="D18" s="54">
        <f>MIN(D9,12350)</f>
        <v>7500</v>
      </c>
      <c r="E18" s="51">
        <f>'PARAMÈTRES 2027'!D14</f>
        <v>1.0999999999999999E-2</v>
      </c>
      <c r="F18" s="52">
        <f t="shared" si="0"/>
        <v>82.5</v>
      </c>
      <c r="G18" s="53">
        <f>'PARAMÈTRES 2027'!E14</f>
        <v>1.0999999999999999E-2</v>
      </c>
      <c r="H18" s="64">
        <f>D18*G18</f>
        <v>82.5</v>
      </c>
    </row>
    <row r="19" spans="2:9" ht="21.75" customHeight="1" x14ac:dyDescent="0.25">
      <c r="C19" s="24" t="s">
        <v>139</v>
      </c>
      <c r="D19" s="50">
        <f>MAX(0,D13)</f>
        <v>5295</v>
      </c>
      <c r="E19" s="51">
        <f>IF(D10&lt;25,0,IF(D10&lt;=34,'PARAMÈTRES 2027'!D20,IF(D10&lt;=44,'PARAMÈTRES 2027'!D21,IF(D10&lt;=54,'PARAMÈTRES 2027'!D22,'PARAMÈTRES 2027'!D23))))</f>
        <v>0.05</v>
      </c>
      <c r="F19" s="52">
        <f t="shared" si="0"/>
        <v>264.75</v>
      </c>
      <c r="G19" s="53">
        <f>IF(D10&lt;25,0,IF(D10&lt;=34,'PARAMÈTRES 2027'!E20,IF(D10&lt;=44,'PARAMÈTRES 2027'!E21,IF(D10&lt;=54,'PARAMÈTRES 2027'!E22,'PARAMÈTRES 2027'!E23))))</f>
        <v>0.05</v>
      </c>
      <c r="H19" s="64">
        <f>D19*G19</f>
        <v>264.75</v>
      </c>
    </row>
    <row r="20" spans="2:9" ht="21.75" customHeight="1" x14ac:dyDescent="0.25">
      <c r="C20" s="19" t="s">
        <v>140</v>
      </c>
      <c r="D20" s="54">
        <f>D9</f>
        <v>7500</v>
      </c>
      <c r="E20" s="51">
        <f>'PARAMÈTRES 2027'!D27</f>
        <v>8.5000000000000006E-3</v>
      </c>
      <c r="F20" s="52">
        <f t="shared" si="0"/>
        <v>63.750000000000007</v>
      </c>
      <c r="G20" s="56" t="s">
        <v>113</v>
      </c>
      <c r="H20" s="70"/>
    </row>
    <row r="21" spans="2:9" ht="21.75" customHeight="1" x14ac:dyDescent="0.25">
      <c r="C21" s="24" t="s">
        <v>141</v>
      </c>
      <c r="D21" s="50">
        <f>D9</f>
        <v>7500</v>
      </c>
      <c r="E21" s="51">
        <f>'PARAMÈTRES 2027'!D28</f>
        <v>0.01</v>
      </c>
      <c r="F21" s="52">
        <f t="shared" si="0"/>
        <v>75</v>
      </c>
      <c r="G21" s="53">
        <f>'PARAMÈTRES 2027'!E28</f>
        <v>0.01</v>
      </c>
      <c r="H21" s="64">
        <f>D21*G21</f>
        <v>75</v>
      </c>
    </row>
    <row r="22" spans="2:9" ht="21.75" customHeight="1" x14ac:dyDescent="0.25">
      <c r="C22" s="19" t="s">
        <v>114</v>
      </c>
      <c r="D22" s="54">
        <f>D9</f>
        <v>7500</v>
      </c>
      <c r="E22" s="51">
        <f>IF(D11="Oui",'PARAMÈTRES 2027'!D33,0)</f>
        <v>0</v>
      </c>
      <c r="F22" s="52">
        <f t="shared" si="0"/>
        <v>0</v>
      </c>
      <c r="G22" s="56" t="s">
        <v>43</v>
      </c>
      <c r="H22" s="70"/>
    </row>
    <row r="23" spans="2:9" ht="27.75" customHeight="1" x14ac:dyDescent="0.25">
      <c r="C23" s="109" t="s">
        <v>115</v>
      </c>
      <c r="D23" s="109"/>
      <c r="E23" s="109"/>
      <c r="F23" s="71">
        <f>F17+F18+F19+F20+F21+F22</f>
        <v>883.5</v>
      </c>
      <c r="G23" s="72"/>
      <c r="H23" s="72"/>
    </row>
    <row r="24" spans="2:9" ht="6" customHeight="1" x14ac:dyDescent="0.25"/>
    <row r="25" spans="2:9" ht="24" customHeight="1" x14ac:dyDescent="0.25">
      <c r="B25" s="3" t="s">
        <v>142</v>
      </c>
      <c r="C25" s="3"/>
      <c r="D25" s="3"/>
      <c r="E25" s="3"/>
      <c r="F25" s="3"/>
      <c r="G25" s="3"/>
      <c r="H25" s="3"/>
      <c r="I25" s="3"/>
    </row>
    <row r="26" spans="2:9" ht="25.5" customHeight="1" x14ac:dyDescent="0.25">
      <c r="C26" s="110" t="s">
        <v>143</v>
      </c>
      <c r="D26" s="110"/>
      <c r="E26" s="110"/>
      <c r="F26" s="73">
        <f>D9</f>
        <v>7500</v>
      </c>
      <c r="G26" s="74"/>
      <c r="H26" s="74"/>
    </row>
    <row r="27" spans="2:9" ht="21.75" customHeight="1" x14ac:dyDescent="0.25">
      <c r="C27" s="111" t="s">
        <v>144</v>
      </c>
      <c r="D27" s="111"/>
      <c r="E27" s="111"/>
      <c r="F27" s="71">
        <f>F23</f>
        <v>883.5</v>
      </c>
      <c r="G27" s="75"/>
      <c r="H27" s="75"/>
    </row>
    <row r="28" spans="2:9" ht="25.5" customHeight="1" x14ac:dyDescent="0.25">
      <c r="C28" s="110" t="s">
        <v>145</v>
      </c>
      <c r="D28" s="110"/>
      <c r="E28" s="110"/>
      <c r="F28" s="76">
        <f>D9-F23</f>
        <v>6616.5</v>
      </c>
      <c r="G28" s="77"/>
      <c r="H28" s="77"/>
    </row>
    <row r="29" spans="2:9" ht="21.75" customHeight="1" x14ac:dyDescent="0.25">
      <c r="C29" s="111" t="s">
        <v>146</v>
      </c>
      <c r="D29" s="111"/>
      <c r="E29" s="111"/>
      <c r="F29" s="78">
        <f>(D9-F23)*12</f>
        <v>79398</v>
      </c>
      <c r="G29" s="77"/>
      <c r="H29" s="77"/>
    </row>
    <row r="30" spans="2:9" ht="21.75" customHeight="1" x14ac:dyDescent="0.25">
      <c r="C30" s="111" t="s">
        <v>147</v>
      </c>
      <c r="D30" s="111"/>
      <c r="E30" s="111"/>
      <c r="F30" s="79">
        <f>IFERROR(F23/D9,0)</f>
        <v>0.1178</v>
      </c>
      <c r="G30" s="80"/>
      <c r="H30" s="80"/>
    </row>
    <row r="31" spans="2:9" ht="21.75" customHeight="1" x14ac:dyDescent="0.25">
      <c r="C31" s="111" t="s">
        <v>148</v>
      </c>
      <c r="D31" s="111"/>
      <c r="E31" s="111"/>
      <c r="F31" s="81">
        <f>D9+D9*0.13</f>
        <v>8475</v>
      </c>
      <c r="G31" s="82"/>
      <c r="H31" s="82"/>
    </row>
    <row r="32" spans="2:9" ht="7.5" customHeight="1" x14ac:dyDescent="0.25"/>
    <row r="33" spans="2:9" ht="24" customHeight="1" x14ac:dyDescent="0.25">
      <c r="B33" s="3" t="s">
        <v>149</v>
      </c>
      <c r="C33" s="3"/>
      <c r="D33" s="3"/>
      <c r="E33" s="3"/>
      <c r="F33" s="3"/>
      <c r="G33" s="3"/>
      <c r="H33" s="3"/>
      <c r="I33" s="3"/>
    </row>
    <row r="34" spans="2:9" ht="30" customHeight="1" x14ac:dyDescent="0.25">
      <c r="C34" s="34" t="s">
        <v>150</v>
      </c>
      <c r="D34" s="34" t="s">
        <v>151</v>
      </c>
      <c r="E34" s="34" t="s">
        <v>152</v>
      </c>
      <c r="F34" s="34" t="s">
        <v>153</v>
      </c>
      <c r="G34" s="34" t="s">
        <v>154</v>
      </c>
      <c r="H34" s="34" t="s">
        <v>155</v>
      </c>
    </row>
    <row r="35" spans="2:9" ht="21.75" customHeight="1" x14ac:dyDescent="0.25">
      <c r="C35" s="24" t="s">
        <v>156</v>
      </c>
      <c r="D35" s="83">
        <v>0</v>
      </c>
      <c r="E35" s="84">
        <v>0</v>
      </c>
      <c r="F35" s="85">
        <f>D9*'PARAMÈTRES 2027'!D8+MIN(D9,12350)*'PARAMÈTRES 2027'!D14+0+D9*'PARAMÈTRES 2027'!D27+D9*'PARAMÈTRES 2027'!D28</f>
        <v>618.75</v>
      </c>
      <c r="G35" s="86">
        <f>D9-F35</f>
        <v>6881.25</v>
      </c>
      <c r="H35" s="87" t="s">
        <v>157</v>
      </c>
    </row>
    <row r="36" spans="2:9" ht="21.75" customHeight="1" x14ac:dyDescent="0.25">
      <c r="C36" s="24" t="s">
        <v>158</v>
      </c>
      <c r="D36" s="83">
        <f>'PARAMÈTRES 2027'!D20</f>
        <v>3.5000000000000003E-2</v>
      </c>
      <c r="E36" s="84">
        <f>MAX(0,D9-(26460/12))*'PARAMÈTRES 2027'!D20</f>
        <v>185.32500000000002</v>
      </c>
      <c r="F36" s="85">
        <f>D9*'PARAMÈTRES 2027'!D8+MIN(D9,12350)*'PARAMÈTRES 2027'!D14+E36+D9*'PARAMÈTRES 2027'!D27+D9*'PARAMÈTRES 2027'!D28</f>
        <v>804.07500000000005</v>
      </c>
      <c r="G36" s="86">
        <f>D9-F36</f>
        <v>6695.9250000000002</v>
      </c>
      <c r="H36" s="88">
        <f>G36-G35</f>
        <v>-185.32499999999982</v>
      </c>
    </row>
    <row r="37" spans="2:9" ht="21.75" customHeight="1" x14ac:dyDescent="0.25">
      <c r="C37" s="19" t="s">
        <v>159</v>
      </c>
      <c r="D37" s="89">
        <f>'PARAMÈTRES 2027'!D21</f>
        <v>0.05</v>
      </c>
      <c r="E37" s="42">
        <f>MAX(0,D9-(26460/12))*'PARAMÈTRES 2027'!D21</f>
        <v>264.75</v>
      </c>
      <c r="F37" s="85">
        <f>D9*'PARAMÈTRES 2027'!D8+MIN(D9,12350)*'PARAMÈTRES 2027'!D14+E37+D9*'PARAMÈTRES 2027'!D27+D9*'PARAMÈTRES 2027'!D28</f>
        <v>883.5</v>
      </c>
      <c r="G37" s="86">
        <f>D9-F37</f>
        <v>6616.5</v>
      </c>
      <c r="H37" s="90">
        <f>G37-G35</f>
        <v>-264.75</v>
      </c>
    </row>
    <row r="38" spans="2:9" ht="21.75" customHeight="1" x14ac:dyDescent="0.25">
      <c r="C38" s="24" t="s">
        <v>160</v>
      </c>
      <c r="D38" s="83">
        <f>'PARAMÈTRES 2027'!D22</f>
        <v>7.4999999999999997E-2</v>
      </c>
      <c r="E38" s="84">
        <f>MAX(0,D9-(26460/12))*'PARAMÈTRES 2027'!D22</f>
        <v>397.125</v>
      </c>
      <c r="F38" s="85">
        <f>D9*'PARAMÈTRES 2027'!D8+MIN(D9,12350)*'PARAMÈTRES 2027'!D14+E38+D9*'PARAMÈTRES 2027'!D27+D9*'PARAMÈTRES 2027'!D28</f>
        <v>1015.875</v>
      </c>
      <c r="G38" s="86">
        <f>D9-F38</f>
        <v>6484.125</v>
      </c>
      <c r="H38" s="88">
        <f>G38-G35</f>
        <v>-397.125</v>
      </c>
    </row>
    <row r="39" spans="2:9" ht="21.75" customHeight="1" x14ac:dyDescent="0.25">
      <c r="C39" s="19" t="s">
        <v>161</v>
      </c>
      <c r="D39" s="89">
        <f>'PARAMÈTRES 2027'!D23</f>
        <v>0.09</v>
      </c>
      <c r="E39" s="42">
        <f>MAX(0,D9-(26460/12))*'PARAMÈTRES 2027'!D23</f>
        <v>476.54999999999995</v>
      </c>
      <c r="F39" s="85">
        <f>D9*'PARAMÈTRES 2027'!D8+MIN(D9,12350)*'PARAMÈTRES 2027'!D14+E39+D9*'PARAMÈTRES 2027'!D27+D9*'PARAMÈTRES 2027'!D28</f>
        <v>1095.3</v>
      </c>
      <c r="G39" s="86">
        <f>D9-F39</f>
        <v>6404.7</v>
      </c>
      <c r="H39" s="90">
        <f>G39-G35</f>
        <v>-476.55000000000018</v>
      </c>
    </row>
    <row r="40" spans="2:9" ht="7.5" customHeight="1" x14ac:dyDescent="0.25"/>
  </sheetData>
  <mergeCells count="16">
    <mergeCell ref="B33:I33"/>
    <mergeCell ref="C27:E27"/>
    <mergeCell ref="C28:E28"/>
    <mergeCell ref="C29:E29"/>
    <mergeCell ref="C30:E30"/>
    <mergeCell ref="C31:E31"/>
    <mergeCell ref="B7:I7"/>
    <mergeCell ref="B15:I15"/>
    <mergeCell ref="C23:E23"/>
    <mergeCell ref="B25:I25"/>
    <mergeCell ref="C26:E26"/>
    <mergeCell ref="A1:J1"/>
    <mergeCell ref="A2:J2"/>
    <mergeCell ref="A3:J3"/>
    <mergeCell ref="A4:J4"/>
    <mergeCell ref="B6:I6"/>
  </mergeCells>
  <conditionalFormatting sqref="H36:H39">
    <cfRule type="cellIs" dxfId="0" priority="2" operator="lessThan">
      <formula>0</formula>
    </cfRule>
  </conditionalFormatting>
  <dataValidations count="1">
    <dataValidation type="list" sqref="D12" xr:uid="{00000000-0002-0000-0200-000000000000}">
      <formula1>"Oui,Non"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76749"/>
  </sheetPr>
  <dimension ref="A1:M29"/>
  <sheetViews>
    <sheetView showGridLines="0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8.7109375" defaultRowHeight="15" x14ac:dyDescent="0.25"/>
  <cols>
    <col min="1" max="1" width="2" customWidth="1"/>
    <col min="2" max="2" width="4" customWidth="1"/>
    <col min="3" max="3" width="24" customWidth="1"/>
    <col min="4" max="4" width="10" customWidth="1"/>
    <col min="5" max="5" width="6" customWidth="1"/>
    <col min="6" max="12" width="12" customWidth="1"/>
    <col min="13" max="13" width="2" customWidth="1"/>
  </cols>
  <sheetData>
    <row r="1" spans="1:13" ht="4.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9.75" customHeight="1" x14ac:dyDescent="0.25">
      <c r="A2" s="112" t="s">
        <v>162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</row>
    <row r="3" spans="1:13" ht="18" customHeight="1" x14ac:dyDescent="0.25">
      <c r="A3" s="12" t="s">
        <v>163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4.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2" customHeight="1" x14ac:dyDescent="0.25"/>
    <row r="6" spans="1:13" ht="15.75" customHeight="1" x14ac:dyDescent="0.25">
      <c r="B6" s="9" t="s">
        <v>164</v>
      </c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7.5" customHeight="1" x14ac:dyDescent="0.25"/>
    <row r="8" spans="1:13" ht="31.5" customHeight="1" x14ac:dyDescent="0.25">
      <c r="C8" s="34" t="s">
        <v>165</v>
      </c>
      <c r="D8" s="34" t="s">
        <v>166</v>
      </c>
      <c r="E8" s="34" t="s">
        <v>167</v>
      </c>
      <c r="F8" s="34" t="s">
        <v>168</v>
      </c>
      <c r="G8" s="34" t="s">
        <v>169</v>
      </c>
      <c r="H8" s="34" t="s">
        <v>170</v>
      </c>
      <c r="I8" s="34" t="s">
        <v>171</v>
      </c>
      <c r="J8" s="34" t="s">
        <v>172</v>
      </c>
      <c r="K8" s="34" t="s">
        <v>173</v>
      </c>
      <c r="L8" s="34" t="s">
        <v>174</v>
      </c>
    </row>
    <row r="9" spans="1:13" ht="21.75" customHeight="1" x14ac:dyDescent="0.25">
      <c r="B9" s="35"/>
      <c r="C9" s="91" t="s">
        <v>53</v>
      </c>
      <c r="D9" s="68">
        <v>40</v>
      </c>
      <c r="E9" s="92">
        <v>1</v>
      </c>
      <c r="F9" s="38">
        <v>6800</v>
      </c>
      <c r="G9" s="85">
        <f>F9*'PARAMÈTRES 2027'!D8+MIN(F9,12350)*'PARAMÈTRES 2027'!D14+MAX(0,F9-(26460/12))*IF(D9&lt;25,0,IF(D9&lt;=34,'PARAMÈTRES 2027'!D20,IF(D9&lt;=44,'PARAMÈTRES 2027'!D21,IF(D9&lt;=54,'PARAMÈTRES 2027'!D22,'PARAMÈTRES 2027'!D23))))+F9*'PARAMÈTRES 2027'!D27+F9*'PARAMÈTRES 2027'!D28</f>
        <v>790.75</v>
      </c>
      <c r="H9" s="86">
        <f t="shared" ref="H9:H18" si="0">F9-G9</f>
        <v>6009.25</v>
      </c>
      <c r="I9" s="84">
        <f t="shared" ref="I9:I18" si="1">F9*12</f>
        <v>81600</v>
      </c>
      <c r="J9" s="85">
        <f t="shared" ref="J9:J18" si="2">G9*12</f>
        <v>9489</v>
      </c>
      <c r="K9" s="86">
        <f t="shared" ref="K9:K18" si="3">H9*12</f>
        <v>72111</v>
      </c>
      <c r="L9" s="64">
        <f t="shared" ref="L9:L18" si="4">F9*1.13</f>
        <v>7683.9999999999991</v>
      </c>
    </row>
    <row r="10" spans="1:13" ht="21.75" customHeight="1" x14ac:dyDescent="0.25">
      <c r="B10" s="49"/>
      <c r="C10" s="91" t="s">
        <v>175</v>
      </c>
      <c r="D10" s="68">
        <v>35</v>
      </c>
      <c r="E10" s="92">
        <v>1</v>
      </c>
      <c r="F10" s="38">
        <v>5200</v>
      </c>
      <c r="G10" s="85">
        <f>F10*'PARAMÈTRES 2027'!D8+MIN(F10,12350)*'PARAMÈTRES 2027'!D14+MAX(0,F10-(26460/12))*IF(D10&lt;25,0,IF(D10&lt;=34,'PARAMÈTRES 2027'!D20,IF(D10&lt;=44,'PARAMÈTRES 2027'!D21,IF(D10&lt;=54,'PARAMÈTRES 2027'!D22,'PARAMÈTRES 2027'!D23))))+F10*'PARAMÈTRES 2027'!D27+F10*'PARAMÈTRES 2027'!D28</f>
        <v>578.75</v>
      </c>
      <c r="H10" s="86">
        <f t="shared" si="0"/>
        <v>4621.25</v>
      </c>
      <c r="I10" s="42">
        <f t="shared" si="1"/>
        <v>62400</v>
      </c>
      <c r="J10" s="85">
        <f t="shared" si="2"/>
        <v>6945</v>
      </c>
      <c r="K10" s="86">
        <f t="shared" si="3"/>
        <v>55455</v>
      </c>
      <c r="L10" s="64">
        <f t="shared" si="4"/>
        <v>5875.9999999999991</v>
      </c>
    </row>
    <row r="11" spans="1:13" ht="21.75" customHeight="1" x14ac:dyDescent="0.25">
      <c r="B11" s="55"/>
      <c r="C11" s="91" t="s">
        <v>176</v>
      </c>
      <c r="D11" s="68">
        <v>28</v>
      </c>
      <c r="E11" s="92">
        <v>0.8</v>
      </c>
      <c r="F11" s="38">
        <v>4400</v>
      </c>
      <c r="G11" s="85">
        <f>F11*'PARAMÈTRES 2027'!D8+MIN(F11,12350)*'PARAMÈTRES 2027'!D14+MAX(0,F11-(26460/12))*IF(D11&lt;25,0,IF(D11&lt;=34,'PARAMÈTRES 2027'!D20,IF(D11&lt;=44,'PARAMÈTRES 2027'!D21,IF(D11&lt;=54,'PARAMÈTRES 2027'!D22,'PARAMÈTRES 2027'!D23))))+F11*'PARAMÈTRES 2027'!D27+F11*'PARAMÈTRES 2027'!D28</f>
        <v>439.82499999999993</v>
      </c>
      <c r="H11" s="86">
        <f t="shared" si="0"/>
        <v>3960.1750000000002</v>
      </c>
      <c r="I11" s="84">
        <f t="shared" si="1"/>
        <v>52800</v>
      </c>
      <c r="J11" s="85">
        <f t="shared" si="2"/>
        <v>5277.9</v>
      </c>
      <c r="K11" s="86">
        <f t="shared" si="3"/>
        <v>47522.100000000006</v>
      </c>
      <c r="L11" s="64">
        <f t="shared" si="4"/>
        <v>4971.9999999999991</v>
      </c>
    </row>
    <row r="12" spans="1:13" ht="21.75" customHeight="1" x14ac:dyDescent="0.25">
      <c r="B12" s="55"/>
      <c r="C12" s="91" t="s">
        <v>177</v>
      </c>
      <c r="D12" s="68">
        <v>52</v>
      </c>
      <c r="E12" s="92">
        <v>1</v>
      </c>
      <c r="F12" s="38">
        <v>9500</v>
      </c>
      <c r="G12" s="85">
        <f>F12*'PARAMÈTRES 2027'!D8+MIN(F12,12350)*'PARAMÈTRES 2027'!D14+MAX(0,F12-(26460/12))*IF(D12&lt;25,0,IF(D12&lt;=34,'PARAMÈTRES 2027'!D20,IF(D12&lt;=44,'PARAMÈTRES 2027'!D21,IF(D12&lt;=54,'PARAMÈTRES 2027'!D22,'PARAMÈTRES 2027'!D23))))+F12*'PARAMÈTRES 2027'!D27+F12*'PARAMÈTRES 2027'!D28</f>
        <v>1330.875</v>
      </c>
      <c r="H12" s="86">
        <f t="shared" si="0"/>
        <v>8169.125</v>
      </c>
      <c r="I12" s="42">
        <f t="shared" si="1"/>
        <v>114000</v>
      </c>
      <c r="J12" s="85">
        <f t="shared" si="2"/>
        <v>15970.5</v>
      </c>
      <c r="K12" s="86">
        <f t="shared" si="3"/>
        <v>98029.5</v>
      </c>
      <c r="L12" s="64">
        <f t="shared" si="4"/>
        <v>10734.999999999998</v>
      </c>
    </row>
    <row r="13" spans="1:13" ht="21.75" customHeight="1" x14ac:dyDescent="0.25">
      <c r="B13" s="49"/>
      <c r="C13" s="91" t="s">
        <v>178</v>
      </c>
      <c r="D13" s="68">
        <v>45</v>
      </c>
      <c r="E13" s="92">
        <v>0.6</v>
      </c>
      <c r="F13" s="38">
        <v>3600</v>
      </c>
      <c r="G13" s="85">
        <f>F13*'PARAMÈTRES 2027'!D8+MIN(F13,12350)*'PARAMÈTRES 2027'!D14+MAX(0,F13-(26460/12))*IF(D13&lt;25,0,IF(D13&lt;=34,'PARAMÈTRES 2027'!D20,IF(D13&lt;=44,'PARAMÈTRES 2027'!D21,IF(D13&lt;=54,'PARAMÈTRES 2027'!D22,'PARAMÈTRES 2027'!D23))))+F13*'PARAMÈTRES 2027'!D27+F13*'PARAMÈTRES 2027'!D28</f>
        <v>401.625</v>
      </c>
      <c r="H13" s="86">
        <f t="shared" si="0"/>
        <v>3198.375</v>
      </c>
      <c r="I13" s="84">
        <f t="shared" si="1"/>
        <v>43200</v>
      </c>
      <c r="J13" s="85">
        <f t="shared" si="2"/>
        <v>4819.5</v>
      </c>
      <c r="K13" s="86">
        <f t="shared" si="3"/>
        <v>38380.5</v>
      </c>
      <c r="L13" s="64">
        <f t="shared" si="4"/>
        <v>4067.9999999999995</v>
      </c>
    </row>
    <row r="14" spans="1:13" ht="21.75" customHeight="1" x14ac:dyDescent="0.25">
      <c r="B14" s="55"/>
      <c r="C14" s="91" t="s">
        <v>179</v>
      </c>
      <c r="D14" s="68">
        <v>30</v>
      </c>
      <c r="E14" s="92">
        <v>1</v>
      </c>
      <c r="F14" s="38">
        <v>7200</v>
      </c>
      <c r="G14" s="85">
        <f>F14*'PARAMÈTRES 2027'!D8+MIN(F14,12350)*'PARAMÈTRES 2027'!D14+MAX(0,F14-(26460/12))*IF(D14&lt;25,0,IF(D14&lt;=34,'PARAMÈTRES 2027'!D20,IF(D14&lt;=44,'PARAMÈTRES 2027'!D21,IF(D14&lt;=54,'PARAMÈTRES 2027'!D22,'PARAMÈTRES 2027'!D23))))+F14*'PARAMÈTRES 2027'!D27+F14*'PARAMÈTRES 2027'!D28</f>
        <v>768.82500000000005</v>
      </c>
      <c r="H14" s="86">
        <f t="shared" si="0"/>
        <v>6431.1750000000002</v>
      </c>
      <c r="I14" s="42">
        <f t="shared" si="1"/>
        <v>86400</v>
      </c>
      <c r="J14" s="85">
        <f t="shared" si="2"/>
        <v>9225.9000000000015</v>
      </c>
      <c r="K14" s="86">
        <f t="shared" si="3"/>
        <v>77174.100000000006</v>
      </c>
      <c r="L14" s="64">
        <f t="shared" si="4"/>
        <v>8135.9999999999991</v>
      </c>
    </row>
    <row r="15" spans="1:13" ht="21.75" customHeight="1" x14ac:dyDescent="0.25">
      <c r="B15" s="55"/>
      <c r="C15" s="91" t="s">
        <v>180</v>
      </c>
      <c r="D15" s="68">
        <v>60</v>
      </c>
      <c r="E15" s="92">
        <v>1</v>
      </c>
      <c r="F15" s="38">
        <v>11000</v>
      </c>
      <c r="G15" s="85">
        <f>F15*'PARAMÈTRES 2027'!D8+MIN(F15,12350)*'PARAMÈTRES 2027'!D14+MAX(0,F15-(26460/12))*IF(D15&lt;25,0,IF(D15&lt;=34,'PARAMÈTRES 2027'!D20,IF(D15&lt;=44,'PARAMÈTRES 2027'!D21,IF(D15&lt;=54,'PARAMÈTRES 2027'!D22,'PARAMÈTRES 2027'!D23))))+F15*'PARAMÈTRES 2027'!D27+F15*'PARAMÈTRES 2027'!D28</f>
        <v>1699.05</v>
      </c>
      <c r="H15" s="86">
        <f t="shared" si="0"/>
        <v>9300.9500000000007</v>
      </c>
      <c r="I15" s="84">
        <f t="shared" si="1"/>
        <v>132000</v>
      </c>
      <c r="J15" s="85">
        <f t="shared" si="2"/>
        <v>20388.599999999999</v>
      </c>
      <c r="K15" s="86">
        <f t="shared" si="3"/>
        <v>111611.40000000001</v>
      </c>
      <c r="L15" s="64">
        <f t="shared" si="4"/>
        <v>12429.999999999998</v>
      </c>
    </row>
    <row r="16" spans="1:13" ht="21.75" customHeight="1" x14ac:dyDescent="0.25">
      <c r="B16" s="49"/>
      <c r="C16" s="91" t="s">
        <v>181</v>
      </c>
      <c r="D16" s="68">
        <v>38</v>
      </c>
      <c r="E16" s="92">
        <v>1</v>
      </c>
      <c r="F16" s="38">
        <v>6100</v>
      </c>
      <c r="G16" s="85">
        <f>F16*'PARAMÈTRES 2027'!D8+MIN(F16,12350)*'PARAMÈTRES 2027'!D14+MAX(0,F16-(26460/12))*IF(D16&lt;25,0,IF(D16&lt;=34,'PARAMÈTRES 2027'!D20,IF(D16&lt;=44,'PARAMÈTRES 2027'!D21,IF(D16&lt;=54,'PARAMÈTRES 2027'!D22,'PARAMÈTRES 2027'!D23))))+F16*'PARAMÈTRES 2027'!D27+F16*'PARAMÈTRES 2027'!D28</f>
        <v>698</v>
      </c>
      <c r="H16" s="86">
        <f t="shared" si="0"/>
        <v>5402</v>
      </c>
      <c r="I16" s="42">
        <f t="shared" si="1"/>
        <v>73200</v>
      </c>
      <c r="J16" s="85">
        <f t="shared" si="2"/>
        <v>8376</v>
      </c>
      <c r="K16" s="86">
        <f t="shared" si="3"/>
        <v>64824</v>
      </c>
      <c r="L16" s="64">
        <f t="shared" si="4"/>
        <v>6892.9999999999991</v>
      </c>
    </row>
    <row r="17" spans="2:12" ht="21.75" customHeight="1" x14ac:dyDescent="0.25">
      <c r="B17" s="55"/>
      <c r="C17" s="91" t="s">
        <v>182</v>
      </c>
      <c r="D17" s="68">
        <v>23</v>
      </c>
      <c r="E17" s="92">
        <v>0.5</v>
      </c>
      <c r="F17" s="38">
        <v>2400</v>
      </c>
      <c r="G17" s="85">
        <f>F17*'PARAMÈTRES 2027'!D8+MIN(F17,12350)*'PARAMÈTRES 2027'!D14+MAX(0,F17-(26460/12))*IF(D17&lt;25,0,IF(D17&lt;=34,'PARAMÈTRES 2027'!D20,IF(D17&lt;=44,'PARAMÈTRES 2027'!D21,IF(D17&lt;=54,'PARAMÈTRES 2027'!D22,'PARAMÈTRES 2027'!D23))))+F17*'PARAMÈTRES 2027'!D27+F17*'PARAMÈTRES 2027'!D28</f>
        <v>198</v>
      </c>
      <c r="H17" s="86">
        <f t="shared" si="0"/>
        <v>2202</v>
      </c>
      <c r="I17" s="84">
        <f t="shared" si="1"/>
        <v>28800</v>
      </c>
      <c r="J17" s="85">
        <f t="shared" si="2"/>
        <v>2376</v>
      </c>
      <c r="K17" s="86">
        <f t="shared" si="3"/>
        <v>26424</v>
      </c>
      <c r="L17" s="64">
        <f t="shared" si="4"/>
        <v>2711.9999999999995</v>
      </c>
    </row>
    <row r="18" spans="2:12" ht="21.75" customHeight="1" x14ac:dyDescent="0.25">
      <c r="B18" s="55"/>
      <c r="C18" s="91" t="s">
        <v>183</v>
      </c>
      <c r="D18" s="68">
        <v>48</v>
      </c>
      <c r="E18" s="92">
        <v>1</v>
      </c>
      <c r="F18" s="38">
        <v>8800</v>
      </c>
      <c r="G18" s="85">
        <f>F18*'PARAMÈTRES 2027'!D8+MIN(F18,12350)*'PARAMÈTRES 2027'!D14+MAX(0,F18-(26460/12))*IF(D18&lt;25,0,IF(D18&lt;=34,'PARAMÈTRES 2027'!D20,IF(D18&lt;=44,'PARAMÈTRES 2027'!D21,IF(D18&lt;=54,'PARAMÈTRES 2027'!D22,'PARAMÈTRES 2027'!D23))))+F18*'PARAMÈTRES 2027'!D27+F18*'PARAMÈTRES 2027'!D28</f>
        <v>1220.6249999999998</v>
      </c>
      <c r="H18" s="86">
        <f t="shared" si="0"/>
        <v>7579.375</v>
      </c>
      <c r="I18" s="42">
        <f t="shared" si="1"/>
        <v>105600</v>
      </c>
      <c r="J18" s="85">
        <f t="shared" si="2"/>
        <v>14647.499999999996</v>
      </c>
      <c r="K18" s="86">
        <f t="shared" si="3"/>
        <v>90952.5</v>
      </c>
      <c r="L18" s="64">
        <f t="shared" si="4"/>
        <v>9943.9999999999982</v>
      </c>
    </row>
    <row r="19" spans="2:12" ht="25.5" customHeight="1" x14ac:dyDescent="0.25">
      <c r="B19" s="35"/>
      <c r="C19" s="113" t="s">
        <v>184</v>
      </c>
      <c r="D19" s="113"/>
      <c r="E19" s="113"/>
      <c r="F19" s="93">
        <f t="shared" ref="F19:L19" si="5">SUM(F9:F18)</f>
        <v>65000</v>
      </c>
      <c r="G19" s="93">
        <f t="shared" si="5"/>
        <v>8126.3249999999998</v>
      </c>
      <c r="H19" s="93">
        <f t="shared" si="5"/>
        <v>56873.675000000003</v>
      </c>
      <c r="I19" s="93">
        <f t="shared" si="5"/>
        <v>780000</v>
      </c>
      <c r="J19" s="93">
        <f t="shared" si="5"/>
        <v>97515.9</v>
      </c>
      <c r="K19" s="93">
        <f t="shared" si="5"/>
        <v>682484.1</v>
      </c>
      <c r="L19" s="94">
        <f t="shared" si="5"/>
        <v>73449.999999999985</v>
      </c>
    </row>
    <row r="20" spans="2:12" ht="7.5" customHeight="1" x14ac:dyDescent="0.25"/>
    <row r="21" spans="2:12" ht="24" customHeight="1" x14ac:dyDescent="0.25">
      <c r="B21" s="3" t="s">
        <v>185</v>
      </c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2:12" ht="21.75" customHeight="1" x14ac:dyDescent="0.25">
      <c r="C22" s="114" t="s">
        <v>186</v>
      </c>
      <c r="D22" s="114"/>
      <c r="E22" s="114"/>
      <c r="F22" s="114"/>
      <c r="G22" s="114"/>
      <c r="H22" s="95">
        <f>COUNTA(C9:C18)</f>
        <v>10</v>
      </c>
      <c r="I22" s="96"/>
      <c r="J22" s="96"/>
      <c r="K22" s="96"/>
      <c r="L22" s="96"/>
    </row>
    <row r="23" spans="2:12" ht="21.75" customHeight="1" x14ac:dyDescent="0.25">
      <c r="C23" s="115" t="s">
        <v>187</v>
      </c>
      <c r="D23" s="115"/>
      <c r="E23" s="115"/>
      <c r="F23" s="115"/>
      <c r="G23" s="115"/>
      <c r="H23" s="97">
        <f>F19</f>
        <v>65000</v>
      </c>
      <c r="I23" s="70"/>
      <c r="J23" s="70"/>
      <c r="K23" s="70"/>
      <c r="L23" s="70"/>
    </row>
    <row r="24" spans="2:12" ht="21.75" customHeight="1" x14ac:dyDescent="0.25">
      <c r="C24" s="114" t="s">
        <v>188</v>
      </c>
      <c r="D24" s="114"/>
      <c r="E24" s="114"/>
      <c r="F24" s="114"/>
      <c r="G24" s="114"/>
      <c r="H24" s="98">
        <f>H19</f>
        <v>56873.675000000003</v>
      </c>
      <c r="I24" s="96"/>
      <c r="J24" s="96"/>
      <c r="K24" s="96"/>
      <c r="L24" s="96"/>
    </row>
    <row r="25" spans="2:12" ht="21.75" customHeight="1" x14ac:dyDescent="0.25">
      <c r="C25" s="115" t="s">
        <v>189</v>
      </c>
      <c r="D25" s="115"/>
      <c r="E25" s="115"/>
      <c r="F25" s="115"/>
      <c r="G25" s="115"/>
      <c r="H25" s="99">
        <f>IFERROR(G19/F19,0)</f>
        <v>0.12502038461538462</v>
      </c>
      <c r="I25" s="70"/>
      <c r="J25" s="70"/>
      <c r="K25" s="70"/>
      <c r="L25" s="70"/>
    </row>
    <row r="26" spans="2:12" ht="21.75" customHeight="1" x14ac:dyDescent="0.25">
      <c r="C26" s="114" t="s">
        <v>190</v>
      </c>
      <c r="D26" s="114"/>
      <c r="E26" s="114"/>
      <c r="F26" s="114"/>
      <c r="G26" s="114"/>
      <c r="H26" s="98">
        <f>L19</f>
        <v>73449.999999999985</v>
      </c>
      <c r="I26" s="96"/>
      <c r="J26" s="96"/>
      <c r="K26" s="96"/>
      <c r="L26" s="96"/>
    </row>
    <row r="27" spans="2:12" ht="21.75" customHeight="1" x14ac:dyDescent="0.25">
      <c r="C27" s="115" t="s">
        <v>191</v>
      </c>
      <c r="D27" s="115"/>
      <c r="E27" s="115"/>
      <c r="F27" s="115"/>
      <c r="G27" s="115"/>
      <c r="H27" s="97">
        <f>IFERROR(F19/COUNTA(C9:C18),0)</f>
        <v>6500</v>
      </c>
      <c r="I27" s="70"/>
      <c r="J27" s="70"/>
      <c r="K27" s="70"/>
      <c r="L27" s="70"/>
    </row>
    <row r="28" spans="2:12" ht="21.75" customHeight="1" x14ac:dyDescent="0.25">
      <c r="C28" s="114" t="s">
        <v>192</v>
      </c>
      <c r="D28" s="114"/>
      <c r="E28" s="114"/>
      <c r="F28" s="114"/>
      <c r="G28" s="114"/>
      <c r="H28" s="98">
        <f>IFERROR(H19/COUNTA(C9:C18),0)</f>
        <v>5687.3675000000003</v>
      </c>
      <c r="I28" s="96"/>
      <c r="J28" s="96"/>
      <c r="K28" s="96"/>
      <c r="L28" s="96"/>
    </row>
    <row r="29" spans="2:12" ht="7.5" customHeight="1" x14ac:dyDescent="0.25"/>
  </sheetData>
  <mergeCells count="14">
    <mergeCell ref="C25:G25"/>
    <mergeCell ref="C26:G26"/>
    <mergeCell ref="C27:G27"/>
    <mergeCell ref="C28:G28"/>
    <mergeCell ref="C19:E19"/>
    <mergeCell ref="B21:L21"/>
    <mergeCell ref="C22:G22"/>
    <mergeCell ref="C23:G23"/>
    <mergeCell ref="C24:G24"/>
    <mergeCell ref="A1:M1"/>
    <mergeCell ref="A2:M2"/>
    <mergeCell ref="A3:M3"/>
    <mergeCell ref="A4:M4"/>
    <mergeCell ref="B6:L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FICHE DE SALAIRE</vt:lpstr>
      <vt:lpstr>PARAMÈTRES 2027</vt:lpstr>
      <vt:lpstr>SIMULATEUR BRUT↔NET</vt:lpstr>
      <vt:lpstr>RÉCAPITULATIF RH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2026-09-26T05:15:54Z</dcterms:created>
  <dcterms:modified xsi:type="dcterms:W3CDTF">2026-09-27T17:07:31Z</dcterms:modified>
  <dc:language>en-US</dc:language>
</cp:coreProperties>
</file>