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Paramètres" sheetId="2" state="visible" r:id="rId4"/>
    <sheet name="Journal de caisse" sheetId="3" state="visible" r:id="rId5"/>
    <sheet name="Clôture journalière" sheetId="4" state="visible" r:id="rId6"/>
    <sheet name="Tableau de bord" sheetId="5" state="visible" r:id="rId7"/>
  </sheets>
  <definedNames>
    <definedName function="false" hidden="false" localSheetId="3" name="_xlnm.Print_Area" vbProcedure="false">'Clôture journalière'!$A$1:$N$27</definedName>
    <definedName function="false" hidden="false" localSheetId="2" name="_xlnm.Print_Area" vbProcedure="false">'Journal de caisse'!$A$1:$H$61</definedName>
    <definedName function="false" hidden="false" localSheetId="2" name="_xlnm.Print_Titles" vbProcedure="false">'Journal de caisse'!$1:$5</definedName>
    <definedName function="false" hidden="false" localSheetId="0" name="_xlnm.Print_Area" vbProcedure="false">'Mode d''emploi'!$A$1:$E$25</definedName>
    <definedName function="false" hidden="false" localSheetId="1" name="_xlnm.Print_Area" vbProcedure="false">Paramètres!$A$1:$J$28</definedName>
    <definedName function="false" hidden="false" localSheetId="4" name="_xlnm.Print_Area" vbProcedure="false">'Tableau de bord'!$A$1:$L$46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<sst xmlns="http://schemas.openxmlformats.org/spreadsheetml/2006/main" count="217" uniqueCount="148">
  <si>
    <t xml:space="preserve">CAISSE JOURNALIÈRE</t>
  </si>
  <si>
    <t xml:space="preserve">Suivi quotidien des encaissements, décaissements et clôtures de caisse — Édition 2027</t>
  </si>
  <si>
    <t xml:space="preserve">À quoi sert ce classeur ?</t>
  </si>
  <si>
    <t xml:space="preserve">Ce modèle permet de tenir la caisse au jour le jour : enregistrer chaque encaissement et décaissement, contrôler le fond de caisse, compter physiquement les espèces en fin de journée et justifier l'écart éventuel. Il convient aux commerces, restaurants, associations et TPE/PME. Excel calcule automatiquement les totaux, le solde théorique, l'écart et la synthèse.</t>
  </si>
  <si>
    <t xml:space="preserve">Ordre d'utilisation recommandé</t>
  </si>
  <si>
    <t xml:space="preserve">1. Paramètres</t>
  </si>
  <si>
    <t xml:space="preserve">Vérifiez le fond de caisse par défaut, le seuil de tolérance d'écart et les listes (modes de règlement, catégories, caissiers).</t>
  </si>
  <si>
    <t xml:space="preserve">2. Journal de caisse</t>
  </si>
  <si>
    <t xml:space="preserve">Saisissez chaque opération : date, libellé, catégorie, mode de règlement et montant en encaissement ou en décaissement.</t>
  </si>
  <si>
    <t xml:space="preserve">3. Clôture journalière</t>
  </si>
  <si>
    <t xml:space="preserve">Pour chaque journée, comptez les espèces avec le bloc « Aide au comptage » et reportez le total dans « Espèces comptées » : l'écart et le statut s'affichent seuls.</t>
  </si>
  <si>
    <t xml:space="preserve">4. Tableau de bord</t>
  </si>
  <si>
    <t xml:space="preserve">Consultez la synthèse : recettes, ventilation par mode de règlement, écarts cumulés et graphiques.</t>
  </si>
  <si>
    <t xml:space="preserve">Comprendre l'écart de caisse</t>
  </si>
  <si>
    <t xml:space="preserve">Solde théorique</t>
  </si>
  <si>
    <t xml:space="preserve">Fond de caisse initial + recettes en espèces − décaissements en espèces. C'est ce que la caisse devrait contenir.</t>
  </si>
  <si>
    <t xml:space="preserve">Espèces comptées</t>
  </si>
  <si>
    <t xml:space="preserve">Montant réellement présent dans le tiroir après comptage des billets et des pièces.</t>
  </si>
  <si>
    <t xml:space="preserve">Écart = comptées − théorique</t>
  </si>
  <si>
    <t xml:space="preserve">Positif = excédent, négatif = manquant. Dans la tolérance il est acceptable ; au-delà il doit être justifié.</t>
  </si>
  <si>
    <t xml:space="preserve">Repères de couleur</t>
  </si>
  <si>
    <t xml:space="preserve">Conforme</t>
  </si>
  <si>
    <t xml:space="preserve">Écart nul : la caisse est juste.</t>
  </si>
  <si>
    <t xml:space="preserve">Écart toléré</t>
  </si>
  <si>
    <t xml:space="preserve">Écart faible, dans la limite de tolérance.</t>
  </si>
  <si>
    <t xml:space="preserve">À justifier</t>
  </si>
  <si>
    <t xml:space="preserve">Écart supérieur à la tolérance : à contrôler et justifier.</t>
  </si>
  <si>
    <t xml:space="preserve">Astuce : seules les cellules blanches sont à remplir. Les colonnes grisées sont calculées automatiquement.</t>
  </si>
  <si>
    <t xml:space="preserve">PARAMÈTRES</t>
  </si>
  <si>
    <t xml:space="preserve">Réglages, listes de référence et dénominations — à adapter à votre activité</t>
  </si>
  <si>
    <t xml:space="preserve">PARAMÈTRES GÉNÉRAUX</t>
  </si>
  <si>
    <t xml:space="preserve">Fond de caisse par défaut (€)</t>
  </si>
  <si>
    <t xml:space="preserve">Seuil de tolérance d'écart (€)</t>
  </si>
  <si>
    <t xml:space="preserve">Seuil d'alerte de remise en banque (€)</t>
  </si>
  <si>
    <t xml:space="preserve">MODES DE RÈGLEMENT</t>
  </si>
  <si>
    <t xml:space="preserve">CATÉGORIES D'OPÉRATION</t>
  </si>
  <si>
    <t xml:space="preserve">CAISSIERS / RESPONSABLES</t>
  </si>
  <si>
    <t xml:space="preserve">DÉNOMINATIONS EN EUROS</t>
  </si>
  <si>
    <t xml:space="preserve">Mode de règlement</t>
  </si>
  <si>
    <t xml:space="preserve">Catégorie (recettes puis dépenses)</t>
  </si>
  <si>
    <t xml:space="preserve">Caissier</t>
  </si>
  <si>
    <t xml:space="preserve">Valeur</t>
  </si>
  <si>
    <t xml:space="preserve">Type</t>
  </si>
  <si>
    <t xml:space="preserve">Espèces</t>
  </si>
  <si>
    <t xml:space="preserve">Ventes de marchandises</t>
  </si>
  <si>
    <t xml:space="preserve">Camille Fontaine</t>
  </si>
  <si>
    <t xml:space="preserve">Billet</t>
  </si>
  <si>
    <t xml:space="preserve">Carte bancaire</t>
  </si>
  <si>
    <t xml:space="preserve">Prestations de services</t>
  </si>
  <si>
    <t xml:space="preserve">Julien Mercier</t>
  </si>
  <si>
    <t xml:space="preserve">Chèque</t>
  </si>
  <si>
    <t xml:space="preserve">Ventes au comptoir</t>
  </si>
  <si>
    <t xml:space="preserve">Sophie Da Costa</t>
  </si>
  <si>
    <t xml:space="preserve">Ticket restaurant</t>
  </si>
  <si>
    <t xml:space="preserve">Acomptes clients</t>
  </si>
  <si>
    <t xml:space="preserve">Karim Benali</t>
  </si>
  <si>
    <t xml:space="preserve">Virement</t>
  </si>
  <si>
    <t xml:space="preserve">Pourboires</t>
  </si>
  <si>
    <t xml:space="preserve">Autres recettes</t>
  </si>
  <si>
    <t xml:space="preserve">Achats fournitures</t>
  </si>
  <si>
    <t xml:space="preserve">Petites dépenses</t>
  </si>
  <si>
    <t xml:space="preserve">Pièce</t>
  </si>
  <si>
    <t xml:space="preserve">Frais de port</t>
  </si>
  <si>
    <t xml:space="preserve">Remboursement client</t>
  </si>
  <si>
    <t xml:space="preserve">Note de frais</t>
  </si>
  <si>
    <t xml:space="preserve">Autres dépenses</t>
  </si>
  <si>
    <t xml:space="preserve">Ces listes alimentent les menus déroulants du journal et le bloc de comptage. Ajoutez ou modifiez les valeurs selon votre activité.</t>
  </si>
  <si>
    <t xml:space="preserve">JOURNAL DE CAISSE</t>
  </si>
  <si>
    <t xml:space="preserve">Enregistrement chronologique des opérations — un mouvement par ligne</t>
  </si>
  <si>
    <t xml:space="preserve">Date</t>
  </si>
  <si>
    <t xml:space="preserve">N° pièce</t>
  </si>
  <si>
    <t xml:space="preserve">Libellé</t>
  </si>
  <si>
    <t xml:space="preserve">Catégorie</t>
  </si>
  <si>
    <t xml:space="preserve">Encaissement (€)</t>
  </si>
  <si>
    <t xml:space="preserve">Décaissement (€)</t>
  </si>
  <si>
    <t xml:space="preserve">Montant net (€)</t>
  </si>
  <si>
    <t xml:space="preserve">PJ-2027-001</t>
  </si>
  <si>
    <t xml:space="preserve">Ventes au comptoir (matin)</t>
  </si>
  <si>
    <t xml:space="preserve">PJ-2027-002</t>
  </si>
  <si>
    <t xml:space="preserve">Vente article réglée en CB</t>
  </si>
  <si>
    <t xml:space="preserve">PJ-2027-003</t>
  </si>
  <si>
    <t xml:space="preserve">Prestation atelier</t>
  </si>
  <si>
    <t xml:space="preserve">PJ-2027-004</t>
  </si>
  <si>
    <t xml:space="preserve">Déjeuner client</t>
  </si>
  <si>
    <t xml:space="preserve">PJ-2027-005</t>
  </si>
  <si>
    <t xml:space="preserve">Achat fournitures de bureau</t>
  </si>
  <si>
    <t xml:space="preserve">PJ-2027-006</t>
  </si>
  <si>
    <t xml:space="preserve">Ventes au comptoir (après-midi)</t>
  </si>
  <si>
    <t xml:space="preserve">PJ-2027-007</t>
  </si>
  <si>
    <t xml:space="preserve">PJ-2027-008</t>
  </si>
  <si>
    <t xml:space="preserve">Vente en ligne (retrait boutique)</t>
  </si>
  <si>
    <t xml:space="preserve">PJ-2027-009</t>
  </si>
  <si>
    <t xml:space="preserve">Acompte sur commande</t>
  </si>
  <si>
    <t xml:space="preserve">PJ-2027-010</t>
  </si>
  <si>
    <t xml:space="preserve">Pourboires de l'équipe</t>
  </si>
  <si>
    <t xml:space="preserve">PJ-2027-011</t>
  </si>
  <si>
    <t xml:space="preserve">PJ-2027-012</t>
  </si>
  <si>
    <t xml:space="preserve">Frais de port colis</t>
  </si>
  <si>
    <t xml:space="preserve">PJ-2027-013</t>
  </si>
  <si>
    <t xml:space="preserve">Repas du midi</t>
  </si>
  <si>
    <t xml:space="preserve">PJ-2027-014</t>
  </si>
  <si>
    <t xml:space="preserve">PJ-2027-015</t>
  </si>
  <si>
    <t xml:space="preserve">Vente réglée en CB</t>
  </si>
  <si>
    <t xml:space="preserve">PJ-2027-016</t>
  </si>
  <si>
    <t xml:space="preserve">Prestation de service</t>
  </si>
  <si>
    <t xml:space="preserve">PJ-2027-017</t>
  </si>
  <si>
    <t xml:space="preserve">Petite dépense (café, eau)</t>
  </si>
  <si>
    <t xml:space="preserve">PJ-2027-018</t>
  </si>
  <si>
    <t xml:space="preserve">PJ-2027-019</t>
  </si>
  <si>
    <t xml:space="preserve">Note de frais livraison</t>
  </si>
  <si>
    <t xml:space="preserve">TOTAUX</t>
  </si>
  <si>
    <t xml:space="preserve">CLÔTURE JOURNALIÈRE</t>
  </si>
  <si>
    <t xml:space="preserve">Contrôle de caisse par journée : solde théorique, comptage des espèces et écart</t>
  </si>
  <si>
    <t xml:space="preserve">AIDE AU COMPTAGE DES ESPÈCES</t>
  </si>
  <si>
    <t xml:space="preserve">Fond de caisse
initial (€)</t>
  </si>
  <si>
    <t xml:space="preserve">Recettes
espèces (€)</t>
  </si>
  <si>
    <t xml:space="preserve">Recettes
CB (€)</t>
  </si>
  <si>
    <t xml:space="preserve">Recettes
chèques (€)</t>
  </si>
  <si>
    <t xml:space="preserve">Recettes
TR (€)</t>
  </si>
  <si>
    <t xml:space="preserve">Total
encaissements (€)</t>
  </si>
  <si>
    <t xml:space="preserve">Décaissements
espèces (€)</t>
  </si>
  <si>
    <t xml:space="preserve">Solde théorique
espèces (€)</t>
  </si>
  <si>
    <t xml:space="preserve">Espèces
comptées (€)</t>
  </si>
  <si>
    <t xml:space="preserve">Écart (€)</t>
  </si>
  <si>
    <t xml:space="preserve">Statut</t>
  </si>
  <si>
    <t xml:space="preserve">Remise en
banque (€)</t>
  </si>
  <si>
    <t xml:space="preserve">Coupure</t>
  </si>
  <si>
    <t xml:space="preserve">Quantité</t>
  </si>
  <si>
    <t xml:space="preserve">Total (€)</t>
  </si>
  <si>
    <t xml:space="preserve">Total compté (€)</t>
  </si>
  <si>
    <t xml:space="preserve">Reportez ce total dans « Espèces comptées » de la journée concernée.</t>
  </si>
  <si>
    <t xml:space="preserve">TOTAL PÉRIODE</t>
  </si>
  <si>
    <t xml:space="preserve">TABLEAU DE BORD — CAISSE</t>
  </si>
  <si>
    <t xml:space="preserve">Synthèse de la période — Édition 2027</t>
  </si>
  <si>
    <t xml:space="preserve">Journées clôturées</t>
  </si>
  <si>
    <t xml:space="preserve">Total des recettes (€)</t>
  </si>
  <si>
    <t xml:space="preserve">Total des décaissements (€)</t>
  </si>
  <si>
    <t xml:space="preserve">Recette nette (€)</t>
  </si>
  <si>
    <t xml:space="preserve">Écart cumulé (€)</t>
  </si>
  <si>
    <t xml:space="preserve">Journées à justifier</t>
  </si>
  <si>
    <t xml:space="preserve">Total remis en banque (€)</t>
  </si>
  <si>
    <t xml:space="preserve">Recette moy. / jour (€)</t>
  </si>
  <si>
    <t xml:space="preserve">VENTILATION DES ENCAISSEMENTS PAR MODE</t>
  </si>
  <si>
    <t xml:space="preserve">Montant (€)</t>
  </si>
  <si>
    <t xml:space="preserve">Part</t>
  </si>
  <si>
    <t xml:space="preserve">TOTAL</t>
  </si>
  <si>
    <t xml:space="preserve">RECETTES PAR JOURNÉE</t>
  </si>
  <si>
    <t xml:space="preserve">Total encaissements (€)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</si>
</sst>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dd\/mm\/yyyy"/>
    <numFmt numFmtId="167" formatCode="0"/>
    <numFmt numFmtId="168" formatCode="0.0\ %"/>
    <numFmt numFmtId="169" formatCode="#,##0&quot; €&quot;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1B2A38"/>
      <name val="Calibri"/>
      <family val="0"/>
      <charset val="1"/>
    </font>
    <font>
      <b val="true"/>
      <sz val="10"/>
      <color rgb="FF17324D"/>
      <name val="Calibri"/>
      <family val="0"/>
      <charset val="1"/>
    </font>
    <font>
      <b val="true"/>
      <sz val="10"/>
      <color rgb="FF13704B"/>
      <name val="Calibri"/>
      <family val="0"/>
      <charset val="1"/>
    </font>
    <font>
      <b val="true"/>
      <sz val="10"/>
      <color rgb="FF8A6300"/>
      <name val="Calibri"/>
      <family val="0"/>
      <charset val="1"/>
    </font>
    <font>
      <b val="true"/>
      <sz val="10"/>
      <color rgb="FFA32B1C"/>
      <name val="Calibri"/>
      <family val="0"/>
      <charset val="1"/>
    </font>
    <font>
      <i val="true"/>
      <sz val="9"/>
      <color rgb="FF5C6B78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24567D"/>
      <name val="Calibri"/>
      <family val="0"/>
      <charset val="1"/>
    </font>
    <font>
      <sz val="10"/>
      <color rgb="FF5C6B78"/>
      <name val="Calibri"/>
      <family val="0"/>
      <charset val="1"/>
    </font>
    <font>
      <b val="true"/>
      <sz val="10"/>
      <color rgb="FF1B2A3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B2A38"/>
      <name val="Calibri"/>
      <family val="0"/>
      <charset val="1"/>
    </font>
    <font>
      <b val="true"/>
      <sz val="9"/>
      <color rgb="FF24567D"/>
      <name val="Calibri"/>
      <family val="0"/>
      <charset val="1"/>
    </font>
    <font>
      <b val="true"/>
      <sz val="9"/>
      <color rgb="FF1B2A38"/>
      <name val="Calibri"/>
      <family val="0"/>
      <charset val="1"/>
    </font>
    <font>
      <i val="true"/>
      <sz val="8"/>
      <color rgb="FF5C6B78"/>
      <name val="Calibri"/>
      <family val="0"/>
      <charset val="1"/>
    </font>
    <font>
      <b val="true"/>
      <sz val="15"/>
      <color rgb="FF17324D"/>
      <name val="Calibri"/>
      <family val="0"/>
      <charset val="1"/>
    </font>
    <font>
      <b val="true"/>
      <sz val="15"/>
      <color rgb="FF1E9E74"/>
      <name val="Calibri"/>
      <family val="0"/>
      <charset val="1"/>
    </font>
    <font>
      <b val="true"/>
      <sz val="15"/>
      <color rgb="FF24567D"/>
      <name val="Calibri"/>
      <family val="0"/>
      <charset val="1"/>
    </font>
    <font>
      <b val="true"/>
      <sz val="15"/>
      <color rgb="FF3E7CA6"/>
      <name val="Calibri"/>
      <family val="0"/>
      <charset val="1"/>
    </font>
    <font>
      <b val="true"/>
      <sz val="15"/>
      <color rgb="FFA32B1C"/>
      <name val="Calibri"/>
      <family val="0"/>
      <charset val="1"/>
    </font>
    <font>
      <sz val="9"/>
      <color rgb="FF5C6B78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17324D"/>
        <bgColor rgb="FF1B2A38"/>
      </patternFill>
    </fill>
    <fill>
      <patternFill patternType="solid">
        <fgColor rgb="FF24567D"/>
        <bgColor rgb="FF13704B"/>
      </patternFill>
    </fill>
    <fill>
      <patternFill patternType="solid">
        <fgColor rgb="FF3E7CA6"/>
        <bgColor rgb="FF4F81BD"/>
      </patternFill>
    </fill>
    <fill>
      <patternFill patternType="solid">
        <fgColor rgb="FFD7F0E4"/>
        <bgColor rgb="FFE3F3EC"/>
      </patternFill>
    </fill>
    <fill>
      <patternFill patternType="solid">
        <fgColor rgb="FFFCEBB6"/>
        <bgColor rgb="FFF7D4CE"/>
      </patternFill>
    </fill>
    <fill>
      <patternFill patternType="solid">
        <fgColor rgb="FFF7D4CE"/>
        <bgColor rgb="FFD9D9D9"/>
      </patternFill>
    </fill>
    <fill>
      <patternFill patternType="solid">
        <fgColor rgb="FFEAF1F6"/>
        <bgColor rgb="FFE4EDF3"/>
      </patternFill>
    </fill>
    <fill>
      <patternFill patternType="solid">
        <fgColor rgb="FFFFFFFF"/>
        <bgColor rgb="FFF4F8FB"/>
      </patternFill>
    </fill>
    <fill>
      <patternFill patternType="solid">
        <fgColor rgb="FFF4F8FB"/>
        <bgColor rgb="FFEAF1F6"/>
      </patternFill>
    </fill>
    <fill>
      <patternFill patternType="solid">
        <fgColor rgb="FF1E9E74"/>
        <bgColor rgb="FF3E7CA6"/>
      </patternFill>
    </fill>
    <fill>
      <patternFill patternType="solid">
        <fgColor rgb="FFE4EDF3"/>
        <bgColor rgb="FFEAF1F6"/>
      </patternFill>
    </fill>
    <fill>
      <patternFill patternType="solid">
        <fgColor rgb="FFA32B1C"/>
        <bgColor rgb="FF99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4D3DF"/>
      </left>
      <right style="thin">
        <color rgb="FFC4D3DF"/>
      </right>
      <top style="thin">
        <color rgb="FFC4D3DF"/>
      </top>
      <bottom style="thin">
        <color rgb="FFC4D3DF"/>
      </bottom>
      <diagonal/>
    </border>
    <border diagonalUp="false" diagonalDown="false">
      <left style="medium">
        <color rgb="FF17324D"/>
      </left>
      <right style="medium">
        <color rgb="FF17324D"/>
      </right>
      <top style="medium">
        <color rgb="FF17324D"/>
      </top>
      <bottom style="medium">
        <color rgb="FF17324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6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6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Calibri"/>
        <charset val="1"/>
        <family val="0"/>
        <b val="1"/>
        <color rgb="FF13704B"/>
        <sz val="10"/>
      </font>
    </dxf>
    <dxf>
      <font>
        <name val="Calibri"/>
        <charset val="1"/>
        <family val="0"/>
        <b val="1"/>
        <color rgb="FFA32B1C"/>
        <sz val="10"/>
      </font>
    </dxf>
    <dxf>
      <font>
        <name val="Calibri"/>
        <charset val="1"/>
        <family val="0"/>
        <b val="1"/>
        <color rgb="FF13704B"/>
        <sz val="9"/>
      </font>
      <fill>
        <patternFill>
          <bgColor rgb="FFD7F0E4"/>
        </patternFill>
      </fill>
    </dxf>
    <dxf>
      <font>
        <name val="Calibri"/>
        <charset val="1"/>
        <family val="0"/>
        <b val="1"/>
        <color rgb="FF8A6300"/>
        <sz val="9"/>
      </font>
      <fill>
        <patternFill>
          <bgColor rgb="FFFCEBB6"/>
        </patternFill>
      </fill>
    </dxf>
    <dxf>
      <font>
        <name val="Calibri"/>
        <charset val="1"/>
        <family val="0"/>
        <b val="1"/>
        <color rgb="FFA32B1C"/>
        <sz val="9"/>
      </font>
      <fill>
        <patternFill>
          <bgColor rgb="FFF7D4CE"/>
        </patternFill>
      </fill>
    </dxf>
    <dxf>
      <fill>
        <patternFill>
          <bgColor rgb="FFE3F3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300"/>
      <rgbColor rgb="FF800080"/>
      <rgbColor rgb="FF13704B"/>
      <rgbColor rgb="FFD9D9D9"/>
      <rgbColor rgb="FF878787"/>
      <rgbColor rgb="FF9999FF"/>
      <rgbColor rgb="FF993366"/>
      <rgbColor rgb="FFFCEBB6"/>
      <rgbColor rgb="FFE3F3EC"/>
      <rgbColor rgb="FF660066"/>
      <rgbColor rgb="FFFF8080"/>
      <rgbColor rgb="FF0066CC"/>
      <rgbColor rgb="FFC4D3DF"/>
      <rgbColor rgb="FF000080"/>
      <rgbColor rgb="FFFF00FF"/>
      <rgbColor rgb="FFFFFF00"/>
      <rgbColor rgb="FF00FFFF"/>
      <rgbColor rgb="FF800080"/>
      <rgbColor rgb="FF800000"/>
      <rgbColor rgb="FF3E7CA6"/>
      <rgbColor rgb="FF0000FF"/>
      <rgbColor rgb="FF00CCFF"/>
      <rgbColor rgb="FFE4EDF3"/>
      <rgbColor rgb="FFD7F0E4"/>
      <rgbColor rgb="FFF4F8FB"/>
      <rgbColor rgb="FFEAF1F6"/>
      <rgbColor rgb="FFFF99CC"/>
      <rgbColor rgb="FFCC99FF"/>
      <rgbColor rgb="FFF7D4CE"/>
      <rgbColor rgb="FF4F81BD"/>
      <rgbColor rgb="FF33CCCC"/>
      <rgbColor rgb="FF99CC00"/>
      <rgbColor rgb="FFFFCC00"/>
      <rgbColor rgb="FFC9A227"/>
      <rgbColor rgb="FFFF6600"/>
      <rgbColor rgb="FF5C6B78"/>
      <rgbColor rgb="FF969696"/>
      <rgbColor rgb="FF17324D"/>
      <rgbColor rgb="FF1E9E74"/>
      <rgbColor rgb="FF003300"/>
      <rgbColor rgb="FF333300"/>
      <rgbColor rgb="FFA32B1C"/>
      <rgbColor rgb="FF993366"/>
      <rgbColor rgb="FF24567D"/>
      <rgbColor rgb="FF1B2A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Répartition des encaissements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'Tableau de bord'!C15</c:f>
              <c:strCache>
                <c:ptCount val="1"/>
                <c:pt idx="0">
                  <c:v>Montant (€)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e9e74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4567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3e7ca6"/>
              </a:solidFill>
              <a:ln w="0">
                <a:noFill/>
              </a:ln>
            </c:spPr>
          </c:dPt>
          <c:dPt>
            <c:idx val="3"/>
            <c:spPr>
              <a:solidFill>
                <a:srgbClr val="c9a227"/>
              </a:solidFill>
              <a:ln w="0">
                <a:noFill/>
              </a:ln>
            </c:spPr>
          </c:dPt>
          <c:dPt>
            <c:idx val="4"/>
            <c:spPr>
              <a:solidFill>
                <a:srgbClr val="17324d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'Tableau de bord'!$B$16:$B$20</c:f>
              <c:strCache>
                <c:ptCount val="5"/>
                <c:pt idx="0">
                  <c:v>Espèces</c:v>
                </c:pt>
                <c:pt idx="1">
                  <c:v>Carte bancaire</c:v>
                </c:pt>
                <c:pt idx="2">
                  <c:v>Chèque</c:v>
                </c:pt>
                <c:pt idx="3">
                  <c:v>Ticket restaurant</c:v>
                </c:pt>
                <c:pt idx="4">
                  <c:v>Virement</c:v>
                </c:pt>
              </c:strCache>
            </c:strRef>
          </c:cat>
          <c:val>
            <c:numRef>
              <c:f>'Tableau de bord'!$C$16:$C$20</c:f>
              <c:numCache>
                <c:formatCode>#,##0.00" €"</c:formatCode>
                <c:ptCount val="5"/>
                <c:pt idx="0">
                  <c:v>866.05</c:v>
                </c:pt>
                <c:pt idx="1">
                  <c:v>586.6</c:v>
                </c:pt>
                <c:pt idx="2">
                  <c:v>420</c:v>
                </c:pt>
                <c:pt idx="3">
                  <c:v>45.2</c:v>
                </c:pt>
                <c:pt idx="4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des encaissements par journée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bord'!C25</c:f>
              <c:strCache>
                <c:ptCount val="1"/>
                <c:pt idx="0">
                  <c:v>Total encaissements (€)</c:v>
                </c:pt>
              </c:strCache>
            </c:strRef>
          </c:tx>
          <c:spPr>
            <a:solidFill>
              <a:srgbClr val="1e9e7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bord'!$B$26:$B$33</c:f>
              <c:strCache>
                <c:ptCount val="8"/>
                <c:pt idx="0">
                  <c:v>04/01/2027</c:v>
                </c:pt>
                <c:pt idx="1">
                  <c:v>05/01/2027</c:v>
                </c:pt>
                <c:pt idx="2">
                  <c:v>06/01/2027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'Tableau de bord'!$C$26:$C$33</c:f>
              <c:numCache>
                <c:formatCode>#,##0.00" €"</c:formatCode>
                <c:ptCount val="8"/>
                <c:pt idx="0">
                  <c:v>585.2</c:v>
                </c:pt>
                <c:pt idx="1">
                  <c:v>760.65</c:v>
                </c:pt>
                <c:pt idx="2">
                  <c:v>572</c:v>
                </c:pt>
              </c:numCache>
            </c:numRef>
          </c:val>
        </c:ser>
        <c:gapWidth val="150"/>
        <c:overlap val="0"/>
        <c:axId val="27318292"/>
        <c:axId val="12197316"/>
      </c:barChart>
      <c:catAx>
        <c:axId val="27318292"/>
        <c:scaling>
          <c:orientation val="minMax"/>
        </c:scaling>
        <c:delete val="0"/>
        <c:axPos val="b"/>
        <c:numFmt formatCode="dd\/mm\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197316"/>
        <c:crosses val="autoZero"/>
        <c:auto val="1"/>
        <c:lblAlgn val="ctr"/>
        <c:lblOffset val="100"/>
        <c:noMultiLvlLbl val="0"/>
      </c:catAx>
      <c:valAx>
        <c:axId val="12197316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31829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12</xdr:row>
      <xdr:rowOff>0</xdr:rowOff>
    </xdr:from>
    <xdr:to>
      <xdr:col>10</xdr:col>
      <xdr:colOff>281880</xdr:colOff>
      <xdr:row>25</xdr:row>
      <xdr:rowOff>93960</xdr:rowOff>
    </xdr:to>
    <xdr:graphicFrame>
      <xdr:nvGraphicFramePr>
        <xdr:cNvPr id="0" name="Chart 1"/>
        <xdr:cNvGraphicFramePr/>
      </xdr:nvGraphicFramePr>
      <xdr:xfrm>
        <a:off x="4123800" y="2428920"/>
        <a:ext cx="3959640" cy="266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28</xdr:row>
      <xdr:rowOff>97200</xdr:rowOff>
    </xdr:from>
    <xdr:to>
      <xdr:col>10</xdr:col>
      <xdr:colOff>281880</xdr:colOff>
      <xdr:row>42</xdr:row>
      <xdr:rowOff>93960</xdr:rowOff>
    </xdr:to>
    <xdr:graphicFrame>
      <xdr:nvGraphicFramePr>
        <xdr:cNvPr id="1" name="Chart 2"/>
        <xdr:cNvGraphicFramePr/>
      </xdr:nvGraphicFramePr>
      <xdr:xfrm>
        <a:off x="4123800" y="5667480"/>
        <a:ext cx="3959640" cy="266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62"/>
    <col collapsed="false" customWidth="true" hidden="false" outlineLevel="0" max="4" min="4" style="0" width="20"/>
    <col collapsed="false" customWidth="true" hidden="false" outlineLevel="0" max="5" min="5" style="0" width="2.5"/>
  </cols>
  <sheetData>
    <row r="1" customFormat="false" ht="19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.75" hidden="false" customHeight="true" outlineLevel="0" collapsed="false">
      <c r="A2" s="1"/>
      <c r="B2" s="1"/>
      <c r="C2" s="1"/>
      <c r="D2" s="1"/>
      <c r="E2" s="1"/>
    </row>
    <row r="3" customFormat="false" ht="18" hidden="false" customHeight="true" outlineLevel="0" collapsed="false">
      <c r="A3" s="2" t="s">
        <v>1</v>
      </c>
      <c r="B3" s="2"/>
      <c r="C3" s="2"/>
      <c r="D3" s="2"/>
      <c r="E3" s="2"/>
    </row>
    <row r="5" customFormat="false" ht="19.5" hidden="false" customHeight="true" outlineLevel="0" collapsed="false">
      <c r="B5" s="3" t="s">
        <v>2</v>
      </c>
      <c r="C5" s="3"/>
      <c r="D5" s="3"/>
    </row>
    <row r="6" customFormat="false" ht="63.75" hidden="false" customHeight="true" outlineLevel="0" collapsed="false">
      <c r="B6" s="4" t="s">
        <v>3</v>
      </c>
      <c r="C6" s="4"/>
      <c r="D6" s="4"/>
    </row>
    <row r="8" customFormat="false" ht="19.5" hidden="false" customHeight="true" outlineLevel="0" collapsed="false">
      <c r="B8" s="3" t="s">
        <v>4</v>
      </c>
      <c r="C8" s="3"/>
      <c r="D8" s="3"/>
    </row>
    <row r="9" customFormat="false" ht="30" hidden="false" customHeight="true" outlineLevel="0" collapsed="false">
      <c r="B9" s="5" t="s">
        <v>5</v>
      </c>
      <c r="C9" s="4" t="s">
        <v>6</v>
      </c>
      <c r="D9" s="4"/>
    </row>
    <row r="10" customFormat="false" ht="30" hidden="false" customHeight="true" outlineLevel="0" collapsed="false">
      <c r="B10" s="5" t="s">
        <v>7</v>
      </c>
      <c r="C10" s="4" t="s">
        <v>8</v>
      </c>
      <c r="D10" s="4"/>
    </row>
    <row r="11" customFormat="false" ht="30" hidden="false" customHeight="true" outlineLevel="0" collapsed="false">
      <c r="B11" s="5" t="s">
        <v>9</v>
      </c>
      <c r="C11" s="4" t="s">
        <v>10</v>
      </c>
      <c r="D11" s="4"/>
    </row>
    <row r="12" customFormat="false" ht="30" hidden="false" customHeight="true" outlineLevel="0" collapsed="false">
      <c r="B12" s="5" t="s">
        <v>11</v>
      </c>
      <c r="C12" s="4" t="s">
        <v>12</v>
      </c>
      <c r="D12" s="4"/>
    </row>
    <row r="14" customFormat="false" ht="19.5" hidden="false" customHeight="true" outlineLevel="0" collapsed="false">
      <c r="B14" s="3" t="s">
        <v>13</v>
      </c>
      <c r="C14" s="3"/>
      <c r="D14" s="3"/>
    </row>
    <row r="15" customFormat="false" ht="30" hidden="false" customHeight="true" outlineLevel="0" collapsed="false">
      <c r="B15" s="5" t="s">
        <v>14</v>
      </c>
      <c r="C15" s="4" t="s">
        <v>15</v>
      </c>
      <c r="D15" s="4"/>
    </row>
    <row r="16" customFormat="false" ht="30" hidden="false" customHeight="true" outlineLevel="0" collapsed="false">
      <c r="B16" s="5" t="s">
        <v>16</v>
      </c>
      <c r="C16" s="4" t="s">
        <v>17</v>
      </c>
      <c r="D16" s="4"/>
    </row>
    <row r="17" customFormat="false" ht="30" hidden="false" customHeight="true" outlineLevel="0" collapsed="false">
      <c r="B17" s="5" t="s">
        <v>18</v>
      </c>
      <c r="C17" s="4" t="s">
        <v>19</v>
      </c>
      <c r="D17" s="4"/>
    </row>
    <row r="19" customFormat="false" ht="19.5" hidden="false" customHeight="true" outlineLevel="0" collapsed="false">
      <c r="B19" s="3" t="s">
        <v>20</v>
      </c>
      <c r="C19" s="3"/>
      <c r="D19" s="3"/>
    </row>
    <row r="20" customFormat="false" ht="19.5" hidden="false" customHeight="true" outlineLevel="0" collapsed="false">
      <c r="B20" s="6" t="s">
        <v>21</v>
      </c>
      <c r="C20" s="7" t="s">
        <v>22</v>
      </c>
      <c r="D20" s="7"/>
    </row>
    <row r="21" customFormat="false" ht="19.5" hidden="false" customHeight="true" outlineLevel="0" collapsed="false">
      <c r="B21" s="8" t="s">
        <v>23</v>
      </c>
      <c r="C21" s="7" t="s">
        <v>24</v>
      </c>
      <c r="D21" s="7"/>
    </row>
    <row r="22" customFormat="false" ht="19.5" hidden="false" customHeight="true" outlineLevel="0" collapsed="false">
      <c r="B22" s="9" t="s">
        <v>25</v>
      </c>
      <c r="C22" s="7" t="s">
        <v>26</v>
      </c>
      <c r="D22" s="7"/>
    </row>
    <row r="24" customFormat="false" ht="15" hidden="false" customHeight="false" outlineLevel="0" collapsed="false">
      <c r="B24" s="10" t="s">
        <v>27</v>
      </c>
      <c r="C24" s="10"/>
      <c r="D24" s="10"/>
    </row>
  </sheetData>
  <mergeCells count="18">
    <mergeCell ref="A1:E2"/>
    <mergeCell ref="A3:E3"/>
    <mergeCell ref="B5:D5"/>
    <mergeCell ref="B6:D6"/>
    <mergeCell ref="B8:D8"/>
    <mergeCell ref="C9:D9"/>
    <mergeCell ref="C10:D10"/>
    <mergeCell ref="C11:D11"/>
    <mergeCell ref="C12:D12"/>
    <mergeCell ref="B14:D14"/>
    <mergeCell ref="C15:D15"/>
    <mergeCell ref="C16:D16"/>
    <mergeCell ref="C17:D17"/>
    <mergeCell ref="B19:D19"/>
    <mergeCell ref="C20:D20"/>
    <mergeCell ref="C21:D21"/>
    <mergeCell ref="C22:D22"/>
    <mergeCell ref="B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6" min="6" style="0" width="4"/>
    <col collapsed="false" customWidth="true" hidden="false" outlineLevel="0" max="7" min="7" style="0" width="26"/>
    <col collapsed="false" customWidth="true" hidden="false" outlineLevel="0" max="8" min="8" style="0" width="4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3"/>
  </cols>
  <sheetData>
    <row r="1" customFormat="false" ht="19.5" hidden="false" customHeight="true" outlineLevel="0" collapsed="false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7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8" hidden="false" customHeight="true" outlineLevel="0" collapsed="false">
      <c r="A3" s="2" t="s">
        <v>29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8" hidden="false" customHeight="true" outlineLevel="0" collapsed="false">
      <c r="B4" s="11" t="s">
        <v>30</v>
      </c>
      <c r="C4" s="11"/>
    </row>
    <row r="5" customFormat="false" ht="15" hidden="false" customHeight="false" outlineLevel="0" collapsed="false">
      <c r="B5" s="12" t="s">
        <v>31</v>
      </c>
      <c r="C5" s="13" t="n">
        <v>150</v>
      </c>
    </row>
    <row r="6" customFormat="false" ht="15" hidden="false" customHeight="false" outlineLevel="0" collapsed="false">
      <c r="B6" s="14" t="s">
        <v>32</v>
      </c>
      <c r="C6" s="13" t="n">
        <v>2</v>
      </c>
    </row>
    <row r="7" customFormat="false" ht="15" hidden="false" customHeight="false" outlineLevel="0" collapsed="false">
      <c r="B7" s="12" t="s">
        <v>33</v>
      </c>
      <c r="C7" s="13" t="n">
        <v>500</v>
      </c>
    </row>
    <row r="9" customFormat="false" ht="18" hidden="false" customHeight="true" outlineLevel="0" collapsed="false">
      <c r="B9" s="15" t="s">
        <v>34</v>
      </c>
      <c r="E9" s="15" t="s">
        <v>35</v>
      </c>
      <c r="G9" s="15" t="s">
        <v>36</v>
      </c>
      <c r="I9" s="11" t="s">
        <v>37</v>
      </c>
      <c r="J9" s="11"/>
    </row>
    <row r="10" customFormat="false" ht="15" hidden="false" customHeight="false" outlineLevel="0" collapsed="false">
      <c r="B10" s="16" t="s">
        <v>38</v>
      </c>
      <c r="E10" s="16" t="s">
        <v>39</v>
      </c>
      <c r="G10" s="16" t="s">
        <v>40</v>
      </c>
      <c r="I10" s="17" t="s">
        <v>41</v>
      </c>
      <c r="J10" s="17" t="s">
        <v>42</v>
      </c>
    </row>
    <row r="11" customFormat="false" ht="15" hidden="false" customHeight="false" outlineLevel="0" collapsed="false">
      <c r="B11" s="18" t="s">
        <v>43</v>
      </c>
      <c r="E11" s="18" t="s">
        <v>44</v>
      </c>
      <c r="G11" s="18" t="s">
        <v>45</v>
      </c>
      <c r="I11" s="19" t="n">
        <v>500</v>
      </c>
      <c r="J11" s="20" t="s">
        <v>46</v>
      </c>
    </row>
    <row r="12" customFormat="false" ht="15" hidden="false" customHeight="false" outlineLevel="0" collapsed="false">
      <c r="B12" s="14" t="s">
        <v>47</v>
      </c>
      <c r="E12" s="14" t="s">
        <v>48</v>
      </c>
      <c r="G12" s="14" t="s">
        <v>49</v>
      </c>
      <c r="I12" s="21" t="n">
        <v>200</v>
      </c>
      <c r="J12" s="22" t="s">
        <v>46</v>
      </c>
    </row>
    <row r="13" customFormat="false" ht="15" hidden="false" customHeight="false" outlineLevel="0" collapsed="false">
      <c r="B13" s="18" t="s">
        <v>50</v>
      </c>
      <c r="E13" s="18" t="s">
        <v>51</v>
      </c>
      <c r="G13" s="18" t="s">
        <v>52</v>
      </c>
      <c r="I13" s="19" t="n">
        <v>100</v>
      </c>
      <c r="J13" s="20" t="s">
        <v>46</v>
      </c>
    </row>
    <row r="14" customFormat="false" ht="15" hidden="false" customHeight="false" outlineLevel="0" collapsed="false">
      <c r="B14" s="14" t="s">
        <v>53</v>
      </c>
      <c r="E14" s="14" t="s">
        <v>54</v>
      </c>
      <c r="G14" s="14" t="s">
        <v>55</v>
      </c>
      <c r="I14" s="21" t="n">
        <v>50</v>
      </c>
      <c r="J14" s="22" t="s">
        <v>46</v>
      </c>
    </row>
    <row r="15" customFormat="false" ht="15" hidden="false" customHeight="false" outlineLevel="0" collapsed="false">
      <c r="B15" s="18" t="s">
        <v>56</v>
      </c>
      <c r="E15" s="18" t="s">
        <v>57</v>
      </c>
      <c r="I15" s="19" t="n">
        <v>20</v>
      </c>
      <c r="J15" s="20" t="s">
        <v>46</v>
      </c>
    </row>
    <row r="16" customFormat="false" ht="15" hidden="false" customHeight="false" outlineLevel="0" collapsed="false">
      <c r="E16" s="14" t="s">
        <v>58</v>
      </c>
      <c r="I16" s="21" t="n">
        <v>10</v>
      </c>
      <c r="J16" s="22" t="s">
        <v>46</v>
      </c>
    </row>
    <row r="17" customFormat="false" ht="15" hidden="false" customHeight="false" outlineLevel="0" collapsed="false">
      <c r="E17" s="18" t="s">
        <v>59</v>
      </c>
      <c r="I17" s="19" t="n">
        <v>5</v>
      </c>
      <c r="J17" s="20" t="s">
        <v>46</v>
      </c>
    </row>
    <row r="18" customFormat="false" ht="15" hidden="false" customHeight="false" outlineLevel="0" collapsed="false">
      <c r="E18" s="14" t="s">
        <v>60</v>
      </c>
      <c r="I18" s="21" t="n">
        <v>2</v>
      </c>
      <c r="J18" s="22" t="s">
        <v>61</v>
      </c>
    </row>
    <row r="19" customFormat="false" ht="15" hidden="false" customHeight="false" outlineLevel="0" collapsed="false">
      <c r="E19" s="18" t="s">
        <v>62</v>
      </c>
      <c r="I19" s="19" t="n">
        <v>1</v>
      </c>
      <c r="J19" s="20" t="s">
        <v>61</v>
      </c>
    </row>
    <row r="20" customFormat="false" ht="15" hidden="false" customHeight="false" outlineLevel="0" collapsed="false">
      <c r="E20" s="14" t="s">
        <v>63</v>
      </c>
      <c r="I20" s="21" t="n">
        <v>0.5</v>
      </c>
      <c r="J20" s="22" t="s">
        <v>61</v>
      </c>
    </row>
    <row r="21" customFormat="false" ht="15" hidden="false" customHeight="false" outlineLevel="0" collapsed="false">
      <c r="E21" s="18" t="s">
        <v>64</v>
      </c>
      <c r="I21" s="19" t="n">
        <v>0.2</v>
      </c>
      <c r="J21" s="20" t="s">
        <v>61</v>
      </c>
    </row>
    <row r="22" customFormat="false" ht="15" hidden="false" customHeight="false" outlineLevel="0" collapsed="false">
      <c r="E22" s="14" t="s">
        <v>65</v>
      </c>
      <c r="I22" s="21" t="n">
        <v>0.1</v>
      </c>
      <c r="J22" s="22" t="s">
        <v>61</v>
      </c>
    </row>
    <row r="23" customFormat="false" ht="15" hidden="false" customHeight="false" outlineLevel="0" collapsed="false">
      <c r="I23" s="19" t="n">
        <v>0.05</v>
      </c>
      <c r="J23" s="20" t="s">
        <v>61</v>
      </c>
    </row>
    <row r="24" customFormat="false" ht="15" hidden="false" customHeight="false" outlineLevel="0" collapsed="false">
      <c r="I24" s="21" t="n">
        <v>0.02</v>
      </c>
      <c r="J24" s="22" t="s">
        <v>61</v>
      </c>
    </row>
    <row r="25" customFormat="false" ht="15" hidden="false" customHeight="false" outlineLevel="0" collapsed="false">
      <c r="I25" s="19" t="n">
        <v>0.01</v>
      </c>
      <c r="J25" s="20" t="s">
        <v>61</v>
      </c>
    </row>
    <row r="27" customFormat="false" ht="15" hidden="false" customHeight="false" outlineLevel="0" collapsed="false">
      <c r="B27" s="10" t="s">
        <v>66</v>
      </c>
      <c r="C27" s="10"/>
      <c r="D27" s="10"/>
      <c r="E27" s="10"/>
      <c r="F27" s="10"/>
      <c r="G27" s="10"/>
      <c r="H27" s="10"/>
    </row>
  </sheetData>
  <mergeCells count="5">
    <mergeCell ref="A1:J2"/>
    <mergeCell ref="A3:J3"/>
    <mergeCell ref="B4:C4"/>
    <mergeCell ref="I9:J9"/>
    <mergeCell ref="B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8" min="6" style="0" width="15"/>
  </cols>
  <sheetData>
    <row r="1" customFormat="false" ht="19.5" hidden="false" customHeight="true" outlineLevel="0" collapsed="false">
      <c r="A1" s="1" t="s">
        <v>67</v>
      </c>
      <c r="B1" s="1"/>
      <c r="C1" s="1"/>
      <c r="D1" s="1"/>
      <c r="E1" s="1"/>
      <c r="F1" s="1"/>
      <c r="G1" s="1"/>
      <c r="H1" s="1"/>
    </row>
    <row r="2" customFormat="false" ht="15.75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A3" s="2" t="s">
        <v>68</v>
      </c>
      <c r="B3" s="2"/>
      <c r="C3" s="2"/>
      <c r="D3" s="2"/>
      <c r="E3" s="2"/>
      <c r="F3" s="2"/>
      <c r="G3" s="2"/>
      <c r="H3" s="2"/>
    </row>
    <row r="5" customFormat="false" ht="30" hidden="false" customHeight="true" outlineLevel="0" collapsed="false">
      <c r="A5" s="23" t="s">
        <v>69</v>
      </c>
      <c r="B5" s="23" t="s">
        <v>70</v>
      </c>
      <c r="C5" s="23" t="s">
        <v>71</v>
      </c>
      <c r="D5" s="23" t="s">
        <v>72</v>
      </c>
      <c r="E5" s="23" t="s">
        <v>38</v>
      </c>
      <c r="F5" s="23" t="s">
        <v>73</v>
      </c>
      <c r="G5" s="23" t="s">
        <v>74</v>
      </c>
      <c r="H5" s="23" t="s">
        <v>75</v>
      </c>
    </row>
    <row r="6" customFormat="false" ht="15" hidden="false" customHeight="false" outlineLevel="0" collapsed="false">
      <c r="A6" s="24" t="n">
        <v>46391</v>
      </c>
      <c r="B6" s="25" t="s">
        <v>76</v>
      </c>
      <c r="C6" s="18" t="s">
        <v>77</v>
      </c>
      <c r="D6" s="18" t="s">
        <v>51</v>
      </c>
      <c r="E6" s="18" t="s">
        <v>43</v>
      </c>
      <c r="F6" s="26" t="n">
        <v>145.5</v>
      </c>
      <c r="G6" s="26"/>
      <c r="H6" s="27" t="n">
        <f aca="false">IF(AND(F6="",G6=""),"",N(F6)-N(G6))</f>
        <v>145.5</v>
      </c>
    </row>
    <row r="7" customFormat="false" ht="15" hidden="false" customHeight="false" outlineLevel="0" collapsed="false">
      <c r="A7" s="28" t="n">
        <v>46391</v>
      </c>
      <c r="B7" s="29" t="s">
        <v>78</v>
      </c>
      <c r="C7" s="14" t="s">
        <v>79</v>
      </c>
      <c r="D7" s="14" t="s">
        <v>44</v>
      </c>
      <c r="E7" s="14" t="s">
        <v>47</v>
      </c>
      <c r="F7" s="30" t="n">
        <v>89.9</v>
      </c>
      <c r="G7" s="30"/>
      <c r="H7" s="27" t="n">
        <f aca="false">IF(AND(F7="",G7=""),"",N(F7)-N(G7))</f>
        <v>89.9</v>
      </c>
    </row>
    <row r="8" customFormat="false" ht="15" hidden="false" customHeight="false" outlineLevel="0" collapsed="false">
      <c r="A8" s="24" t="n">
        <v>46391</v>
      </c>
      <c r="B8" s="25" t="s">
        <v>80</v>
      </c>
      <c r="C8" s="18" t="s">
        <v>81</v>
      </c>
      <c r="D8" s="18" t="s">
        <v>48</v>
      </c>
      <c r="E8" s="18" t="s">
        <v>50</v>
      </c>
      <c r="F8" s="26" t="n">
        <v>120</v>
      </c>
      <c r="G8" s="26"/>
      <c r="H8" s="27" t="n">
        <f aca="false">IF(AND(F8="",G8=""),"",N(F8)-N(G8))</f>
        <v>120</v>
      </c>
    </row>
    <row r="9" customFormat="false" ht="15" hidden="false" customHeight="false" outlineLevel="0" collapsed="false">
      <c r="A9" s="28" t="n">
        <v>46391</v>
      </c>
      <c r="B9" s="29" t="s">
        <v>82</v>
      </c>
      <c r="C9" s="14" t="s">
        <v>83</v>
      </c>
      <c r="D9" s="14" t="s">
        <v>51</v>
      </c>
      <c r="E9" s="14" t="s">
        <v>53</v>
      </c>
      <c r="F9" s="30" t="n">
        <v>19.8</v>
      </c>
      <c r="G9" s="30"/>
      <c r="H9" s="27" t="n">
        <f aca="false">IF(AND(F9="",G9=""),"",N(F9)-N(G9))</f>
        <v>19.8</v>
      </c>
    </row>
    <row r="10" customFormat="false" ht="15" hidden="false" customHeight="false" outlineLevel="0" collapsed="false">
      <c r="A10" s="24" t="n">
        <v>46391</v>
      </c>
      <c r="B10" s="25" t="s">
        <v>84</v>
      </c>
      <c r="C10" s="18" t="s">
        <v>85</v>
      </c>
      <c r="D10" s="18" t="s">
        <v>59</v>
      </c>
      <c r="E10" s="18" t="s">
        <v>43</v>
      </c>
      <c r="F10" s="26"/>
      <c r="G10" s="26" t="n">
        <v>32.4</v>
      </c>
      <c r="H10" s="27" t="n">
        <f aca="false">IF(AND(F10="",G10=""),"",N(F10)-N(G10))</f>
        <v>-32.4</v>
      </c>
    </row>
    <row r="11" customFormat="false" ht="15" hidden="false" customHeight="false" outlineLevel="0" collapsed="false">
      <c r="A11" s="28" t="n">
        <v>46391</v>
      </c>
      <c r="B11" s="29" t="s">
        <v>86</v>
      </c>
      <c r="C11" s="14" t="s">
        <v>87</v>
      </c>
      <c r="D11" s="14" t="s">
        <v>51</v>
      </c>
      <c r="E11" s="14" t="s">
        <v>43</v>
      </c>
      <c r="F11" s="30" t="n">
        <v>210</v>
      </c>
      <c r="G11" s="30"/>
      <c r="H11" s="27" t="n">
        <f aca="false">IF(AND(F11="",G11=""),"",N(F11)-N(G11))</f>
        <v>210</v>
      </c>
    </row>
    <row r="12" customFormat="false" ht="15" hidden="false" customHeight="false" outlineLevel="0" collapsed="false">
      <c r="A12" s="24" t="n">
        <v>46392</v>
      </c>
      <c r="B12" s="25" t="s">
        <v>88</v>
      </c>
      <c r="C12" s="18" t="s">
        <v>51</v>
      </c>
      <c r="D12" s="18" t="s">
        <v>51</v>
      </c>
      <c r="E12" s="18" t="s">
        <v>43</v>
      </c>
      <c r="F12" s="26" t="n">
        <v>175.25</v>
      </c>
      <c r="G12" s="26"/>
      <c r="H12" s="27" t="n">
        <f aca="false">IF(AND(F12="",G12=""),"",N(F12)-N(G12))</f>
        <v>175.25</v>
      </c>
    </row>
    <row r="13" customFormat="false" ht="15" hidden="false" customHeight="false" outlineLevel="0" collapsed="false">
      <c r="A13" s="28" t="n">
        <v>46392</v>
      </c>
      <c r="B13" s="29" t="s">
        <v>89</v>
      </c>
      <c r="C13" s="14" t="s">
        <v>90</v>
      </c>
      <c r="D13" s="14" t="s">
        <v>44</v>
      </c>
      <c r="E13" s="14" t="s">
        <v>47</v>
      </c>
      <c r="F13" s="30" t="n">
        <v>245</v>
      </c>
      <c r="G13" s="30"/>
      <c r="H13" s="27" t="n">
        <f aca="false">IF(AND(F13="",G13=""),"",N(F13)-N(G13))</f>
        <v>245</v>
      </c>
    </row>
    <row r="14" customFormat="false" ht="15" hidden="false" customHeight="false" outlineLevel="0" collapsed="false">
      <c r="A14" s="24" t="n">
        <v>46392</v>
      </c>
      <c r="B14" s="25" t="s">
        <v>91</v>
      </c>
      <c r="C14" s="18" t="s">
        <v>92</v>
      </c>
      <c r="D14" s="18" t="s">
        <v>54</v>
      </c>
      <c r="E14" s="18" t="s">
        <v>50</v>
      </c>
      <c r="F14" s="26" t="n">
        <v>300</v>
      </c>
      <c r="G14" s="26"/>
      <c r="H14" s="27" t="n">
        <f aca="false">IF(AND(F14="",G14=""),"",N(F14)-N(G14))</f>
        <v>300</v>
      </c>
    </row>
    <row r="15" customFormat="false" ht="15" hidden="false" customHeight="false" outlineLevel="0" collapsed="false">
      <c r="A15" s="28" t="n">
        <v>46392</v>
      </c>
      <c r="B15" s="29" t="s">
        <v>93</v>
      </c>
      <c r="C15" s="14" t="s">
        <v>94</v>
      </c>
      <c r="D15" s="14" t="s">
        <v>57</v>
      </c>
      <c r="E15" s="14" t="s">
        <v>43</v>
      </c>
      <c r="F15" s="30" t="n">
        <v>15</v>
      </c>
      <c r="G15" s="30"/>
      <c r="H15" s="27" t="n">
        <f aca="false">IF(AND(F15="",G15=""),"",N(F15)-N(G15))</f>
        <v>15</v>
      </c>
    </row>
    <row r="16" customFormat="false" ht="15" hidden="false" customHeight="false" outlineLevel="0" collapsed="false">
      <c r="A16" s="24" t="n">
        <v>46392</v>
      </c>
      <c r="B16" s="25" t="s">
        <v>95</v>
      </c>
      <c r="C16" s="18" t="s">
        <v>63</v>
      </c>
      <c r="D16" s="18" t="s">
        <v>63</v>
      </c>
      <c r="E16" s="18" t="s">
        <v>43</v>
      </c>
      <c r="F16" s="26"/>
      <c r="G16" s="26" t="n">
        <v>24.9</v>
      </c>
      <c r="H16" s="27" t="n">
        <f aca="false">IF(AND(F16="",G16=""),"",N(F16)-N(G16))</f>
        <v>-24.9</v>
      </c>
    </row>
    <row r="17" customFormat="false" ht="15" hidden="false" customHeight="false" outlineLevel="0" collapsed="false">
      <c r="A17" s="28" t="n">
        <v>46392</v>
      </c>
      <c r="B17" s="29" t="s">
        <v>96</v>
      </c>
      <c r="C17" s="14" t="s">
        <v>97</v>
      </c>
      <c r="D17" s="14" t="s">
        <v>62</v>
      </c>
      <c r="E17" s="14" t="s">
        <v>43</v>
      </c>
      <c r="F17" s="30"/>
      <c r="G17" s="30" t="n">
        <v>12.6</v>
      </c>
      <c r="H17" s="27" t="n">
        <f aca="false">IF(AND(F17="",G17=""),"",N(F17)-N(G17))</f>
        <v>-12.6</v>
      </c>
    </row>
    <row r="18" customFormat="false" ht="15" hidden="false" customHeight="false" outlineLevel="0" collapsed="false">
      <c r="A18" s="24" t="n">
        <v>46392</v>
      </c>
      <c r="B18" s="25" t="s">
        <v>98</v>
      </c>
      <c r="C18" s="18" t="s">
        <v>99</v>
      </c>
      <c r="D18" s="18" t="s">
        <v>51</v>
      </c>
      <c r="E18" s="18" t="s">
        <v>53</v>
      </c>
      <c r="F18" s="26" t="n">
        <v>25.4</v>
      </c>
      <c r="G18" s="26"/>
      <c r="H18" s="27" t="n">
        <f aca="false">IF(AND(F18="",G18=""),"",N(F18)-N(G18))</f>
        <v>25.4</v>
      </c>
    </row>
    <row r="19" customFormat="false" ht="15" hidden="false" customHeight="false" outlineLevel="0" collapsed="false">
      <c r="A19" s="28" t="n">
        <v>46393</v>
      </c>
      <c r="B19" s="29" t="s">
        <v>100</v>
      </c>
      <c r="C19" s="14" t="s">
        <v>77</v>
      </c>
      <c r="D19" s="14" t="s">
        <v>51</v>
      </c>
      <c r="E19" s="14" t="s">
        <v>43</v>
      </c>
      <c r="F19" s="30" t="n">
        <v>132</v>
      </c>
      <c r="G19" s="30"/>
      <c r="H19" s="27" t="n">
        <f aca="false">IF(AND(F19="",G19=""),"",N(F19)-N(G19))</f>
        <v>132</v>
      </c>
    </row>
    <row r="20" customFormat="false" ht="15" hidden="false" customHeight="false" outlineLevel="0" collapsed="false">
      <c r="A20" s="24" t="n">
        <v>46393</v>
      </c>
      <c r="B20" s="25" t="s">
        <v>101</v>
      </c>
      <c r="C20" s="18" t="s">
        <v>102</v>
      </c>
      <c r="D20" s="18" t="s">
        <v>44</v>
      </c>
      <c r="E20" s="18" t="s">
        <v>47</v>
      </c>
      <c r="F20" s="26" t="n">
        <v>156.7</v>
      </c>
      <c r="G20" s="26"/>
      <c r="H20" s="27" t="n">
        <f aca="false">IF(AND(F20="",G20=""),"",N(F20)-N(G20))</f>
        <v>156.7</v>
      </c>
    </row>
    <row r="21" customFormat="false" ht="15" hidden="false" customHeight="false" outlineLevel="0" collapsed="false">
      <c r="A21" s="28" t="n">
        <v>46393</v>
      </c>
      <c r="B21" s="29" t="s">
        <v>103</v>
      </c>
      <c r="C21" s="14" t="s">
        <v>104</v>
      </c>
      <c r="D21" s="14" t="s">
        <v>48</v>
      </c>
      <c r="E21" s="14" t="s">
        <v>47</v>
      </c>
      <c r="F21" s="30" t="n">
        <v>95</v>
      </c>
      <c r="G21" s="30"/>
      <c r="H21" s="27" t="n">
        <f aca="false">IF(AND(F21="",G21=""),"",N(F21)-N(G21))</f>
        <v>95</v>
      </c>
    </row>
    <row r="22" customFormat="false" ht="15" hidden="false" customHeight="false" outlineLevel="0" collapsed="false">
      <c r="A22" s="24" t="n">
        <v>46393</v>
      </c>
      <c r="B22" s="25" t="s">
        <v>105</v>
      </c>
      <c r="C22" s="18" t="s">
        <v>106</v>
      </c>
      <c r="D22" s="18" t="s">
        <v>60</v>
      </c>
      <c r="E22" s="18" t="s">
        <v>43</v>
      </c>
      <c r="F22" s="26"/>
      <c r="G22" s="26" t="n">
        <v>8.5</v>
      </c>
      <c r="H22" s="27" t="n">
        <f aca="false">IF(AND(F22="",G22=""),"",N(F22)-N(G22))</f>
        <v>-8.5</v>
      </c>
    </row>
    <row r="23" customFormat="false" ht="15" hidden="false" customHeight="false" outlineLevel="0" collapsed="false">
      <c r="A23" s="28" t="n">
        <v>46393</v>
      </c>
      <c r="B23" s="29" t="s">
        <v>107</v>
      </c>
      <c r="C23" s="14" t="s">
        <v>87</v>
      </c>
      <c r="D23" s="14" t="s">
        <v>51</v>
      </c>
      <c r="E23" s="14" t="s">
        <v>43</v>
      </c>
      <c r="F23" s="30" t="n">
        <v>188.3</v>
      </c>
      <c r="G23" s="30"/>
      <c r="H23" s="27" t="n">
        <f aca="false">IF(AND(F23="",G23=""),"",N(F23)-N(G23))</f>
        <v>188.3</v>
      </c>
    </row>
    <row r="24" customFormat="false" ht="15" hidden="false" customHeight="false" outlineLevel="0" collapsed="false">
      <c r="A24" s="24" t="n">
        <v>46393</v>
      </c>
      <c r="B24" s="25" t="s">
        <v>108</v>
      </c>
      <c r="C24" s="18" t="s">
        <v>109</v>
      </c>
      <c r="D24" s="18" t="s">
        <v>64</v>
      </c>
      <c r="E24" s="18" t="s">
        <v>43</v>
      </c>
      <c r="F24" s="26"/>
      <c r="G24" s="26" t="n">
        <v>40</v>
      </c>
      <c r="H24" s="27" t="n">
        <f aca="false">IF(AND(F24="",G24=""),"",N(F24)-N(G24))</f>
        <v>-40</v>
      </c>
    </row>
    <row r="25" customFormat="false" ht="15" hidden="false" customHeight="false" outlineLevel="0" collapsed="false">
      <c r="A25" s="28"/>
      <c r="B25" s="29"/>
      <c r="C25" s="14"/>
      <c r="D25" s="14"/>
      <c r="E25" s="14"/>
      <c r="F25" s="30"/>
      <c r="G25" s="30"/>
      <c r="H25" s="27" t="str">
        <f aca="false">IF(AND(F25="",G25=""),"",N(F25)-N(G25))</f>
        <v/>
      </c>
    </row>
    <row r="26" customFormat="false" ht="15" hidden="false" customHeight="false" outlineLevel="0" collapsed="false">
      <c r="A26" s="24"/>
      <c r="B26" s="25"/>
      <c r="C26" s="18"/>
      <c r="D26" s="18"/>
      <c r="E26" s="18"/>
      <c r="F26" s="26"/>
      <c r="G26" s="26"/>
      <c r="H26" s="27" t="str">
        <f aca="false">IF(AND(F26="",G26=""),"",N(F26)-N(G26))</f>
        <v/>
      </c>
    </row>
    <row r="27" customFormat="false" ht="15" hidden="false" customHeight="false" outlineLevel="0" collapsed="false">
      <c r="A27" s="28"/>
      <c r="B27" s="29"/>
      <c r="C27" s="14"/>
      <c r="D27" s="14"/>
      <c r="E27" s="14"/>
      <c r="F27" s="30"/>
      <c r="G27" s="30"/>
      <c r="H27" s="27" t="str">
        <f aca="false">IF(AND(F27="",G27=""),"",N(F27)-N(G27))</f>
        <v/>
      </c>
    </row>
    <row r="28" customFormat="false" ht="15" hidden="false" customHeight="false" outlineLevel="0" collapsed="false">
      <c r="A28" s="24"/>
      <c r="B28" s="25"/>
      <c r="C28" s="18"/>
      <c r="D28" s="18"/>
      <c r="E28" s="18"/>
      <c r="F28" s="26"/>
      <c r="G28" s="26"/>
      <c r="H28" s="27" t="str">
        <f aca="false">IF(AND(F28="",G28=""),"",N(F28)-N(G28))</f>
        <v/>
      </c>
    </row>
    <row r="29" customFormat="false" ht="15" hidden="false" customHeight="false" outlineLevel="0" collapsed="false">
      <c r="A29" s="28"/>
      <c r="B29" s="29"/>
      <c r="C29" s="14"/>
      <c r="D29" s="14"/>
      <c r="E29" s="14"/>
      <c r="F29" s="30"/>
      <c r="G29" s="30"/>
      <c r="H29" s="27" t="str">
        <f aca="false">IF(AND(F29="",G29=""),"",N(F29)-N(G29))</f>
        <v/>
      </c>
    </row>
    <row r="30" customFormat="false" ht="15" hidden="false" customHeight="false" outlineLevel="0" collapsed="false">
      <c r="A30" s="24"/>
      <c r="B30" s="25"/>
      <c r="C30" s="18"/>
      <c r="D30" s="18"/>
      <c r="E30" s="18"/>
      <c r="F30" s="26"/>
      <c r="G30" s="26"/>
      <c r="H30" s="27" t="str">
        <f aca="false">IF(AND(F30="",G30=""),"",N(F30)-N(G30))</f>
        <v/>
      </c>
    </row>
    <row r="31" customFormat="false" ht="15" hidden="false" customHeight="false" outlineLevel="0" collapsed="false">
      <c r="A31" s="28"/>
      <c r="B31" s="29"/>
      <c r="C31" s="14"/>
      <c r="D31" s="14"/>
      <c r="E31" s="14"/>
      <c r="F31" s="30"/>
      <c r="G31" s="30"/>
      <c r="H31" s="27" t="str">
        <f aca="false">IF(AND(F31="",G31=""),"",N(F31)-N(G31))</f>
        <v/>
      </c>
    </row>
    <row r="32" customFormat="false" ht="15" hidden="false" customHeight="false" outlineLevel="0" collapsed="false">
      <c r="A32" s="24"/>
      <c r="B32" s="25"/>
      <c r="C32" s="18"/>
      <c r="D32" s="18"/>
      <c r="E32" s="18"/>
      <c r="F32" s="26"/>
      <c r="G32" s="26"/>
      <c r="H32" s="27" t="str">
        <f aca="false">IF(AND(F32="",G32=""),"",N(F32)-N(G32))</f>
        <v/>
      </c>
    </row>
    <row r="33" customFormat="false" ht="15" hidden="false" customHeight="false" outlineLevel="0" collapsed="false">
      <c r="A33" s="28"/>
      <c r="B33" s="29"/>
      <c r="C33" s="14"/>
      <c r="D33" s="14"/>
      <c r="E33" s="14"/>
      <c r="F33" s="30"/>
      <c r="G33" s="30"/>
      <c r="H33" s="27" t="str">
        <f aca="false">IF(AND(F33="",G33=""),"",N(F33)-N(G33))</f>
        <v/>
      </c>
    </row>
    <row r="34" customFormat="false" ht="15" hidden="false" customHeight="false" outlineLevel="0" collapsed="false">
      <c r="A34" s="24"/>
      <c r="B34" s="25"/>
      <c r="C34" s="18"/>
      <c r="D34" s="18"/>
      <c r="E34" s="18"/>
      <c r="F34" s="26"/>
      <c r="G34" s="26"/>
      <c r="H34" s="27" t="str">
        <f aca="false">IF(AND(F34="",G34=""),"",N(F34)-N(G34))</f>
        <v/>
      </c>
    </row>
    <row r="35" customFormat="false" ht="15" hidden="false" customHeight="false" outlineLevel="0" collapsed="false">
      <c r="A35" s="28"/>
      <c r="B35" s="29"/>
      <c r="C35" s="14"/>
      <c r="D35" s="14"/>
      <c r="E35" s="14"/>
      <c r="F35" s="30"/>
      <c r="G35" s="30"/>
      <c r="H35" s="27" t="str">
        <f aca="false">IF(AND(F35="",G35=""),"",N(F35)-N(G35))</f>
        <v/>
      </c>
    </row>
    <row r="36" customFormat="false" ht="15" hidden="false" customHeight="false" outlineLevel="0" collapsed="false">
      <c r="A36" s="24"/>
      <c r="B36" s="25"/>
      <c r="C36" s="18"/>
      <c r="D36" s="18"/>
      <c r="E36" s="18"/>
      <c r="F36" s="26"/>
      <c r="G36" s="26"/>
      <c r="H36" s="27" t="str">
        <f aca="false">IF(AND(F36="",G36=""),"",N(F36)-N(G36))</f>
        <v/>
      </c>
    </row>
    <row r="37" customFormat="false" ht="15" hidden="false" customHeight="false" outlineLevel="0" collapsed="false">
      <c r="A37" s="28"/>
      <c r="B37" s="29"/>
      <c r="C37" s="14"/>
      <c r="D37" s="14"/>
      <c r="E37" s="14"/>
      <c r="F37" s="30"/>
      <c r="G37" s="30"/>
      <c r="H37" s="27" t="str">
        <f aca="false">IF(AND(F37="",G37=""),"",N(F37)-N(G37))</f>
        <v/>
      </c>
    </row>
    <row r="38" customFormat="false" ht="15" hidden="false" customHeight="false" outlineLevel="0" collapsed="false">
      <c r="A38" s="24"/>
      <c r="B38" s="25"/>
      <c r="C38" s="18"/>
      <c r="D38" s="18"/>
      <c r="E38" s="18"/>
      <c r="F38" s="26"/>
      <c r="G38" s="26"/>
      <c r="H38" s="27" t="str">
        <f aca="false">IF(AND(F38="",G38=""),"",N(F38)-N(G38))</f>
        <v/>
      </c>
    </row>
    <row r="39" customFormat="false" ht="15" hidden="false" customHeight="false" outlineLevel="0" collapsed="false">
      <c r="A39" s="28"/>
      <c r="B39" s="29"/>
      <c r="C39" s="14"/>
      <c r="D39" s="14"/>
      <c r="E39" s="14"/>
      <c r="F39" s="30"/>
      <c r="G39" s="30"/>
      <c r="H39" s="27" t="str">
        <f aca="false">IF(AND(F39="",G39=""),"",N(F39)-N(G39))</f>
        <v/>
      </c>
    </row>
    <row r="40" customFormat="false" ht="15" hidden="false" customHeight="false" outlineLevel="0" collapsed="false">
      <c r="A40" s="24"/>
      <c r="B40" s="25"/>
      <c r="C40" s="18"/>
      <c r="D40" s="18"/>
      <c r="E40" s="18"/>
      <c r="F40" s="26"/>
      <c r="G40" s="26"/>
      <c r="H40" s="27" t="str">
        <f aca="false">IF(AND(F40="",G40=""),"",N(F40)-N(G40))</f>
        <v/>
      </c>
    </row>
    <row r="41" customFormat="false" ht="15" hidden="false" customHeight="false" outlineLevel="0" collapsed="false">
      <c r="A41" s="28"/>
      <c r="B41" s="29"/>
      <c r="C41" s="14"/>
      <c r="D41" s="14"/>
      <c r="E41" s="14"/>
      <c r="F41" s="30"/>
      <c r="G41" s="30"/>
      <c r="H41" s="27" t="str">
        <f aca="false">IF(AND(F41="",G41=""),"",N(F41)-N(G41))</f>
        <v/>
      </c>
    </row>
    <row r="42" customFormat="false" ht="15" hidden="false" customHeight="false" outlineLevel="0" collapsed="false">
      <c r="A42" s="24"/>
      <c r="B42" s="25"/>
      <c r="C42" s="18"/>
      <c r="D42" s="18"/>
      <c r="E42" s="18"/>
      <c r="F42" s="26"/>
      <c r="G42" s="26"/>
      <c r="H42" s="27" t="str">
        <f aca="false">IF(AND(F42="",G42=""),"",N(F42)-N(G42))</f>
        <v/>
      </c>
    </row>
    <row r="43" customFormat="false" ht="15" hidden="false" customHeight="false" outlineLevel="0" collapsed="false">
      <c r="A43" s="28"/>
      <c r="B43" s="29"/>
      <c r="C43" s="14"/>
      <c r="D43" s="14"/>
      <c r="E43" s="14"/>
      <c r="F43" s="30"/>
      <c r="G43" s="30"/>
      <c r="H43" s="27" t="str">
        <f aca="false">IF(AND(F43="",G43=""),"",N(F43)-N(G43))</f>
        <v/>
      </c>
    </row>
    <row r="44" customFormat="false" ht="15" hidden="false" customHeight="false" outlineLevel="0" collapsed="false">
      <c r="A44" s="24"/>
      <c r="B44" s="25"/>
      <c r="C44" s="18"/>
      <c r="D44" s="18"/>
      <c r="E44" s="18"/>
      <c r="F44" s="26"/>
      <c r="G44" s="26"/>
      <c r="H44" s="27" t="str">
        <f aca="false">IF(AND(F44="",G44=""),"",N(F44)-N(G44))</f>
        <v/>
      </c>
    </row>
    <row r="45" customFormat="false" ht="15" hidden="false" customHeight="false" outlineLevel="0" collapsed="false">
      <c r="A45" s="28"/>
      <c r="B45" s="29"/>
      <c r="C45" s="14"/>
      <c r="D45" s="14"/>
      <c r="E45" s="14"/>
      <c r="F45" s="30"/>
      <c r="G45" s="30"/>
      <c r="H45" s="27" t="str">
        <f aca="false">IF(AND(F45="",G45=""),"",N(F45)-N(G45))</f>
        <v/>
      </c>
    </row>
    <row r="46" customFormat="false" ht="15" hidden="false" customHeight="false" outlineLevel="0" collapsed="false">
      <c r="A46" s="24"/>
      <c r="B46" s="25"/>
      <c r="C46" s="18"/>
      <c r="D46" s="18"/>
      <c r="E46" s="18"/>
      <c r="F46" s="26"/>
      <c r="G46" s="26"/>
      <c r="H46" s="27" t="str">
        <f aca="false">IF(AND(F46="",G46=""),"",N(F46)-N(G46))</f>
        <v/>
      </c>
    </row>
    <row r="47" customFormat="false" ht="15" hidden="false" customHeight="false" outlineLevel="0" collapsed="false">
      <c r="A47" s="28"/>
      <c r="B47" s="29"/>
      <c r="C47" s="14"/>
      <c r="D47" s="14"/>
      <c r="E47" s="14"/>
      <c r="F47" s="30"/>
      <c r="G47" s="30"/>
      <c r="H47" s="27" t="str">
        <f aca="false">IF(AND(F47="",G47=""),"",N(F47)-N(G47))</f>
        <v/>
      </c>
    </row>
    <row r="48" customFormat="false" ht="15" hidden="false" customHeight="false" outlineLevel="0" collapsed="false">
      <c r="A48" s="24"/>
      <c r="B48" s="25"/>
      <c r="C48" s="18"/>
      <c r="D48" s="18"/>
      <c r="E48" s="18"/>
      <c r="F48" s="26"/>
      <c r="G48" s="26"/>
      <c r="H48" s="27" t="str">
        <f aca="false">IF(AND(F48="",G48=""),"",N(F48)-N(G48))</f>
        <v/>
      </c>
    </row>
    <row r="49" customFormat="false" ht="15" hidden="false" customHeight="false" outlineLevel="0" collapsed="false">
      <c r="A49" s="28"/>
      <c r="B49" s="29"/>
      <c r="C49" s="14"/>
      <c r="D49" s="14"/>
      <c r="E49" s="14"/>
      <c r="F49" s="30"/>
      <c r="G49" s="30"/>
      <c r="H49" s="27" t="str">
        <f aca="false">IF(AND(F49="",G49=""),"",N(F49)-N(G49))</f>
        <v/>
      </c>
    </row>
    <row r="50" customFormat="false" ht="15" hidden="false" customHeight="false" outlineLevel="0" collapsed="false">
      <c r="A50" s="24"/>
      <c r="B50" s="25"/>
      <c r="C50" s="18"/>
      <c r="D50" s="18"/>
      <c r="E50" s="18"/>
      <c r="F50" s="26"/>
      <c r="G50" s="26"/>
      <c r="H50" s="27" t="str">
        <f aca="false">IF(AND(F50="",G50=""),"",N(F50)-N(G50))</f>
        <v/>
      </c>
    </row>
    <row r="51" customFormat="false" ht="15" hidden="false" customHeight="false" outlineLevel="0" collapsed="false">
      <c r="A51" s="28"/>
      <c r="B51" s="29"/>
      <c r="C51" s="14"/>
      <c r="D51" s="14"/>
      <c r="E51" s="14"/>
      <c r="F51" s="30"/>
      <c r="G51" s="30"/>
      <c r="H51" s="27" t="str">
        <f aca="false">IF(AND(F51="",G51=""),"",N(F51)-N(G51))</f>
        <v/>
      </c>
    </row>
    <row r="52" customFormat="false" ht="15" hidden="false" customHeight="false" outlineLevel="0" collapsed="false">
      <c r="A52" s="24"/>
      <c r="B52" s="25"/>
      <c r="C52" s="18"/>
      <c r="D52" s="18"/>
      <c r="E52" s="18"/>
      <c r="F52" s="26"/>
      <c r="G52" s="26"/>
      <c r="H52" s="27" t="str">
        <f aca="false">IF(AND(F52="",G52=""),"",N(F52)-N(G52))</f>
        <v/>
      </c>
    </row>
    <row r="53" customFormat="false" ht="15" hidden="false" customHeight="false" outlineLevel="0" collapsed="false">
      <c r="A53" s="28"/>
      <c r="B53" s="29"/>
      <c r="C53" s="14"/>
      <c r="D53" s="14"/>
      <c r="E53" s="14"/>
      <c r="F53" s="30"/>
      <c r="G53" s="30"/>
      <c r="H53" s="27" t="str">
        <f aca="false">IF(AND(F53="",G53=""),"",N(F53)-N(G53))</f>
        <v/>
      </c>
    </row>
    <row r="54" customFormat="false" ht="15" hidden="false" customHeight="false" outlineLevel="0" collapsed="false">
      <c r="A54" s="24"/>
      <c r="B54" s="25"/>
      <c r="C54" s="18"/>
      <c r="D54" s="18"/>
      <c r="E54" s="18"/>
      <c r="F54" s="26"/>
      <c r="G54" s="26"/>
      <c r="H54" s="27" t="str">
        <f aca="false">IF(AND(F54="",G54=""),"",N(F54)-N(G54))</f>
        <v/>
      </c>
    </row>
    <row r="55" customFormat="false" ht="15" hidden="false" customHeight="false" outlineLevel="0" collapsed="false">
      <c r="A55" s="28"/>
      <c r="B55" s="29"/>
      <c r="C55" s="14"/>
      <c r="D55" s="14"/>
      <c r="E55" s="14"/>
      <c r="F55" s="30"/>
      <c r="G55" s="30"/>
      <c r="H55" s="27" t="str">
        <f aca="false">IF(AND(F55="",G55=""),"",N(F55)-N(G55))</f>
        <v/>
      </c>
    </row>
    <row r="56" customFormat="false" ht="15" hidden="false" customHeight="false" outlineLevel="0" collapsed="false">
      <c r="A56" s="24"/>
      <c r="B56" s="25"/>
      <c r="C56" s="18"/>
      <c r="D56" s="18"/>
      <c r="E56" s="18"/>
      <c r="F56" s="26"/>
      <c r="G56" s="26"/>
      <c r="H56" s="27" t="str">
        <f aca="false">IF(AND(F56="",G56=""),"",N(F56)-N(G56))</f>
        <v/>
      </c>
    </row>
    <row r="57" customFormat="false" ht="15" hidden="false" customHeight="false" outlineLevel="0" collapsed="false">
      <c r="A57" s="28"/>
      <c r="B57" s="29"/>
      <c r="C57" s="14"/>
      <c r="D57" s="14"/>
      <c r="E57" s="14"/>
      <c r="F57" s="30"/>
      <c r="G57" s="30"/>
      <c r="H57" s="27" t="str">
        <f aca="false">IF(AND(F57="",G57=""),"",N(F57)-N(G57))</f>
        <v/>
      </c>
    </row>
    <row r="58" customFormat="false" ht="15" hidden="false" customHeight="false" outlineLevel="0" collapsed="false">
      <c r="A58" s="24"/>
      <c r="B58" s="25"/>
      <c r="C58" s="18"/>
      <c r="D58" s="18"/>
      <c r="E58" s="18"/>
      <c r="F58" s="26"/>
      <c r="G58" s="26"/>
      <c r="H58" s="27" t="str">
        <f aca="false">IF(AND(F58="",G58=""),"",N(F58)-N(G58))</f>
        <v/>
      </c>
    </row>
    <row r="59" customFormat="false" ht="15" hidden="false" customHeight="false" outlineLevel="0" collapsed="false">
      <c r="A59" s="28"/>
      <c r="B59" s="29"/>
      <c r="C59" s="14"/>
      <c r="D59" s="14"/>
      <c r="E59" s="14"/>
      <c r="F59" s="30"/>
      <c r="G59" s="30"/>
      <c r="H59" s="27" t="str">
        <f aca="false">IF(AND(F59="",G59=""),"",N(F59)-N(G59))</f>
        <v/>
      </c>
    </row>
    <row r="60" customFormat="false" ht="15" hidden="false" customHeight="false" outlineLevel="0" collapsed="false">
      <c r="A60" s="24"/>
      <c r="B60" s="25"/>
      <c r="C60" s="18"/>
      <c r="D60" s="18"/>
      <c r="E60" s="18"/>
      <c r="F60" s="26"/>
      <c r="G60" s="26"/>
      <c r="H60" s="27" t="str">
        <f aca="false">IF(AND(F60="",G60=""),"",N(F60)-N(G60))</f>
        <v/>
      </c>
    </row>
    <row r="61" customFormat="false" ht="19.5" hidden="false" customHeight="true" outlineLevel="0" collapsed="false">
      <c r="A61" s="31"/>
      <c r="B61" s="31"/>
      <c r="C61" s="31"/>
      <c r="D61" s="31"/>
      <c r="E61" s="32" t="s">
        <v>110</v>
      </c>
      <c r="F61" s="33" t="n">
        <f aca="false">SUM(F6:F60)</f>
        <v>1917.85</v>
      </c>
      <c r="G61" s="33" t="n">
        <f aca="false">SUM(G6:G60)</f>
        <v>118.4</v>
      </c>
      <c r="H61" s="33" t="n">
        <f aca="false">SUM(H6:H60)</f>
        <v>1799.45</v>
      </c>
    </row>
  </sheetData>
  <mergeCells count="2">
    <mergeCell ref="A1:H2"/>
    <mergeCell ref="A3:H3"/>
  </mergeCells>
  <conditionalFormatting sqref="H6:H60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dataValidations count="3">
    <dataValidation allowBlank="true" errorStyle="stop" operator="between" showDropDown="false" showErrorMessage="false" showInputMessage="false" sqref="E6:E60" type="list">
      <formula1>Paramètres!$B$11:$B$15</formula1>
      <formula2>0</formula2>
    </dataValidation>
    <dataValidation allowBlank="true" errorStyle="stop" operator="between" showDropDown="false" showErrorMessage="false" showInputMessage="false" sqref="D6:D60" type="list">
      <formula1>Paramètres!$E$11:$E$22</formula1>
      <formula2>0</formula2>
    </dataValidation>
    <dataValidation allowBlank="true" error="Saisissez un montant positif." errorStyle="stop" errorTitle="Montant invalide" operator="greaterThanOrEqual" showDropDown="false" showErrorMessage="false" showInputMessage="false" sqref="F6:G60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5"/>
    <col collapsed="false" customWidth="true" hidden="false" outlineLevel="0" max="2" min="2" style="0" width="17"/>
    <col collapsed="false" customWidth="true" hidden="false" outlineLevel="0" max="3" min="3" style="0" width="13.5"/>
    <col collapsed="false" customWidth="true" hidden="false" outlineLevel="0" max="4" min="4" style="0" width="12.5"/>
    <col collapsed="false" customWidth="true" hidden="false" outlineLevel="0" max="5" min="5" style="0" width="11"/>
    <col collapsed="false" customWidth="true" hidden="false" outlineLevel="0" max="6" min="6" style="0" width="11.5"/>
    <col collapsed="false" customWidth="true" hidden="false" outlineLevel="0" max="7" min="7" style="0" width="10"/>
    <col collapsed="false" customWidth="true" hidden="false" outlineLevel="0" max="9" min="8" style="0" width="13"/>
    <col collapsed="false" customWidth="true" hidden="false" outlineLevel="0" max="10" min="10" style="0" width="14"/>
    <col collapsed="false" customWidth="true" hidden="false" outlineLevel="0" max="11" min="11" style="0" width="13"/>
    <col collapsed="false" customWidth="true" hidden="false" outlineLevel="0" max="12" min="12" style="0" width="11.5"/>
    <col collapsed="false" customWidth="true" hidden="false" outlineLevel="0" max="14" min="13" style="0" width="12.5"/>
    <col collapsed="false" customWidth="true" hidden="false" outlineLevel="0" max="15" min="15" style="0" width="3"/>
    <col collapsed="false" customWidth="true" hidden="false" outlineLevel="0" max="16" min="16" style="0" width="14"/>
    <col collapsed="false" customWidth="true" hidden="false" outlineLevel="0" max="17" min="17" style="0" width="11"/>
    <col collapsed="false" customWidth="true" hidden="false" outlineLevel="0" max="18" min="18" style="0" width="13"/>
  </cols>
  <sheetData>
    <row r="1" customFormat="false" ht="19.5" hidden="false" customHeight="true" outlineLevel="0" collapsed="false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.7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8" hidden="false" customHeight="true" outlineLevel="0" collapsed="false">
      <c r="A3" s="2" t="s">
        <v>112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P4" s="34" t="s">
        <v>113</v>
      </c>
      <c r="Q4" s="34"/>
      <c r="R4" s="34"/>
    </row>
    <row r="6" customFormat="false" ht="33.75" hidden="false" customHeight="true" outlineLevel="0" collapsed="false">
      <c r="A6" s="35" t="s">
        <v>69</v>
      </c>
      <c r="B6" s="35" t="s">
        <v>40</v>
      </c>
      <c r="C6" s="35" t="s">
        <v>114</v>
      </c>
      <c r="D6" s="35" t="s">
        <v>115</v>
      </c>
      <c r="E6" s="35" t="s">
        <v>116</v>
      </c>
      <c r="F6" s="35" t="s">
        <v>117</v>
      </c>
      <c r="G6" s="35" t="s">
        <v>118</v>
      </c>
      <c r="H6" s="35" t="s">
        <v>119</v>
      </c>
      <c r="I6" s="35" t="s">
        <v>120</v>
      </c>
      <c r="J6" s="35" t="s">
        <v>121</v>
      </c>
      <c r="K6" s="35" t="s">
        <v>122</v>
      </c>
      <c r="L6" s="35" t="s">
        <v>123</v>
      </c>
      <c r="M6" s="35" t="s">
        <v>124</v>
      </c>
      <c r="N6" s="35" t="s">
        <v>125</v>
      </c>
      <c r="P6" s="36" t="s">
        <v>126</v>
      </c>
      <c r="Q6" s="36" t="s">
        <v>127</v>
      </c>
      <c r="R6" s="36" t="s">
        <v>128</v>
      </c>
    </row>
    <row r="7" customFormat="false" ht="15" hidden="false" customHeight="false" outlineLevel="0" collapsed="false">
      <c r="A7" s="37" t="n">
        <v>46391</v>
      </c>
      <c r="B7" s="38" t="s">
        <v>45</v>
      </c>
      <c r="C7" s="39" t="n">
        <v>150</v>
      </c>
      <c r="D7" s="40" t="n">
        <f aca="false">IF($A7="","",SUMIFS('Journal de caisse'!$F$6:$F$60,'Journal de caisse'!$A$6:$A$60,$A7,'Journal de caisse'!$E$6:$E$60,"Espèces"))</f>
        <v>355.5</v>
      </c>
      <c r="E7" s="40" t="n">
        <f aca="false">IF($A7="","",SUMIFS('Journal de caisse'!$F$6:$F$60,'Journal de caisse'!$A$6:$A$60,$A7,'Journal de caisse'!$E$6:$E$60,"Carte bancaire"))</f>
        <v>89.9</v>
      </c>
      <c r="F7" s="40" t="n">
        <f aca="false">IF($A7="","",SUMIFS('Journal de caisse'!$F$6:$F$60,'Journal de caisse'!$A$6:$A$60,$A7,'Journal de caisse'!$E$6:$E$60,"Chèque"))</f>
        <v>120</v>
      </c>
      <c r="G7" s="40" t="n">
        <f aca="false">IF($A7="","",SUMIFS('Journal de caisse'!$F$6:$F$60,'Journal de caisse'!$A$6:$A$60,$A7,'Journal de caisse'!$E$6:$E$60,"Ticket restaurant"))</f>
        <v>19.8</v>
      </c>
      <c r="H7" s="40" t="n">
        <f aca="false">IF($A7="","",SUMIFS('Journal de caisse'!$F$6:$F$60,'Journal de caisse'!$A$6:$A$60,$A7))</f>
        <v>585.2</v>
      </c>
      <c r="I7" s="40" t="n">
        <f aca="false">IF($A7="","",SUMIFS('Journal de caisse'!$G$6:$G$60,'Journal de caisse'!$A$6:$A$60,$A7,'Journal de caisse'!$E$6:$E$60,"Espèces"))</f>
        <v>32.4</v>
      </c>
      <c r="J7" s="41" t="n">
        <f aca="false">IF($A7="","",$C7+$D7-$I7)</f>
        <v>473.1</v>
      </c>
      <c r="K7" s="39" t="n">
        <v>473.1</v>
      </c>
      <c r="L7" s="40" t="n">
        <f aca="false">IF(OR($A7="",$K7=""),"",$K7-$J7)</f>
        <v>0</v>
      </c>
      <c r="M7" s="42" t="str">
        <f aca="false">IF($L7="","",IF($L7=0,"Conforme",IF(ABS($L7)&lt;=Paramètres!$C$6,"Écart toléré","À justifier")))</f>
        <v>Conforme</v>
      </c>
      <c r="N7" s="39" t="n">
        <v>320</v>
      </c>
      <c r="P7" s="43" t="n">
        <f aca="false">Paramètres!$I$11</f>
        <v>500</v>
      </c>
      <c r="Q7" s="44" t="n">
        <v>0</v>
      </c>
      <c r="R7" s="45" t="n">
        <f aca="false">P7*Q7</f>
        <v>0</v>
      </c>
    </row>
    <row r="8" customFormat="false" ht="15" hidden="false" customHeight="false" outlineLevel="0" collapsed="false">
      <c r="A8" s="46" t="n">
        <v>46392</v>
      </c>
      <c r="B8" s="47" t="s">
        <v>49</v>
      </c>
      <c r="C8" s="48" t="n">
        <v>150</v>
      </c>
      <c r="D8" s="49" t="n">
        <f aca="false">IF($A8="","",SUMIFS('Journal de caisse'!$F$6:$F$60,'Journal de caisse'!$A$6:$A$60,$A8,'Journal de caisse'!$E$6:$E$60,"Espèces"))</f>
        <v>190.25</v>
      </c>
      <c r="E8" s="49" t="n">
        <f aca="false">IF($A8="","",SUMIFS('Journal de caisse'!$F$6:$F$60,'Journal de caisse'!$A$6:$A$60,$A8,'Journal de caisse'!$E$6:$E$60,"Carte bancaire"))</f>
        <v>245</v>
      </c>
      <c r="F8" s="49" t="n">
        <f aca="false">IF($A8="","",SUMIFS('Journal de caisse'!$F$6:$F$60,'Journal de caisse'!$A$6:$A$60,$A8,'Journal de caisse'!$E$6:$E$60,"Chèque"))</f>
        <v>300</v>
      </c>
      <c r="G8" s="49" t="n">
        <f aca="false">IF($A8="","",SUMIFS('Journal de caisse'!$F$6:$F$60,'Journal de caisse'!$A$6:$A$60,$A8,'Journal de caisse'!$E$6:$E$60,"Ticket restaurant"))</f>
        <v>25.4</v>
      </c>
      <c r="H8" s="49" t="n">
        <f aca="false">IF($A8="","",SUMIFS('Journal de caisse'!$F$6:$F$60,'Journal de caisse'!$A$6:$A$60,$A8))</f>
        <v>760.65</v>
      </c>
      <c r="I8" s="49" t="n">
        <f aca="false">IF($A8="","",SUMIFS('Journal de caisse'!$G$6:$G$60,'Journal de caisse'!$A$6:$A$60,$A8,'Journal de caisse'!$E$6:$E$60,"Espèces"))</f>
        <v>37.5</v>
      </c>
      <c r="J8" s="50" t="n">
        <f aca="false">IF($A8="","",$C8+$D8-$I8)</f>
        <v>302.75</v>
      </c>
      <c r="K8" s="48" t="n">
        <v>302.25</v>
      </c>
      <c r="L8" s="49" t="n">
        <f aca="false">IF(OR($A8="",$K8=""),"",$K8-$J8)</f>
        <v>-0.5</v>
      </c>
      <c r="M8" s="51" t="str">
        <f aca="false">IF($L8="","",IF($L8=0,"Conforme",IF(ABS($L8)&lt;=Paramètres!$C$6,"Écart toléré","À justifier")))</f>
        <v>Écart toléré</v>
      </c>
      <c r="N8" s="48" t="n">
        <v>150</v>
      </c>
      <c r="P8" s="52" t="n">
        <f aca="false">Paramètres!$I$12</f>
        <v>200</v>
      </c>
      <c r="Q8" s="44" t="n">
        <v>0</v>
      </c>
      <c r="R8" s="53" t="n">
        <f aca="false">P8*Q8</f>
        <v>0</v>
      </c>
    </row>
    <row r="9" customFormat="false" ht="15" hidden="false" customHeight="false" outlineLevel="0" collapsed="false">
      <c r="A9" s="37" t="n">
        <v>46393</v>
      </c>
      <c r="B9" s="38" t="s">
        <v>52</v>
      </c>
      <c r="C9" s="39" t="n">
        <v>150</v>
      </c>
      <c r="D9" s="40" t="n">
        <f aca="false">IF($A9="","",SUMIFS('Journal de caisse'!$F$6:$F$60,'Journal de caisse'!$A$6:$A$60,$A9,'Journal de caisse'!$E$6:$E$60,"Espèces"))</f>
        <v>320.3</v>
      </c>
      <c r="E9" s="40" t="n">
        <f aca="false">IF($A9="","",SUMIFS('Journal de caisse'!$F$6:$F$60,'Journal de caisse'!$A$6:$A$60,$A9,'Journal de caisse'!$E$6:$E$60,"Carte bancaire"))</f>
        <v>251.7</v>
      </c>
      <c r="F9" s="40" t="n">
        <f aca="false">IF($A9="","",SUMIFS('Journal de caisse'!$F$6:$F$60,'Journal de caisse'!$A$6:$A$60,$A9,'Journal de caisse'!$E$6:$E$60,"Chèque"))</f>
        <v>0</v>
      </c>
      <c r="G9" s="40" t="n">
        <f aca="false">IF($A9="","",SUMIFS('Journal de caisse'!$F$6:$F$60,'Journal de caisse'!$A$6:$A$60,$A9,'Journal de caisse'!$E$6:$E$60,"Ticket restaurant"))</f>
        <v>0</v>
      </c>
      <c r="H9" s="40" t="n">
        <f aca="false">IF($A9="","",SUMIFS('Journal de caisse'!$F$6:$F$60,'Journal de caisse'!$A$6:$A$60,$A9))</f>
        <v>572</v>
      </c>
      <c r="I9" s="40" t="n">
        <f aca="false">IF($A9="","",SUMIFS('Journal de caisse'!$G$6:$G$60,'Journal de caisse'!$A$6:$A$60,$A9,'Journal de caisse'!$E$6:$E$60,"Espèces"))</f>
        <v>48.5</v>
      </c>
      <c r="J9" s="41" t="n">
        <f aca="false">IF($A9="","",$C9+$D9-$I9)</f>
        <v>421.8</v>
      </c>
      <c r="K9" s="39" t="n">
        <v>426.8</v>
      </c>
      <c r="L9" s="40" t="n">
        <f aca="false">IF(OR($A9="",$K9=""),"",$K9-$J9)</f>
        <v>5</v>
      </c>
      <c r="M9" s="42" t="str">
        <f aca="false">IF($L9="","",IF($L9=0,"Conforme",IF(ABS($L9)&lt;=Paramètres!$C$6,"Écart toléré","À justifier")))</f>
        <v>À justifier</v>
      </c>
      <c r="N9" s="39" t="n">
        <v>270</v>
      </c>
      <c r="P9" s="43" t="n">
        <f aca="false">Paramètres!$I$13</f>
        <v>100</v>
      </c>
      <c r="Q9" s="44" t="n">
        <v>1</v>
      </c>
      <c r="R9" s="45" t="n">
        <f aca="false">P9*Q9</f>
        <v>100</v>
      </c>
    </row>
    <row r="10" customFormat="false" ht="15" hidden="false" customHeight="false" outlineLevel="0" collapsed="false">
      <c r="A10" s="46"/>
      <c r="B10" s="47"/>
      <c r="C10" s="48"/>
      <c r="D10" s="49" t="str">
        <f aca="false">IF($A10="","",SUMIFS('Journal de caisse'!$F$6:$F$60,'Journal de caisse'!$A$6:$A$60,$A10,'Journal de caisse'!$E$6:$E$60,"Espèces"))</f>
        <v/>
      </c>
      <c r="E10" s="49" t="str">
        <f aca="false">IF($A10="","",SUMIFS('Journal de caisse'!$F$6:$F$60,'Journal de caisse'!$A$6:$A$60,$A10,'Journal de caisse'!$E$6:$E$60,"Carte bancaire"))</f>
        <v/>
      </c>
      <c r="F10" s="49" t="str">
        <f aca="false">IF($A10="","",SUMIFS('Journal de caisse'!$F$6:$F$60,'Journal de caisse'!$A$6:$A$60,$A10,'Journal de caisse'!$E$6:$E$60,"Chèque"))</f>
        <v/>
      </c>
      <c r="G10" s="49" t="str">
        <f aca="false">IF($A10="","",SUMIFS('Journal de caisse'!$F$6:$F$60,'Journal de caisse'!$A$6:$A$60,$A10,'Journal de caisse'!$E$6:$E$60,"Ticket restaurant"))</f>
        <v/>
      </c>
      <c r="H10" s="49" t="str">
        <f aca="false">IF($A10="","",SUMIFS('Journal de caisse'!$F$6:$F$60,'Journal de caisse'!$A$6:$A$60,$A10))</f>
        <v/>
      </c>
      <c r="I10" s="49" t="str">
        <f aca="false">IF($A10="","",SUMIFS('Journal de caisse'!$G$6:$G$60,'Journal de caisse'!$A$6:$A$60,$A10,'Journal de caisse'!$E$6:$E$60,"Espèces"))</f>
        <v/>
      </c>
      <c r="J10" s="50" t="str">
        <f aca="false">IF($A10="","",$C10+$D10-$I10)</f>
        <v/>
      </c>
      <c r="K10" s="48"/>
      <c r="L10" s="49" t="str">
        <f aca="false">IF(OR($A10="",$K10=""),"",$K10-$J10)</f>
        <v/>
      </c>
      <c r="M10" s="51" t="str">
        <f aca="false">IF($L10="","",IF($L10=0,"Conforme",IF(ABS($L10)&lt;=Paramètres!$C$6,"Écart toléré","À justifier")))</f>
        <v/>
      </c>
      <c r="N10" s="48"/>
      <c r="P10" s="52" t="n">
        <f aca="false">Paramètres!$I$14</f>
        <v>50</v>
      </c>
      <c r="Q10" s="44" t="n">
        <v>3</v>
      </c>
      <c r="R10" s="53" t="n">
        <f aca="false">P10*Q10</f>
        <v>150</v>
      </c>
    </row>
    <row r="11" customFormat="false" ht="15" hidden="false" customHeight="false" outlineLevel="0" collapsed="false">
      <c r="A11" s="37"/>
      <c r="B11" s="38"/>
      <c r="C11" s="39"/>
      <c r="D11" s="40" t="str">
        <f aca="false">IF($A11="","",SUMIFS('Journal de caisse'!$F$6:$F$60,'Journal de caisse'!$A$6:$A$60,$A11,'Journal de caisse'!$E$6:$E$60,"Espèces"))</f>
        <v/>
      </c>
      <c r="E11" s="40" t="str">
        <f aca="false">IF($A11="","",SUMIFS('Journal de caisse'!$F$6:$F$60,'Journal de caisse'!$A$6:$A$60,$A11,'Journal de caisse'!$E$6:$E$60,"Carte bancaire"))</f>
        <v/>
      </c>
      <c r="F11" s="40" t="str">
        <f aca="false">IF($A11="","",SUMIFS('Journal de caisse'!$F$6:$F$60,'Journal de caisse'!$A$6:$A$60,$A11,'Journal de caisse'!$E$6:$E$60,"Chèque"))</f>
        <v/>
      </c>
      <c r="G11" s="40" t="str">
        <f aca="false">IF($A11="","",SUMIFS('Journal de caisse'!$F$6:$F$60,'Journal de caisse'!$A$6:$A$60,$A11,'Journal de caisse'!$E$6:$E$60,"Ticket restaurant"))</f>
        <v/>
      </c>
      <c r="H11" s="40" t="str">
        <f aca="false">IF($A11="","",SUMIFS('Journal de caisse'!$F$6:$F$60,'Journal de caisse'!$A$6:$A$60,$A11))</f>
        <v/>
      </c>
      <c r="I11" s="40" t="str">
        <f aca="false">IF($A11="","",SUMIFS('Journal de caisse'!$G$6:$G$60,'Journal de caisse'!$A$6:$A$60,$A11,'Journal de caisse'!$E$6:$E$60,"Espèces"))</f>
        <v/>
      </c>
      <c r="J11" s="41" t="str">
        <f aca="false">IF($A11="","",$C11+$D11-$I11)</f>
        <v/>
      </c>
      <c r="K11" s="39"/>
      <c r="L11" s="40" t="str">
        <f aca="false">IF(OR($A11="",$K11=""),"",$K11-$J11)</f>
        <v/>
      </c>
      <c r="M11" s="42" t="str">
        <f aca="false">IF($L11="","",IF($L11=0,"Conforme",IF(ABS($L11)&lt;=Paramètres!$C$6,"Écart toléré","À justifier")))</f>
        <v/>
      </c>
      <c r="N11" s="39"/>
      <c r="P11" s="43" t="n">
        <f aca="false">Paramètres!$I$15</f>
        <v>20</v>
      </c>
      <c r="Q11" s="44" t="n">
        <v>6</v>
      </c>
      <c r="R11" s="45" t="n">
        <f aca="false">P11*Q11</f>
        <v>120</v>
      </c>
    </row>
    <row r="12" customFormat="false" ht="15" hidden="false" customHeight="false" outlineLevel="0" collapsed="false">
      <c r="A12" s="46"/>
      <c r="B12" s="47"/>
      <c r="C12" s="48"/>
      <c r="D12" s="49" t="str">
        <f aca="false">IF($A12="","",SUMIFS('Journal de caisse'!$F$6:$F$60,'Journal de caisse'!$A$6:$A$60,$A12,'Journal de caisse'!$E$6:$E$60,"Espèces"))</f>
        <v/>
      </c>
      <c r="E12" s="49" t="str">
        <f aca="false">IF($A12="","",SUMIFS('Journal de caisse'!$F$6:$F$60,'Journal de caisse'!$A$6:$A$60,$A12,'Journal de caisse'!$E$6:$E$60,"Carte bancaire"))</f>
        <v/>
      </c>
      <c r="F12" s="49" t="str">
        <f aca="false">IF($A12="","",SUMIFS('Journal de caisse'!$F$6:$F$60,'Journal de caisse'!$A$6:$A$60,$A12,'Journal de caisse'!$E$6:$E$60,"Chèque"))</f>
        <v/>
      </c>
      <c r="G12" s="49" t="str">
        <f aca="false">IF($A12="","",SUMIFS('Journal de caisse'!$F$6:$F$60,'Journal de caisse'!$A$6:$A$60,$A12,'Journal de caisse'!$E$6:$E$60,"Ticket restaurant"))</f>
        <v/>
      </c>
      <c r="H12" s="49" t="str">
        <f aca="false">IF($A12="","",SUMIFS('Journal de caisse'!$F$6:$F$60,'Journal de caisse'!$A$6:$A$60,$A12))</f>
        <v/>
      </c>
      <c r="I12" s="49" t="str">
        <f aca="false">IF($A12="","",SUMIFS('Journal de caisse'!$G$6:$G$60,'Journal de caisse'!$A$6:$A$60,$A12,'Journal de caisse'!$E$6:$E$60,"Espèces"))</f>
        <v/>
      </c>
      <c r="J12" s="50" t="str">
        <f aca="false">IF($A12="","",$C12+$D12-$I12)</f>
        <v/>
      </c>
      <c r="K12" s="48"/>
      <c r="L12" s="49" t="str">
        <f aca="false">IF(OR($A12="",$K12=""),"",$K12-$J12)</f>
        <v/>
      </c>
      <c r="M12" s="51" t="str">
        <f aca="false">IF($L12="","",IF($L12=0,"Conforme",IF(ABS($L12)&lt;=Paramètres!$C$6,"Écart toléré","À justifier")))</f>
        <v/>
      </c>
      <c r="N12" s="48"/>
      <c r="P12" s="52" t="n">
        <f aca="false">Paramètres!$I$16</f>
        <v>10</v>
      </c>
      <c r="Q12" s="44" t="n">
        <v>4</v>
      </c>
      <c r="R12" s="53" t="n">
        <f aca="false">P12*Q12</f>
        <v>40</v>
      </c>
    </row>
    <row r="13" customFormat="false" ht="15" hidden="false" customHeight="false" outlineLevel="0" collapsed="false">
      <c r="A13" s="37"/>
      <c r="B13" s="38"/>
      <c r="C13" s="39"/>
      <c r="D13" s="40" t="str">
        <f aca="false">IF($A13="","",SUMIFS('Journal de caisse'!$F$6:$F$60,'Journal de caisse'!$A$6:$A$60,$A13,'Journal de caisse'!$E$6:$E$60,"Espèces"))</f>
        <v/>
      </c>
      <c r="E13" s="40" t="str">
        <f aca="false">IF($A13="","",SUMIFS('Journal de caisse'!$F$6:$F$60,'Journal de caisse'!$A$6:$A$60,$A13,'Journal de caisse'!$E$6:$E$60,"Carte bancaire"))</f>
        <v/>
      </c>
      <c r="F13" s="40" t="str">
        <f aca="false">IF($A13="","",SUMIFS('Journal de caisse'!$F$6:$F$60,'Journal de caisse'!$A$6:$A$60,$A13,'Journal de caisse'!$E$6:$E$60,"Chèque"))</f>
        <v/>
      </c>
      <c r="G13" s="40" t="str">
        <f aca="false">IF($A13="","",SUMIFS('Journal de caisse'!$F$6:$F$60,'Journal de caisse'!$A$6:$A$60,$A13,'Journal de caisse'!$E$6:$E$60,"Ticket restaurant"))</f>
        <v/>
      </c>
      <c r="H13" s="40" t="str">
        <f aca="false">IF($A13="","",SUMIFS('Journal de caisse'!$F$6:$F$60,'Journal de caisse'!$A$6:$A$60,$A13))</f>
        <v/>
      </c>
      <c r="I13" s="40" t="str">
        <f aca="false">IF($A13="","",SUMIFS('Journal de caisse'!$G$6:$G$60,'Journal de caisse'!$A$6:$A$60,$A13,'Journal de caisse'!$E$6:$E$60,"Espèces"))</f>
        <v/>
      </c>
      <c r="J13" s="41" t="str">
        <f aca="false">IF($A13="","",$C13+$D13-$I13)</f>
        <v/>
      </c>
      <c r="K13" s="39"/>
      <c r="L13" s="40" t="str">
        <f aca="false">IF(OR($A13="",$K13=""),"",$K13-$J13)</f>
        <v/>
      </c>
      <c r="M13" s="42" t="str">
        <f aca="false">IF($L13="","",IF($L13=0,"Conforme",IF(ABS($L13)&lt;=Paramètres!$C$6,"Écart toléré","À justifier")))</f>
        <v/>
      </c>
      <c r="N13" s="39"/>
      <c r="P13" s="43" t="n">
        <f aca="false">Paramètres!$I$17</f>
        <v>5</v>
      </c>
      <c r="Q13" s="44" t="n">
        <v>2</v>
      </c>
      <c r="R13" s="45" t="n">
        <f aca="false">P13*Q13</f>
        <v>10</v>
      </c>
    </row>
    <row r="14" customFormat="false" ht="15" hidden="false" customHeight="false" outlineLevel="0" collapsed="false">
      <c r="A14" s="46"/>
      <c r="B14" s="47"/>
      <c r="C14" s="48"/>
      <c r="D14" s="49" t="str">
        <f aca="false">IF($A14="","",SUMIFS('Journal de caisse'!$F$6:$F$60,'Journal de caisse'!$A$6:$A$60,$A14,'Journal de caisse'!$E$6:$E$60,"Espèces"))</f>
        <v/>
      </c>
      <c r="E14" s="49" t="str">
        <f aca="false">IF($A14="","",SUMIFS('Journal de caisse'!$F$6:$F$60,'Journal de caisse'!$A$6:$A$60,$A14,'Journal de caisse'!$E$6:$E$60,"Carte bancaire"))</f>
        <v/>
      </c>
      <c r="F14" s="49" t="str">
        <f aca="false">IF($A14="","",SUMIFS('Journal de caisse'!$F$6:$F$60,'Journal de caisse'!$A$6:$A$60,$A14,'Journal de caisse'!$E$6:$E$60,"Chèque"))</f>
        <v/>
      </c>
      <c r="G14" s="49" t="str">
        <f aca="false">IF($A14="","",SUMIFS('Journal de caisse'!$F$6:$F$60,'Journal de caisse'!$A$6:$A$60,$A14,'Journal de caisse'!$E$6:$E$60,"Ticket restaurant"))</f>
        <v/>
      </c>
      <c r="H14" s="49" t="str">
        <f aca="false">IF($A14="","",SUMIFS('Journal de caisse'!$F$6:$F$60,'Journal de caisse'!$A$6:$A$60,$A14))</f>
        <v/>
      </c>
      <c r="I14" s="49" t="str">
        <f aca="false">IF($A14="","",SUMIFS('Journal de caisse'!$G$6:$G$60,'Journal de caisse'!$A$6:$A$60,$A14,'Journal de caisse'!$E$6:$E$60,"Espèces"))</f>
        <v/>
      </c>
      <c r="J14" s="50" t="str">
        <f aca="false">IF($A14="","",$C14+$D14-$I14)</f>
        <v/>
      </c>
      <c r="K14" s="48"/>
      <c r="L14" s="49" t="str">
        <f aca="false">IF(OR($A14="",$K14=""),"",$K14-$J14)</f>
        <v/>
      </c>
      <c r="M14" s="51" t="str">
        <f aca="false">IF($L14="","",IF($L14=0,"Conforme",IF(ABS($L14)&lt;=Paramètres!$C$6,"Écart toléré","À justifier")))</f>
        <v/>
      </c>
      <c r="N14" s="48"/>
      <c r="P14" s="52" t="n">
        <f aca="false">Paramètres!$I$18</f>
        <v>2</v>
      </c>
      <c r="Q14" s="44" t="n">
        <v>3</v>
      </c>
      <c r="R14" s="53" t="n">
        <f aca="false">P14*Q14</f>
        <v>6</v>
      </c>
    </row>
    <row r="15" customFormat="false" ht="15" hidden="false" customHeight="false" outlineLevel="0" collapsed="false">
      <c r="A15" s="37"/>
      <c r="B15" s="38"/>
      <c r="C15" s="39"/>
      <c r="D15" s="40" t="str">
        <f aca="false">IF($A15="","",SUMIFS('Journal de caisse'!$F$6:$F$60,'Journal de caisse'!$A$6:$A$60,$A15,'Journal de caisse'!$E$6:$E$60,"Espèces"))</f>
        <v/>
      </c>
      <c r="E15" s="40" t="str">
        <f aca="false">IF($A15="","",SUMIFS('Journal de caisse'!$F$6:$F$60,'Journal de caisse'!$A$6:$A$60,$A15,'Journal de caisse'!$E$6:$E$60,"Carte bancaire"))</f>
        <v/>
      </c>
      <c r="F15" s="40" t="str">
        <f aca="false">IF($A15="","",SUMIFS('Journal de caisse'!$F$6:$F$60,'Journal de caisse'!$A$6:$A$60,$A15,'Journal de caisse'!$E$6:$E$60,"Chèque"))</f>
        <v/>
      </c>
      <c r="G15" s="40" t="str">
        <f aca="false">IF($A15="","",SUMIFS('Journal de caisse'!$F$6:$F$60,'Journal de caisse'!$A$6:$A$60,$A15,'Journal de caisse'!$E$6:$E$60,"Ticket restaurant"))</f>
        <v/>
      </c>
      <c r="H15" s="40" t="str">
        <f aca="false">IF($A15="","",SUMIFS('Journal de caisse'!$F$6:$F$60,'Journal de caisse'!$A$6:$A$60,$A15))</f>
        <v/>
      </c>
      <c r="I15" s="40" t="str">
        <f aca="false">IF($A15="","",SUMIFS('Journal de caisse'!$G$6:$G$60,'Journal de caisse'!$A$6:$A$60,$A15,'Journal de caisse'!$E$6:$E$60,"Espèces"))</f>
        <v/>
      </c>
      <c r="J15" s="41" t="str">
        <f aca="false">IF($A15="","",$C15+$D15-$I15)</f>
        <v/>
      </c>
      <c r="K15" s="39"/>
      <c r="L15" s="40" t="str">
        <f aca="false">IF(OR($A15="",$K15=""),"",$K15-$J15)</f>
        <v/>
      </c>
      <c r="M15" s="42" t="str">
        <f aca="false">IF($L15="","",IF($L15=0,"Conforme",IF(ABS($L15)&lt;=Paramètres!$C$6,"Écart toléré","À justifier")))</f>
        <v/>
      </c>
      <c r="N15" s="39"/>
      <c r="P15" s="43" t="n">
        <f aca="false">Paramètres!$I$19</f>
        <v>1</v>
      </c>
      <c r="Q15" s="44" t="n">
        <v>0</v>
      </c>
      <c r="R15" s="45" t="n">
        <f aca="false">P15*Q15</f>
        <v>0</v>
      </c>
    </row>
    <row r="16" customFormat="false" ht="15" hidden="false" customHeight="false" outlineLevel="0" collapsed="false">
      <c r="A16" s="46"/>
      <c r="B16" s="47"/>
      <c r="C16" s="48"/>
      <c r="D16" s="49" t="str">
        <f aca="false">IF($A16="","",SUMIFS('Journal de caisse'!$F$6:$F$60,'Journal de caisse'!$A$6:$A$60,$A16,'Journal de caisse'!$E$6:$E$60,"Espèces"))</f>
        <v/>
      </c>
      <c r="E16" s="49" t="str">
        <f aca="false">IF($A16="","",SUMIFS('Journal de caisse'!$F$6:$F$60,'Journal de caisse'!$A$6:$A$60,$A16,'Journal de caisse'!$E$6:$E$60,"Carte bancaire"))</f>
        <v/>
      </c>
      <c r="F16" s="49" t="str">
        <f aca="false">IF($A16="","",SUMIFS('Journal de caisse'!$F$6:$F$60,'Journal de caisse'!$A$6:$A$60,$A16,'Journal de caisse'!$E$6:$E$60,"Chèque"))</f>
        <v/>
      </c>
      <c r="G16" s="49" t="str">
        <f aca="false">IF($A16="","",SUMIFS('Journal de caisse'!$F$6:$F$60,'Journal de caisse'!$A$6:$A$60,$A16,'Journal de caisse'!$E$6:$E$60,"Ticket restaurant"))</f>
        <v/>
      </c>
      <c r="H16" s="49" t="str">
        <f aca="false">IF($A16="","",SUMIFS('Journal de caisse'!$F$6:$F$60,'Journal de caisse'!$A$6:$A$60,$A16))</f>
        <v/>
      </c>
      <c r="I16" s="49" t="str">
        <f aca="false">IF($A16="","",SUMIFS('Journal de caisse'!$G$6:$G$60,'Journal de caisse'!$A$6:$A$60,$A16,'Journal de caisse'!$E$6:$E$60,"Espèces"))</f>
        <v/>
      </c>
      <c r="J16" s="50" t="str">
        <f aca="false">IF($A16="","",$C16+$D16-$I16)</f>
        <v/>
      </c>
      <c r="K16" s="48"/>
      <c r="L16" s="49" t="str">
        <f aca="false">IF(OR($A16="",$K16=""),"",$K16-$J16)</f>
        <v/>
      </c>
      <c r="M16" s="51" t="str">
        <f aca="false">IF($L16="","",IF($L16=0,"Conforme",IF(ABS($L16)&lt;=Paramètres!$C$6,"Écart toléré","À justifier")))</f>
        <v/>
      </c>
      <c r="N16" s="48"/>
      <c r="P16" s="52" t="n">
        <f aca="false">Paramètres!$I$20</f>
        <v>0.5</v>
      </c>
      <c r="Q16" s="44" t="n">
        <v>1</v>
      </c>
      <c r="R16" s="53" t="n">
        <f aca="false">P16*Q16</f>
        <v>0.5</v>
      </c>
    </row>
    <row r="17" customFormat="false" ht="15" hidden="false" customHeight="false" outlineLevel="0" collapsed="false">
      <c r="A17" s="37"/>
      <c r="B17" s="38"/>
      <c r="C17" s="39"/>
      <c r="D17" s="40" t="str">
        <f aca="false">IF($A17="","",SUMIFS('Journal de caisse'!$F$6:$F$60,'Journal de caisse'!$A$6:$A$60,$A17,'Journal de caisse'!$E$6:$E$60,"Espèces"))</f>
        <v/>
      </c>
      <c r="E17" s="40" t="str">
        <f aca="false">IF($A17="","",SUMIFS('Journal de caisse'!$F$6:$F$60,'Journal de caisse'!$A$6:$A$60,$A17,'Journal de caisse'!$E$6:$E$60,"Carte bancaire"))</f>
        <v/>
      </c>
      <c r="F17" s="40" t="str">
        <f aca="false">IF($A17="","",SUMIFS('Journal de caisse'!$F$6:$F$60,'Journal de caisse'!$A$6:$A$60,$A17,'Journal de caisse'!$E$6:$E$60,"Chèque"))</f>
        <v/>
      </c>
      <c r="G17" s="40" t="str">
        <f aca="false">IF($A17="","",SUMIFS('Journal de caisse'!$F$6:$F$60,'Journal de caisse'!$A$6:$A$60,$A17,'Journal de caisse'!$E$6:$E$60,"Ticket restaurant"))</f>
        <v/>
      </c>
      <c r="H17" s="40" t="str">
        <f aca="false">IF($A17="","",SUMIFS('Journal de caisse'!$F$6:$F$60,'Journal de caisse'!$A$6:$A$60,$A17))</f>
        <v/>
      </c>
      <c r="I17" s="40" t="str">
        <f aca="false">IF($A17="","",SUMIFS('Journal de caisse'!$G$6:$G$60,'Journal de caisse'!$A$6:$A$60,$A17,'Journal de caisse'!$E$6:$E$60,"Espèces"))</f>
        <v/>
      </c>
      <c r="J17" s="41" t="str">
        <f aca="false">IF($A17="","",$C17+$D17-$I17)</f>
        <v/>
      </c>
      <c r="K17" s="39"/>
      <c r="L17" s="40" t="str">
        <f aca="false">IF(OR($A17="",$K17=""),"",$K17-$J17)</f>
        <v/>
      </c>
      <c r="M17" s="42" t="str">
        <f aca="false">IF($L17="","",IF($L17=0,"Conforme",IF(ABS($L17)&lt;=Paramètres!$C$6,"Écart toléré","À justifier")))</f>
        <v/>
      </c>
      <c r="N17" s="39"/>
      <c r="P17" s="43" t="n">
        <f aca="false">Paramètres!$I$21</f>
        <v>0.2</v>
      </c>
      <c r="Q17" s="44" t="n">
        <v>1</v>
      </c>
      <c r="R17" s="45" t="n">
        <f aca="false">P17*Q17</f>
        <v>0.2</v>
      </c>
    </row>
    <row r="18" customFormat="false" ht="15" hidden="false" customHeight="false" outlineLevel="0" collapsed="false">
      <c r="A18" s="46"/>
      <c r="B18" s="47"/>
      <c r="C18" s="48"/>
      <c r="D18" s="49" t="str">
        <f aca="false">IF($A18="","",SUMIFS('Journal de caisse'!$F$6:$F$60,'Journal de caisse'!$A$6:$A$60,$A18,'Journal de caisse'!$E$6:$E$60,"Espèces"))</f>
        <v/>
      </c>
      <c r="E18" s="49" t="str">
        <f aca="false">IF($A18="","",SUMIFS('Journal de caisse'!$F$6:$F$60,'Journal de caisse'!$A$6:$A$60,$A18,'Journal de caisse'!$E$6:$E$60,"Carte bancaire"))</f>
        <v/>
      </c>
      <c r="F18" s="49" t="str">
        <f aca="false">IF($A18="","",SUMIFS('Journal de caisse'!$F$6:$F$60,'Journal de caisse'!$A$6:$A$60,$A18,'Journal de caisse'!$E$6:$E$60,"Chèque"))</f>
        <v/>
      </c>
      <c r="G18" s="49" t="str">
        <f aca="false">IF($A18="","",SUMIFS('Journal de caisse'!$F$6:$F$60,'Journal de caisse'!$A$6:$A$60,$A18,'Journal de caisse'!$E$6:$E$60,"Ticket restaurant"))</f>
        <v/>
      </c>
      <c r="H18" s="49" t="str">
        <f aca="false">IF($A18="","",SUMIFS('Journal de caisse'!$F$6:$F$60,'Journal de caisse'!$A$6:$A$60,$A18))</f>
        <v/>
      </c>
      <c r="I18" s="49" t="str">
        <f aca="false">IF($A18="","",SUMIFS('Journal de caisse'!$G$6:$G$60,'Journal de caisse'!$A$6:$A$60,$A18,'Journal de caisse'!$E$6:$E$60,"Espèces"))</f>
        <v/>
      </c>
      <c r="J18" s="50" t="str">
        <f aca="false">IF($A18="","",$C18+$D18-$I18)</f>
        <v/>
      </c>
      <c r="K18" s="48"/>
      <c r="L18" s="49" t="str">
        <f aca="false">IF(OR($A18="",$K18=""),"",$K18-$J18)</f>
        <v/>
      </c>
      <c r="M18" s="51" t="str">
        <f aca="false">IF($L18="","",IF($L18=0,"Conforme",IF(ABS($L18)&lt;=Paramètres!$C$6,"Écart toléré","À justifier")))</f>
        <v/>
      </c>
      <c r="N18" s="48"/>
      <c r="P18" s="52" t="n">
        <f aca="false">Paramètres!$I$22</f>
        <v>0.1</v>
      </c>
      <c r="Q18" s="44" t="n">
        <v>1</v>
      </c>
      <c r="R18" s="53" t="n">
        <f aca="false">P18*Q18</f>
        <v>0.1</v>
      </c>
    </row>
    <row r="19" customFormat="false" ht="15" hidden="false" customHeight="false" outlineLevel="0" collapsed="false">
      <c r="A19" s="37"/>
      <c r="B19" s="38"/>
      <c r="C19" s="39"/>
      <c r="D19" s="40" t="str">
        <f aca="false">IF($A19="","",SUMIFS('Journal de caisse'!$F$6:$F$60,'Journal de caisse'!$A$6:$A$60,$A19,'Journal de caisse'!$E$6:$E$60,"Espèces"))</f>
        <v/>
      </c>
      <c r="E19" s="40" t="str">
        <f aca="false">IF($A19="","",SUMIFS('Journal de caisse'!$F$6:$F$60,'Journal de caisse'!$A$6:$A$60,$A19,'Journal de caisse'!$E$6:$E$60,"Carte bancaire"))</f>
        <v/>
      </c>
      <c r="F19" s="40" t="str">
        <f aca="false">IF($A19="","",SUMIFS('Journal de caisse'!$F$6:$F$60,'Journal de caisse'!$A$6:$A$60,$A19,'Journal de caisse'!$E$6:$E$60,"Chèque"))</f>
        <v/>
      </c>
      <c r="G19" s="40" t="str">
        <f aca="false">IF($A19="","",SUMIFS('Journal de caisse'!$F$6:$F$60,'Journal de caisse'!$A$6:$A$60,$A19,'Journal de caisse'!$E$6:$E$60,"Ticket restaurant"))</f>
        <v/>
      </c>
      <c r="H19" s="40" t="str">
        <f aca="false">IF($A19="","",SUMIFS('Journal de caisse'!$F$6:$F$60,'Journal de caisse'!$A$6:$A$60,$A19))</f>
        <v/>
      </c>
      <c r="I19" s="40" t="str">
        <f aca="false">IF($A19="","",SUMIFS('Journal de caisse'!$G$6:$G$60,'Journal de caisse'!$A$6:$A$60,$A19,'Journal de caisse'!$E$6:$E$60,"Espèces"))</f>
        <v/>
      </c>
      <c r="J19" s="41" t="str">
        <f aca="false">IF($A19="","",$C19+$D19-$I19)</f>
        <v/>
      </c>
      <c r="K19" s="39"/>
      <c r="L19" s="40" t="str">
        <f aca="false">IF(OR($A19="",$K19=""),"",$K19-$J19)</f>
        <v/>
      </c>
      <c r="M19" s="42" t="str">
        <f aca="false">IF($L19="","",IF($L19=0,"Conforme",IF(ABS($L19)&lt;=Paramètres!$C$6,"Écart toléré","À justifier")))</f>
        <v/>
      </c>
      <c r="N19" s="39"/>
      <c r="P19" s="43" t="n">
        <f aca="false">Paramètres!$I$23</f>
        <v>0.05</v>
      </c>
      <c r="Q19" s="44" t="n">
        <v>0</v>
      </c>
      <c r="R19" s="45" t="n">
        <f aca="false">P19*Q19</f>
        <v>0</v>
      </c>
    </row>
    <row r="20" customFormat="false" ht="15" hidden="false" customHeight="false" outlineLevel="0" collapsed="false">
      <c r="A20" s="46"/>
      <c r="B20" s="47"/>
      <c r="C20" s="48"/>
      <c r="D20" s="49" t="str">
        <f aca="false">IF($A20="","",SUMIFS('Journal de caisse'!$F$6:$F$60,'Journal de caisse'!$A$6:$A$60,$A20,'Journal de caisse'!$E$6:$E$60,"Espèces"))</f>
        <v/>
      </c>
      <c r="E20" s="49" t="str">
        <f aca="false">IF($A20="","",SUMIFS('Journal de caisse'!$F$6:$F$60,'Journal de caisse'!$A$6:$A$60,$A20,'Journal de caisse'!$E$6:$E$60,"Carte bancaire"))</f>
        <v/>
      </c>
      <c r="F20" s="49" t="str">
        <f aca="false">IF($A20="","",SUMIFS('Journal de caisse'!$F$6:$F$60,'Journal de caisse'!$A$6:$A$60,$A20,'Journal de caisse'!$E$6:$E$60,"Chèque"))</f>
        <v/>
      </c>
      <c r="G20" s="49" t="str">
        <f aca="false">IF($A20="","",SUMIFS('Journal de caisse'!$F$6:$F$60,'Journal de caisse'!$A$6:$A$60,$A20,'Journal de caisse'!$E$6:$E$60,"Ticket restaurant"))</f>
        <v/>
      </c>
      <c r="H20" s="49" t="str">
        <f aca="false">IF($A20="","",SUMIFS('Journal de caisse'!$F$6:$F$60,'Journal de caisse'!$A$6:$A$60,$A20))</f>
        <v/>
      </c>
      <c r="I20" s="49" t="str">
        <f aca="false">IF($A20="","",SUMIFS('Journal de caisse'!$G$6:$G$60,'Journal de caisse'!$A$6:$A$60,$A20,'Journal de caisse'!$E$6:$E$60,"Espèces"))</f>
        <v/>
      </c>
      <c r="J20" s="50" t="str">
        <f aca="false">IF($A20="","",$C20+$D20-$I20)</f>
        <v/>
      </c>
      <c r="K20" s="48"/>
      <c r="L20" s="49" t="str">
        <f aca="false">IF(OR($A20="",$K20=""),"",$K20-$J20)</f>
        <v/>
      </c>
      <c r="M20" s="51" t="str">
        <f aca="false">IF($L20="","",IF($L20=0,"Conforme",IF(ABS($L20)&lt;=Paramètres!$C$6,"Écart toléré","À justifier")))</f>
        <v/>
      </c>
      <c r="N20" s="48"/>
      <c r="P20" s="52" t="n">
        <f aca="false">Paramètres!$I$24</f>
        <v>0.02</v>
      </c>
      <c r="Q20" s="44" t="n">
        <v>0</v>
      </c>
      <c r="R20" s="53" t="n">
        <f aca="false">P20*Q20</f>
        <v>0</v>
      </c>
    </row>
    <row r="21" customFormat="false" ht="15" hidden="false" customHeight="false" outlineLevel="0" collapsed="false">
      <c r="A21" s="37"/>
      <c r="B21" s="38"/>
      <c r="C21" s="39"/>
      <c r="D21" s="40" t="str">
        <f aca="false">IF($A21="","",SUMIFS('Journal de caisse'!$F$6:$F$60,'Journal de caisse'!$A$6:$A$60,$A21,'Journal de caisse'!$E$6:$E$60,"Espèces"))</f>
        <v/>
      </c>
      <c r="E21" s="40" t="str">
        <f aca="false">IF($A21="","",SUMIFS('Journal de caisse'!$F$6:$F$60,'Journal de caisse'!$A$6:$A$60,$A21,'Journal de caisse'!$E$6:$E$60,"Carte bancaire"))</f>
        <v/>
      </c>
      <c r="F21" s="40" t="str">
        <f aca="false">IF($A21="","",SUMIFS('Journal de caisse'!$F$6:$F$60,'Journal de caisse'!$A$6:$A$60,$A21,'Journal de caisse'!$E$6:$E$60,"Chèque"))</f>
        <v/>
      </c>
      <c r="G21" s="40" t="str">
        <f aca="false">IF($A21="","",SUMIFS('Journal de caisse'!$F$6:$F$60,'Journal de caisse'!$A$6:$A$60,$A21,'Journal de caisse'!$E$6:$E$60,"Ticket restaurant"))</f>
        <v/>
      </c>
      <c r="H21" s="40" t="str">
        <f aca="false">IF($A21="","",SUMIFS('Journal de caisse'!$F$6:$F$60,'Journal de caisse'!$A$6:$A$60,$A21))</f>
        <v/>
      </c>
      <c r="I21" s="40" t="str">
        <f aca="false">IF($A21="","",SUMIFS('Journal de caisse'!$G$6:$G$60,'Journal de caisse'!$A$6:$A$60,$A21,'Journal de caisse'!$E$6:$E$60,"Espèces"))</f>
        <v/>
      </c>
      <c r="J21" s="41" t="str">
        <f aca="false">IF($A21="","",$C21+$D21-$I21)</f>
        <v/>
      </c>
      <c r="K21" s="39"/>
      <c r="L21" s="40" t="str">
        <f aca="false">IF(OR($A21="",$K21=""),"",$K21-$J21)</f>
        <v/>
      </c>
      <c r="M21" s="42" t="str">
        <f aca="false">IF($L21="","",IF($L21=0,"Conforme",IF(ABS($L21)&lt;=Paramètres!$C$6,"Écart toléré","À justifier")))</f>
        <v/>
      </c>
      <c r="N21" s="39"/>
      <c r="P21" s="43" t="n">
        <f aca="false">Paramètres!$I$25</f>
        <v>0.01</v>
      </c>
      <c r="Q21" s="44" t="n">
        <v>0</v>
      </c>
      <c r="R21" s="45" t="n">
        <f aca="false">P21*Q21</f>
        <v>0</v>
      </c>
    </row>
    <row r="22" customFormat="false" ht="15" hidden="false" customHeight="false" outlineLevel="0" collapsed="false">
      <c r="A22" s="46"/>
      <c r="B22" s="47"/>
      <c r="C22" s="48"/>
      <c r="D22" s="49" t="str">
        <f aca="false">IF($A22="","",SUMIFS('Journal de caisse'!$F$6:$F$60,'Journal de caisse'!$A$6:$A$60,$A22,'Journal de caisse'!$E$6:$E$60,"Espèces"))</f>
        <v/>
      </c>
      <c r="E22" s="49" t="str">
        <f aca="false">IF($A22="","",SUMIFS('Journal de caisse'!$F$6:$F$60,'Journal de caisse'!$A$6:$A$60,$A22,'Journal de caisse'!$E$6:$E$60,"Carte bancaire"))</f>
        <v/>
      </c>
      <c r="F22" s="49" t="str">
        <f aca="false">IF($A22="","",SUMIFS('Journal de caisse'!$F$6:$F$60,'Journal de caisse'!$A$6:$A$60,$A22,'Journal de caisse'!$E$6:$E$60,"Chèque"))</f>
        <v/>
      </c>
      <c r="G22" s="49" t="str">
        <f aca="false">IF($A22="","",SUMIFS('Journal de caisse'!$F$6:$F$60,'Journal de caisse'!$A$6:$A$60,$A22,'Journal de caisse'!$E$6:$E$60,"Ticket restaurant"))</f>
        <v/>
      </c>
      <c r="H22" s="49" t="str">
        <f aca="false">IF($A22="","",SUMIFS('Journal de caisse'!$F$6:$F$60,'Journal de caisse'!$A$6:$A$60,$A22))</f>
        <v/>
      </c>
      <c r="I22" s="49" t="str">
        <f aca="false">IF($A22="","",SUMIFS('Journal de caisse'!$G$6:$G$60,'Journal de caisse'!$A$6:$A$60,$A22,'Journal de caisse'!$E$6:$E$60,"Espèces"))</f>
        <v/>
      </c>
      <c r="J22" s="50" t="str">
        <f aca="false">IF($A22="","",$C22+$D22-$I22)</f>
        <v/>
      </c>
      <c r="K22" s="48"/>
      <c r="L22" s="49" t="str">
        <f aca="false">IF(OR($A22="",$K22=""),"",$K22-$J22)</f>
        <v/>
      </c>
      <c r="M22" s="51" t="str">
        <f aca="false">IF($L22="","",IF($L22=0,"Conforme",IF(ABS($L22)&lt;=Paramètres!$C$6,"Écart toléré","À justifier")))</f>
        <v/>
      </c>
      <c r="N22" s="48"/>
      <c r="P22" s="54" t="s">
        <v>129</v>
      </c>
      <c r="Q22" s="54"/>
      <c r="R22" s="55" t="n">
        <f aca="false">SUM(R7:R21)</f>
        <v>426.8</v>
      </c>
    </row>
    <row r="23" customFormat="false" ht="15" hidden="false" customHeight="false" outlineLevel="0" collapsed="false">
      <c r="A23" s="37"/>
      <c r="B23" s="38"/>
      <c r="C23" s="39"/>
      <c r="D23" s="40" t="str">
        <f aca="false">IF($A23="","",SUMIFS('Journal de caisse'!$F$6:$F$60,'Journal de caisse'!$A$6:$A$60,$A23,'Journal de caisse'!$E$6:$E$60,"Espèces"))</f>
        <v/>
      </c>
      <c r="E23" s="40" t="str">
        <f aca="false">IF($A23="","",SUMIFS('Journal de caisse'!$F$6:$F$60,'Journal de caisse'!$A$6:$A$60,$A23,'Journal de caisse'!$E$6:$E$60,"Carte bancaire"))</f>
        <v/>
      </c>
      <c r="F23" s="40" t="str">
        <f aca="false">IF($A23="","",SUMIFS('Journal de caisse'!$F$6:$F$60,'Journal de caisse'!$A$6:$A$60,$A23,'Journal de caisse'!$E$6:$E$60,"Chèque"))</f>
        <v/>
      </c>
      <c r="G23" s="40" t="str">
        <f aca="false">IF($A23="","",SUMIFS('Journal de caisse'!$F$6:$F$60,'Journal de caisse'!$A$6:$A$60,$A23,'Journal de caisse'!$E$6:$E$60,"Ticket restaurant"))</f>
        <v/>
      </c>
      <c r="H23" s="40" t="str">
        <f aca="false">IF($A23="","",SUMIFS('Journal de caisse'!$F$6:$F$60,'Journal de caisse'!$A$6:$A$60,$A23))</f>
        <v/>
      </c>
      <c r="I23" s="40" t="str">
        <f aca="false">IF($A23="","",SUMIFS('Journal de caisse'!$G$6:$G$60,'Journal de caisse'!$A$6:$A$60,$A23,'Journal de caisse'!$E$6:$E$60,"Espèces"))</f>
        <v/>
      </c>
      <c r="J23" s="41" t="str">
        <f aca="false">IF($A23="","",$C23+$D23-$I23)</f>
        <v/>
      </c>
      <c r="K23" s="39"/>
      <c r="L23" s="40" t="str">
        <f aca="false">IF(OR($A23="",$K23=""),"",$K23-$J23)</f>
        <v/>
      </c>
      <c r="M23" s="42" t="str">
        <f aca="false">IF($L23="","",IF($L23=0,"Conforme",IF(ABS($L23)&lt;=Paramètres!$C$6,"Écart toléré","À justifier")))</f>
        <v/>
      </c>
      <c r="N23" s="39"/>
    </row>
    <row r="24" customFormat="false" ht="15" hidden="false" customHeight="true" outlineLevel="0" collapsed="false">
      <c r="A24" s="46"/>
      <c r="B24" s="47"/>
      <c r="C24" s="48"/>
      <c r="D24" s="49" t="str">
        <f aca="false">IF($A24="","",SUMIFS('Journal de caisse'!$F$6:$F$60,'Journal de caisse'!$A$6:$A$60,$A24,'Journal de caisse'!$E$6:$E$60,"Espèces"))</f>
        <v/>
      </c>
      <c r="E24" s="49" t="str">
        <f aca="false">IF($A24="","",SUMIFS('Journal de caisse'!$F$6:$F$60,'Journal de caisse'!$A$6:$A$60,$A24,'Journal de caisse'!$E$6:$E$60,"Carte bancaire"))</f>
        <v/>
      </c>
      <c r="F24" s="49" t="str">
        <f aca="false">IF($A24="","",SUMIFS('Journal de caisse'!$F$6:$F$60,'Journal de caisse'!$A$6:$A$60,$A24,'Journal de caisse'!$E$6:$E$60,"Chèque"))</f>
        <v/>
      </c>
      <c r="G24" s="49" t="str">
        <f aca="false">IF($A24="","",SUMIFS('Journal de caisse'!$F$6:$F$60,'Journal de caisse'!$A$6:$A$60,$A24,'Journal de caisse'!$E$6:$E$60,"Ticket restaurant"))</f>
        <v/>
      </c>
      <c r="H24" s="49" t="str">
        <f aca="false">IF($A24="","",SUMIFS('Journal de caisse'!$F$6:$F$60,'Journal de caisse'!$A$6:$A$60,$A24))</f>
        <v/>
      </c>
      <c r="I24" s="49" t="str">
        <f aca="false">IF($A24="","",SUMIFS('Journal de caisse'!$G$6:$G$60,'Journal de caisse'!$A$6:$A$60,$A24,'Journal de caisse'!$E$6:$E$60,"Espèces"))</f>
        <v/>
      </c>
      <c r="J24" s="50" t="str">
        <f aca="false">IF($A24="","",$C24+$D24-$I24)</f>
        <v/>
      </c>
      <c r="K24" s="48"/>
      <c r="L24" s="49" t="str">
        <f aca="false">IF(OR($A24="",$K24=""),"",$K24-$J24)</f>
        <v/>
      </c>
      <c r="M24" s="51" t="str">
        <f aca="false">IF($L24="","",IF($L24=0,"Conforme",IF(ABS($L24)&lt;=Paramètres!$C$6,"Écart toléré","À justifier")))</f>
        <v/>
      </c>
      <c r="N24" s="48"/>
      <c r="P24" s="56" t="s">
        <v>130</v>
      </c>
      <c r="Q24" s="56"/>
      <c r="R24" s="56"/>
    </row>
    <row r="25" customFormat="false" ht="15" hidden="false" customHeight="false" outlineLevel="0" collapsed="false">
      <c r="A25" s="37"/>
      <c r="B25" s="38"/>
      <c r="C25" s="39"/>
      <c r="D25" s="40" t="str">
        <f aca="false">IF($A25="","",SUMIFS('Journal de caisse'!$F$6:$F$60,'Journal de caisse'!$A$6:$A$60,$A25,'Journal de caisse'!$E$6:$E$60,"Espèces"))</f>
        <v/>
      </c>
      <c r="E25" s="40" t="str">
        <f aca="false">IF($A25="","",SUMIFS('Journal de caisse'!$F$6:$F$60,'Journal de caisse'!$A$6:$A$60,$A25,'Journal de caisse'!$E$6:$E$60,"Carte bancaire"))</f>
        <v/>
      </c>
      <c r="F25" s="40" t="str">
        <f aca="false">IF($A25="","",SUMIFS('Journal de caisse'!$F$6:$F$60,'Journal de caisse'!$A$6:$A$60,$A25,'Journal de caisse'!$E$6:$E$60,"Chèque"))</f>
        <v/>
      </c>
      <c r="G25" s="40" t="str">
        <f aca="false">IF($A25="","",SUMIFS('Journal de caisse'!$F$6:$F$60,'Journal de caisse'!$A$6:$A$60,$A25,'Journal de caisse'!$E$6:$E$60,"Ticket restaurant"))</f>
        <v/>
      </c>
      <c r="H25" s="40" t="str">
        <f aca="false">IF($A25="","",SUMIFS('Journal de caisse'!$F$6:$F$60,'Journal de caisse'!$A$6:$A$60,$A25))</f>
        <v/>
      </c>
      <c r="I25" s="40" t="str">
        <f aca="false">IF($A25="","",SUMIFS('Journal de caisse'!$G$6:$G$60,'Journal de caisse'!$A$6:$A$60,$A25,'Journal de caisse'!$E$6:$E$60,"Espèces"))</f>
        <v/>
      </c>
      <c r="J25" s="41" t="str">
        <f aca="false">IF($A25="","",$C25+$D25-$I25)</f>
        <v/>
      </c>
      <c r="K25" s="39"/>
      <c r="L25" s="40" t="str">
        <f aca="false">IF(OR($A25="",$K25=""),"",$K25-$J25)</f>
        <v/>
      </c>
      <c r="M25" s="42" t="str">
        <f aca="false">IF($L25="","",IF($L25=0,"Conforme",IF(ABS($L25)&lt;=Paramètres!$C$6,"Écart toléré","À justifier")))</f>
        <v/>
      </c>
      <c r="N25" s="39"/>
      <c r="P25" s="56"/>
      <c r="Q25" s="56"/>
      <c r="R25" s="56"/>
    </row>
    <row r="26" customFormat="false" ht="15" hidden="false" customHeight="false" outlineLevel="0" collapsed="false">
      <c r="A26" s="46"/>
      <c r="B26" s="47"/>
      <c r="C26" s="48"/>
      <c r="D26" s="49" t="str">
        <f aca="false">IF($A26="","",SUMIFS('Journal de caisse'!$F$6:$F$60,'Journal de caisse'!$A$6:$A$60,$A26,'Journal de caisse'!$E$6:$E$60,"Espèces"))</f>
        <v/>
      </c>
      <c r="E26" s="49" t="str">
        <f aca="false">IF($A26="","",SUMIFS('Journal de caisse'!$F$6:$F$60,'Journal de caisse'!$A$6:$A$60,$A26,'Journal de caisse'!$E$6:$E$60,"Carte bancaire"))</f>
        <v/>
      </c>
      <c r="F26" s="49" t="str">
        <f aca="false">IF($A26="","",SUMIFS('Journal de caisse'!$F$6:$F$60,'Journal de caisse'!$A$6:$A$60,$A26,'Journal de caisse'!$E$6:$E$60,"Chèque"))</f>
        <v/>
      </c>
      <c r="G26" s="49" t="str">
        <f aca="false">IF($A26="","",SUMIFS('Journal de caisse'!$F$6:$F$60,'Journal de caisse'!$A$6:$A$60,$A26,'Journal de caisse'!$E$6:$E$60,"Ticket restaurant"))</f>
        <v/>
      </c>
      <c r="H26" s="49" t="str">
        <f aca="false">IF($A26="","",SUMIFS('Journal de caisse'!$F$6:$F$60,'Journal de caisse'!$A$6:$A$60,$A26))</f>
        <v/>
      </c>
      <c r="I26" s="49" t="str">
        <f aca="false">IF($A26="","",SUMIFS('Journal de caisse'!$G$6:$G$60,'Journal de caisse'!$A$6:$A$60,$A26,'Journal de caisse'!$E$6:$E$60,"Espèces"))</f>
        <v/>
      </c>
      <c r="J26" s="50" t="str">
        <f aca="false">IF($A26="","",$C26+$D26-$I26)</f>
        <v/>
      </c>
      <c r="K26" s="48"/>
      <c r="L26" s="49" t="str">
        <f aca="false">IF(OR($A26="",$K26=""),"",$K26-$J26)</f>
        <v/>
      </c>
      <c r="M26" s="51" t="str">
        <f aca="false">IF($L26="","",IF($L26=0,"Conforme",IF(ABS($L26)&lt;=Paramètres!$C$6,"Écart toléré","À justifier")))</f>
        <v/>
      </c>
      <c r="N26" s="48"/>
    </row>
    <row r="27" customFormat="false" ht="19.5" hidden="false" customHeight="true" outlineLevel="0" collapsed="false">
      <c r="A27" s="31"/>
      <c r="B27" s="57" t="s">
        <v>131</v>
      </c>
      <c r="C27" s="31"/>
      <c r="D27" s="58" t="n">
        <f aca="false">SUM(D7:D26)</f>
        <v>866.05</v>
      </c>
      <c r="E27" s="58" t="n">
        <f aca="false">SUM(E7:E26)</f>
        <v>586.6</v>
      </c>
      <c r="F27" s="58" t="n">
        <f aca="false">SUM(F7:F26)</f>
        <v>420</v>
      </c>
      <c r="G27" s="58" t="n">
        <f aca="false">SUM(G7:G26)</f>
        <v>45.2</v>
      </c>
      <c r="H27" s="58" t="n">
        <f aca="false">SUM(H7:H26)</f>
        <v>1917.85</v>
      </c>
      <c r="I27" s="58" t="n">
        <f aca="false">SUM(I7:I26)</f>
        <v>118.4</v>
      </c>
      <c r="J27" s="31"/>
      <c r="K27" s="31"/>
      <c r="L27" s="58" t="n">
        <f aca="false">SUM(L7:L26)</f>
        <v>4.5</v>
      </c>
      <c r="M27" s="31"/>
      <c r="N27" s="58" t="n">
        <f aca="false">SUM(N7:N26)</f>
        <v>740</v>
      </c>
    </row>
  </sheetData>
  <mergeCells count="5">
    <mergeCell ref="A1:N2"/>
    <mergeCell ref="A3:N3"/>
    <mergeCell ref="P4:R4"/>
    <mergeCell ref="P22:Q22"/>
    <mergeCell ref="P24:R25"/>
  </mergeCells>
  <conditionalFormatting sqref="L7:L26">
    <cfRule type="expression" priority="2" aboveAverage="0" equalAverage="0" bottom="0" percent="0" rank="0" text="" dxfId="2">
      <formula>AND($K7&lt;&gt;"",$L7=0)</formula>
    </cfRule>
    <cfRule type="expression" priority="3" aboveAverage="0" equalAverage="0" bottom="0" percent="0" rank="0" text="" dxfId="3">
      <formula>AND($L7&lt;&gt;"",$L7&lt;&gt;0,ABS($L7)&lt;=Paramètres!$C$6)</formula>
    </cfRule>
    <cfRule type="expression" priority="4" aboveAverage="0" equalAverage="0" bottom="0" percent="0" rank="0" text="" dxfId="4">
      <formula>AND($L7&lt;&gt;"",ABS($L7)&gt;Paramètres!$C$6)</formula>
    </cfRule>
  </conditionalFormatting>
  <conditionalFormatting sqref="M7:M26">
    <cfRule type="expression" priority="5" aboveAverage="0" equalAverage="0" bottom="0" percent="0" rank="0" text="" dxfId="2">
      <formula>EXACT($M7,"Conforme")</formula>
    </cfRule>
    <cfRule type="expression" priority="6" aboveAverage="0" equalAverage="0" bottom="0" percent="0" rank="0" text="" dxfId="3">
      <formula>EXACT($M7,"Écart toléré")</formula>
    </cfRule>
    <cfRule type="expression" priority="7" aboveAverage="0" equalAverage="0" bottom="0" percent="0" rank="0" text="" dxfId="4">
      <formula>EXACT($M7,"À justifier")</formula>
    </cfRule>
  </conditionalFormatting>
  <conditionalFormatting sqref="K7:K26">
    <cfRule type="expression" priority="8" aboveAverage="0" equalAverage="0" bottom="0" percent="0" rank="0" text="" dxfId="5">
      <formula>AND($K7&lt;&gt;"",$K7&gt;Paramètres!$C$7)</formula>
    </cfRule>
  </conditionalFormatting>
  <dataValidations count="2">
    <dataValidation allowBlank="true" errorStyle="stop" operator="between" showDropDown="false" showErrorMessage="false" showInputMessage="false" sqref="B7:B26" type="list">
      <formula1>Paramètres!$G$11:$G$14</formula1>
      <formula2>0</formula2>
    </dataValidation>
    <dataValidation allowBlank="true" errorStyle="stop" operator="greaterThanOrEqual" showDropDown="false" showErrorMessage="false" showInputMessage="false" sqref="C7:C26 K7:K26 N7:N2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7"/>
    <col collapsed="false" customWidth="true" hidden="false" outlineLevel="0" max="5" min="3" style="0" width="13"/>
    <col collapsed="false" customWidth="true" hidden="false" outlineLevel="0" max="6" min="6" style="0" width="15"/>
    <col collapsed="false" customWidth="true" hidden="false" outlineLevel="0" max="8" min="7" style="0" width="13"/>
    <col collapsed="false" customWidth="true" hidden="false" outlineLevel="0" max="9" min="9" style="0" width="2.5"/>
  </cols>
  <sheetData>
    <row r="1" customFormat="false" ht="19.5" hidden="false" customHeight="true" outlineLevel="0" collapsed="false">
      <c r="A1" s="1" t="s">
        <v>132</v>
      </c>
      <c r="B1" s="1"/>
      <c r="C1" s="1"/>
      <c r="D1" s="1"/>
      <c r="E1" s="1"/>
      <c r="F1" s="1"/>
      <c r="G1" s="1"/>
      <c r="H1" s="1"/>
    </row>
    <row r="2" customFormat="false" ht="15.75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A3" s="2" t="s">
        <v>133</v>
      </c>
      <c r="B3" s="2"/>
      <c r="C3" s="2"/>
      <c r="D3" s="2"/>
      <c r="E3" s="2"/>
      <c r="F3" s="2"/>
      <c r="G3" s="2"/>
      <c r="H3" s="2"/>
    </row>
    <row r="5" customFormat="false" ht="15.75" hidden="false" customHeight="true" outlineLevel="0" collapsed="false">
      <c r="B5" s="59" t="s">
        <v>134</v>
      </c>
      <c r="C5" s="59"/>
      <c r="D5" s="60" t="s">
        <v>135</v>
      </c>
      <c r="E5" s="60"/>
      <c r="F5" s="61" t="s">
        <v>136</v>
      </c>
      <c r="G5" s="61"/>
      <c r="H5" s="59" t="s">
        <v>137</v>
      </c>
      <c r="I5" s="59"/>
    </row>
    <row r="6" customFormat="false" ht="15" hidden="false" customHeight="false" outlineLevel="0" collapsed="false">
      <c r="B6" s="62" t="n">
        <f aca="false">COUNT('Clôture journalière'!$A$7:$A$26)</f>
        <v>3</v>
      </c>
      <c r="C6" s="62"/>
      <c r="D6" s="63" t="n">
        <f aca="false">SUM('Journal de caisse'!$F$6:$F$60)</f>
        <v>1917.85</v>
      </c>
      <c r="E6" s="63"/>
      <c r="F6" s="64" t="n">
        <f aca="false">SUM('Journal de caisse'!$G$6:$G$60)</f>
        <v>118.4</v>
      </c>
      <c r="G6" s="64"/>
      <c r="H6" s="65" t="n">
        <f aca="false">SUM('Journal de caisse'!$F$6:$F$60)-SUM('Journal de caisse'!$G$6:$G$60)</f>
        <v>1799.45</v>
      </c>
      <c r="I6" s="65"/>
    </row>
    <row r="7" customFormat="false" ht="15.75" hidden="false" customHeight="true" outlineLevel="0" collapsed="false">
      <c r="B7" s="62"/>
      <c r="C7" s="62"/>
      <c r="D7" s="63"/>
      <c r="E7" s="63"/>
      <c r="F7" s="64"/>
      <c r="G7" s="64"/>
      <c r="H7" s="65"/>
      <c r="I7" s="65"/>
    </row>
    <row r="9" customFormat="false" ht="15.75" hidden="false" customHeight="true" outlineLevel="0" collapsed="false">
      <c r="B9" s="66" t="s">
        <v>138</v>
      </c>
      <c r="C9" s="66"/>
      <c r="D9" s="67" t="s">
        <v>139</v>
      </c>
      <c r="E9" s="67"/>
      <c r="F9" s="61" t="s">
        <v>140</v>
      </c>
      <c r="G9" s="61"/>
      <c r="H9" s="60" t="s">
        <v>141</v>
      </c>
      <c r="I9" s="60"/>
    </row>
    <row r="10" customFormat="false" ht="15" hidden="false" customHeight="false" outlineLevel="0" collapsed="false">
      <c r="B10" s="68" t="n">
        <f aca="false">SUM('Clôture journalière'!$L$7:$L$26)</f>
        <v>4.5</v>
      </c>
      <c r="C10" s="68"/>
      <c r="D10" s="69" t="n">
        <f aca="false">COUNTIF('Clôture journalière'!$M$7:$M$26,"À justifier")</f>
        <v>1</v>
      </c>
      <c r="E10" s="69"/>
      <c r="F10" s="64" t="n">
        <f aca="false">SUM('Clôture journalière'!$N$7:$N$26)</f>
        <v>740</v>
      </c>
      <c r="G10" s="64"/>
      <c r="H10" s="63" t="n">
        <f aca="false">IFERROR(SUM('Clôture journalière'!$H$7:$H$26)/COUNT('Clôture journalière'!$A$7:$A$26),0)</f>
        <v>639.283333333333</v>
      </c>
      <c r="I10" s="63"/>
    </row>
    <row r="11" customFormat="false" ht="15.75" hidden="false" customHeight="true" outlineLevel="0" collapsed="false">
      <c r="B11" s="68"/>
      <c r="C11" s="68"/>
      <c r="D11" s="69"/>
      <c r="E11" s="69"/>
      <c r="F11" s="64"/>
      <c r="G11" s="64"/>
      <c r="H11" s="63"/>
      <c r="I11" s="63"/>
    </row>
    <row r="14" customFormat="false" ht="15" hidden="false" customHeight="false" outlineLevel="0" collapsed="false">
      <c r="B14" s="11" t="s">
        <v>142</v>
      </c>
      <c r="C14" s="11"/>
      <c r="D14" s="11"/>
    </row>
    <row r="15" customFormat="false" ht="15" hidden="false" customHeight="false" outlineLevel="0" collapsed="false">
      <c r="B15" s="36" t="s">
        <v>38</v>
      </c>
      <c r="C15" s="36" t="s">
        <v>143</v>
      </c>
      <c r="D15" s="36" t="s">
        <v>144</v>
      </c>
    </row>
    <row r="16" customFormat="false" ht="15" hidden="false" customHeight="false" outlineLevel="0" collapsed="false">
      <c r="B16" s="70" t="s">
        <v>43</v>
      </c>
      <c r="C16" s="45" t="n">
        <f aca="false">SUMIFS('Journal de caisse'!$F$6:$F$60,'Journal de caisse'!$E$6:$E$60,"Espèces")</f>
        <v>866.05</v>
      </c>
      <c r="D16" s="71" t="n">
        <f aca="false">IFERROR(C16/$C$21,0)</f>
        <v>0.451573376437156</v>
      </c>
    </row>
    <row r="17" customFormat="false" ht="15" hidden="false" customHeight="false" outlineLevel="0" collapsed="false">
      <c r="B17" s="72" t="s">
        <v>47</v>
      </c>
      <c r="C17" s="53" t="n">
        <f aca="false">SUMIFS('Journal de caisse'!$F$6:$F$60,'Journal de caisse'!$E$6:$E$60,"Carte bancaire")</f>
        <v>586.6</v>
      </c>
      <c r="D17" s="73" t="n">
        <f aca="false">IFERROR(C17/$C$21,0)</f>
        <v>0.30586333654874</v>
      </c>
    </row>
    <row r="18" customFormat="false" ht="15" hidden="false" customHeight="false" outlineLevel="0" collapsed="false">
      <c r="B18" s="70" t="s">
        <v>50</v>
      </c>
      <c r="C18" s="45" t="n">
        <f aca="false">SUMIFS('Journal de caisse'!$F$6:$F$60,'Journal de caisse'!$E$6:$E$60,"Chèque")</f>
        <v>420</v>
      </c>
      <c r="D18" s="71" t="n">
        <f aca="false">IFERROR(C18/$C$21,0)</f>
        <v>0.21899522903251</v>
      </c>
    </row>
    <row r="19" customFormat="false" ht="15" hidden="false" customHeight="false" outlineLevel="0" collapsed="false">
      <c r="B19" s="72" t="s">
        <v>53</v>
      </c>
      <c r="C19" s="53" t="n">
        <f aca="false">SUMIFS('Journal de caisse'!$F$6:$F$60,'Journal de caisse'!$E$6:$E$60,"Ticket restaurant")</f>
        <v>45.2</v>
      </c>
      <c r="D19" s="73" t="n">
        <f aca="false">IFERROR(C19/$C$21,0)</f>
        <v>0.023568057981594</v>
      </c>
    </row>
    <row r="20" customFormat="false" ht="15" hidden="false" customHeight="false" outlineLevel="0" collapsed="false">
      <c r="B20" s="70" t="s">
        <v>56</v>
      </c>
      <c r="C20" s="45" t="n">
        <f aca="false">SUMIFS('Journal de caisse'!$F$6:$F$60,'Journal de caisse'!$E$6:$E$60,"Virement")</f>
        <v>0</v>
      </c>
      <c r="D20" s="71" t="n">
        <f aca="false">IFERROR(C20/$C$21,0)</f>
        <v>0</v>
      </c>
    </row>
    <row r="21" customFormat="false" ht="15" hidden="false" customHeight="false" outlineLevel="0" collapsed="false">
      <c r="B21" s="74" t="s">
        <v>145</v>
      </c>
      <c r="C21" s="58" t="n">
        <f aca="false">SUM(C16:C20)</f>
        <v>1917.85</v>
      </c>
      <c r="D21" s="75" t="n">
        <f aca="false">IFERROR(C21/C21,0)</f>
        <v>1</v>
      </c>
    </row>
    <row r="24" customFormat="false" ht="15" hidden="false" customHeight="false" outlineLevel="0" collapsed="false">
      <c r="B24" s="11" t="s">
        <v>146</v>
      </c>
      <c r="C24" s="11"/>
      <c r="D24" s="11"/>
    </row>
    <row r="25" customFormat="false" ht="22.35" hidden="false" customHeight="false" outlineLevel="0" collapsed="false">
      <c r="B25" s="76" t="s">
        <v>69</v>
      </c>
      <c r="C25" s="76" t="s">
        <v>147</v>
      </c>
      <c r="D25" s="76" t="s">
        <v>124</v>
      </c>
    </row>
    <row r="26" customFormat="false" ht="15" hidden="false" customHeight="false" outlineLevel="0" collapsed="false">
      <c r="B26" s="37" t="n">
        <f aca="false">IF('Clôture journalière'!$A$7="","",'Clôture journalière'!$A$7)</f>
        <v>46391</v>
      </c>
      <c r="C26" s="45" t="n">
        <f aca="false">IF('Clôture journalière'!$A$7="","",'Clôture journalière'!$H$7)</f>
        <v>585.2</v>
      </c>
      <c r="D26" s="42" t="str">
        <f aca="false">IF('Clôture journalière'!$A$7="","",'Clôture journalière'!$M$7)</f>
        <v>Conforme</v>
      </c>
    </row>
    <row r="27" customFormat="false" ht="15" hidden="false" customHeight="false" outlineLevel="0" collapsed="false">
      <c r="B27" s="46" t="n">
        <f aca="false">IF('Clôture journalière'!$A$8="","",'Clôture journalière'!$A$8)</f>
        <v>46392</v>
      </c>
      <c r="C27" s="53" t="n">
        <f aca="false">IF('Clôture journalière'!$A$8="","",'Clôture journalière'!$H$8)</f>
        <v>760.65</v>
      </c>
      <c r="D27" s="51" t="str">
        <f aca="false">IF('Clôture journalière'!$A$8="","",'Clôture journalière'!$M$8)</f>
        <v>Écart toléré</v>
      </c>
    </row>
    <row r="28" customFormat="false" ht="15" hidden="false" customHeight="false" outlineLevel="0" collapsed="false">
      <c r="B28" s="37" t="n">
        <f aca="false">IF('Clôture journalière'!$A$9="","",'Clôture journalière'!$A$9)</f>
        <v>46393</v>
      </c>
      <c r="C28" s="45" t="n">
        <f aca="false">IF('Clôture journalière'!$A$9="","",'Clôture journalière'!$H$9)</f>
        <v>572</v>
      </c>
      <c r="D28" s="42" t="str">
        <f aca="false">IF('Clôture journalière'!$A$9="","",'Clôture journalière'!$M$9)</f>
        <v>À justifier</v>
      </c>
    </row>
    <row r="29" customFormat="false" ht="15" hidden="false" customHeight="false" outlineLevel="0" collapsed="false">
      <c r="B29" s="46" t="str">
        <f aca="false">IF('Clôture journalière'!$A$10="","",'Clôture journalière'!$A$10)</f>
        <v/>
      </c>
      <c r="C29" s="53" t="str">
        <f aca="false">IF('Clôture journalière'!$A$10="","",'Clôture journalière'!$H$10)</f>
        <v/>
      </c>
      <c r="D29" s="51" t="str">
        <f aca="false">IF('Clôture journalière'!$A$10="","",'Clôture journalière'!$M$10)</f>
        <v/>
      </c>
    </row>
    <row r="30" customFormat="false" ht="15" hidden="false" customHeight="false" outlineLevel="0" collapsed="false">
      <c r="B30" s="37" t="str">
        <f aca="false">IF('Clôture journalière'!$A$11="","",'Clôture journalière'!$A$11)</f>
        <v/>
      </c>
      <c r="C30" s="45" t="str">
        <f aca="false">IF('Clôture journalière'!$A$11="","",'Clôture journalière'!$H$11)</f>
        <v/>
      </c>
      <c r="D30" s="42" t="str">
        <f aca="false">IF('Clôture journalière'!$A$11="","",'Clôture journalière'!$M$11)</f>
        <v/>
      </c>
    </row>
    <row r="31" customFormat="false" ht="15" hidden="false" customHeight="false" outlineLevel="0" collapsed="false">
      <c r="B31" s="46" t="str">
        <f aca="false">IF('Clôture journalière'!$A$12="","",'Clôture journalière'!$A$12)</f>
        <v/>
      </c>
      <c r="C31" s="53" t="str">
        <f aca="false">IF('Clôture journalière'!$A$12="","",'Clôture journalière'!$H$12)</f>
        <v/>
      </c>
      <c r="D31" s="51" t="str">
        <f aca="false">IF('Clôture journalière'!$A$12="","",'Clôture journalière'!$M$12)</f>
        <v/>
      </c>
    </row>
    <row r="32" customFormat="false" ht="15" hidden="false" customHeight="false" outlineLevel="0" collapsed="false">
      <c r="B32" s="37" t="str">
        <f aca="false">IF('Clôture journalière'!$A$13="","",'Clôture journalière'!$A$13)</f>
        <v/>
      </c>
      <c r="C32" s="45" t="str">
        <f aca="false">IF('Clôture journalière'!$A$13="","",'Clôture journalière'!$H$13)</f>
        <v/>
      </c>
      <c r="D32" s="42" t="str">
        <f aca="false">IF('Clôture journalière'!$A$13="","",'Clôture journalière'!$M$13)</f>
        <v/>
      </c>
    </row>
    <row r="33" customFormat="false" ht="15" hidden="false" customHeight="false" outlineLevel="0" collapsed="false">
      <c r="B33" s="46" t="str">
        <f aca="false">IF('Clôture journalière'!$A$14="","",'Clôture journalière'!$A$14)</f>
        <v/>
      </c>
      <c r="C33" s="53" t="str">
        <f aca="false">IF('Clôture journalière'!$A$14="","",'Clôture journalière'!$H$14)</f>
        <v/>
      </c>
      <c r="D33" s="51" t="str">
        <f aca="false">IF('Clôture journalière'!$A$14="","",'Clôture journalière'!$M$14)</f>
        <v/>
      </c>
    </row>
  </sheetData>
  <mergeCells count="20">
    <mergeCell ref="A1:H2"/>
    <mergeCell ref="A3:H3"/>
    <mergeCell ref="B5:C5"/>
    <mergeCell ref="D5:E5"/>
    <mergeCell ref="F5:G5"/>
    <mergeCell ref="H5:I5"/>
    <mergeCell ref="B6:C7"/>
    <mergeCell ref="D6:E7"/>
    <mergeCell ref="F6:G7"/>
    <mergeCell ref="H6:I7"/>
    <mergeCell ref="B9:C9"/>
    <mergeCell ref="D9:E9"/>
    <mergeCell ref="F9:G9"/>
    <mergeCell ref="H9:I9"/>
    <mergeCell ref="B10:C11"/>
    <mergeCell ref="D10:E11"/>
    <mergeCell ref="F10:G11"/>
    <mergeCell ref="H10:I11"/>
    <mergeCell ref="B14:D14"/>
    <mergeCell ref="B24:D24"/>
  </mergeCells>
  <conditionalFormatting sqref="D26:D33">
    <cfRule type="expression" priority="2" aboveAverage="0" equalAverage="0" bottom="0" percent="0" rank="0" text="" dxfId="2">
      <formula>EXACT(D26,"Conforme")</formula>
    </cfRule>
    <cfRule type="expression" priority="3" aboveAverage="0" equalAverage="0" bottom="0" percent="0" rank="0" text="" dxfId="3">
      <formula>EXACT(D26,"Écart toléré")</formula>
    </cfRule>
    <cfRule type="expression" priority="4" aboveAverage="0" equalAverage="0" bottom="0" percent="0" rank="0" text="" dxfId="4">
      <formula>EXACT(D26,"À justifier")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2026-09-24T14:16:01Z</dcterms:created>
  <dc:creator>openpyxl</dc:creator>
  <dc:description/>
  <dc:language>en-US</dc:language>
  <cp:lastModifiedBy/>
  <dcterms:modified xsi:type="dcterms:W3CDTF">2026-09-24T14:16:02Z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