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Hypothèses &amp; CA" sheetId="2" state="visible" r:id="rId4"/>
    <sheet name="Investissement &amp; Financement" sheetId="3" state="visible" r:id="rId5"/>
    <sheet name="Charges &amp; Personnel" sheetId="4" state="visible" r:id="rId6"/>
    <sheet name="Compte de résultat &amp; Seuil" sheetId="5" state="visible" r:id="rId7"/>
    <sheet name="Trésorerie an 1" sheetId="6" state="visible" r:id="rId8"/>
    <sheet name="Tableau de bord" sheetId="7" state="visible" r:id="rId9"/>
  </sheets>
  <definedNames>
    <definedName function="false" hidden="false" name="Achats_1" vbProcedure="false">'Charges &amp; Personnel'!$C$40</definedName>
    <definedName function="false" hidden="false" name="Achats_2" vbProcedure="false">'Charges &amp; Personnel'!$D$40</definedName>
    <definedName function="false" hidden="false" name="Achats_3" vbProcedure="false">'Charges &amp; Personnel'!$E$40</definedName>
    <definedName function="false" hidden="false" name="An_Debut" vbProcedure="false">'Hypothèses &amp; CA'!$C$6</definedName>
    <definedName function="false" hidden="false" name="Apports" vbProcedure="false">'Investissement &amp; Financement'!$C$23</definedName>
    <definedName function="false" hidden="false" name="CapitalRemb_1" vbProcedure="false">'Investissement &amp; Financement'!$E$35</definedName>
    <definedName function="false" hidden="false" name="CA_Prest_1" vbProcedure="false">'Hypothèses &amp; CA'!$F$23</definedName>
    <definedName function="false" hidden="false" name="CA_Prest_2" vbProcedure="false">'Hypothèses &amp; CA'!$D$27</definedName>
    <definedName function="false" hidden="false" name="CA_Prest_3" vbProcedure="false">'Hypothèses &amp; CA'!$E$27</definedName>
    <definedName function="false" hidden="false" name="CA_Prod_1" vbProcedure="false">'Hypothèses &amp; CA'!$C$28</definedName>
    <definedName function="false" hidden="false" name="CA_Prod_2" vbProcedure="false">'Hypothèses &amp; CA'!$D$28</definedName>
    <definedName function="false" hidden="false" name="CA_Prod_3" vbProcedure="false">'Hypothèses &amp; CA'!$E$28</definedName>
    <definedName function="false" hidden="false" name="CA_Tot_1" vbProcedure="false">'Hypothèses &amp; CA'!$C$29</definedName>
    <definedName function="false" hidden="false" name="CA_Tot_2" vbProcedure="false">'Hypothèses &amp; CA'!$D$29</definedName>
    <definedName function="false" hidden="false" name="CA_Tot_3" vbProcedure="false">'Hypothèses &amp; CA'!$E$29</definedName>
    <definedName function="false" hidden="false" name="ChargesExt_1" vbProcedure="false">'Charges &amp; Personnel'!$C$34</definedName>
    <definedName function="false" hidden="false" name="ChargesExt_2" vbProcedure="false">'Charges &amp; Personnel'!$D$34</definedName>
    <definedName function="false" hidden="false" name="ChargesExt_3" vbProcedure="false">'Charges &amp; Personnel'!$E$34</definedName>
    <definedName function="false" hidden="false" name="Croiss2" vbProcedure="false">'Hypothèses &amp; CA'!$C$10</definedName>
    <definedName function="false" hidden="false" name="Croiss3" vbProcedure="false">'Hypothèses &amp; CA'!$C$11</definedName>
    <definedName function="false" hidden="false" name="CroissPerso" vbProcedure="false">'Charges &amp; Personnel'!$C$9</definedName>
    <definedName function="false" hidden="false" name="DAP" vbProcedure="false">'Investissement &amp; Financement'!$E$46</definedName>
    <definedName function="false" hidden="false" name="EBE_1" vbProcedure="false">'Compte de résultat &amp; Seuil'!$C$13</definedName>
    <definedName function="false" hidden="false" name="EBE_2" vbProcedure="false">'Compte de résultat &amp; Seuil'!$D$13</definedName>
    <definedName function="false" hidden="false" name="EBE_3" vbProcedure="false">'Compte de résultat &amp; Seuil'!$E$13</definedName>
    <definedName function="false" hidden="false" name="EmpruntDuree" vbProcedure="false">'Investissement &amp; Financement'!$C$29</definedName>
    <definedName function="false" hidden="false" name="EmpruntMontant" vbProcedure="false">'Investissement &amp; Financement'!$C$20</definedName>
    <definedName function="false" hidden="false" name="EmpruntTaux" vbProcedure="false">'Investissement &amp; Financement'!$C$28</definedName>
    <definedName function="false" hidden="false" name="ImpotsTaxes_1" vbProcedure="false">'Charges &amp; Personnel'!$C$35</definedName>
    <definedName function="false" hidden="false" name="ImpotsTaxes_2" vbProcedure="false">'Charges &amp; Personnel'!$D$35</definedName>
    <definedName function="false" hidden="false" name="ImpotsTaxes_3" vbProcedure="false">'Charges &amp; Personnel'!$E$35</definedName>
    <definedName function="false" hidden="false" name="Inflation" vbProcedure="false">'Charges &amp; Personnel'!$C$8</definedName>
    <definedName function="false" hidden="false" name="Interets_1" vbProcedure="false">'Investissement &amp; Financement'!$D$35</definedName>
    <definedName function="false" hidden="false" name="Interets_2" vbProcedure="false">'Investissement &amp; Financement'!$D$36</definedName>
    <definedName function="false" hidden="false" name="Interets_3" vbProcedure="false">'Investissement &amp; Financement'!$D$37</definedName>
    <definedName function="false" hidden="false" name="InvestHorsTreso" vbProcedure="false">'Investissement &amp; Financement'!$C$24</definedName>
    <definedName function="false" hidden="false" name="InvestTotal" vbProcedure="false">'Investissement &amp; Financement'!$C$15</definedName>
    <definedName function="false" hidden="false" name="JoursOuv" vbProcedure="false">'Hypothèses &amp; CA'!$C$7</definedName>
    <definedName function="false" hidden="false" name="MasseSal_1" vbProcedure="false">'Charges &amp; Personnel'!$C$39</definedName>
    <definedName function="false" hidden="false" name="MasseSal_2" vbProcedure="false">'Charges &amp; Personnel'!$D$39</definedName>
    <definedName function="false" hidden="false" name="MasseSal_3" vbProcedure="false">'Charges &amp; Personnel'!$E$39</definedName>
    <definedName function="false" hidden="false" name="Mensualite" vbProcedure="false">'Investissement &amp; Financement'!$C$30</definedName>
    <definedName function="false" hidden="false" name="PartProduits" vbProcedure="false">'Hypothèses &amp; CA'!$C$9</definedName>
    <definedName function="false" hidden="false" name="ResNet_1" vbProcedure="false">'Compte de résultat &amp; Seuil'!$C$19</definedName>
    <definedName function="false" hidden="false" name="ResNet_2" vbProcedure="false">'Compte de résultat &amp; Seuil'!$D$19</definedName>
    <definedName function="false" hidden="false" name="ResNet_3" vbProcedure="false">'Compte de résultat &amp; Seuil'!$E$19</definedName>
    <definedName function="false" hidden="false" name="Seuil_1" vbProcedure="false">'Compte de résultat &amp; Seuil'!$C$33</definedName>
    <definedName function="false" hidden="false" name="TauxAchatTech" vbProcedure="false">'Charges &amp; Personnel'!$C$10</definedName>
    <definedName function="false" hidden="false" name="TauxPatronal" vbProcedure="false">'Charges &amp; Personnel'!$C$6</definedName>
    <definedName function="false" hidden="false" name="TauxRevente" vbProcedure="false">'Charges &amp; Personnel'!$C$11</definedName>
    <definedName function="false" hidden="false" name="TauxTNS" vbProcedure="false">'Charges &amp; Personnel'!$C$7</definedName>
    <definedName function="false" hidden="false" name="TresoDepart" vbProcedure="false">'Investissement &amp; Financement'!$C$14</definedName>
    <definedName function="false" hidden="false" name="TresoRow" vbProcedure="false">'Trésorerie an 1'!$C$22:$N$22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<sst xmlns="http://schemas.openxmlformats.org/spreadsheetml/2006/main" count="253" uniqueCount="221">
  <si>
    <t xml:space="preserve">BUSINESS PLAN — SALON DE COIFFURE</t>
  </si>
  <si>
    <t xml:space="preserve">Prévisionnel financier sur 3 ans  ·  chiffre d'affaires, charges, rentabilité et trésorerie  ·  Édition 2027</t>
  </si>
  <si>
    <t xml:space="preserve">FICHE PROJET</t>
  </si>
  <si>
    <t xml:space="preserve">Nom du salon</t>
  </si>
  <si>
    <t xml:space="preserve">Salon Élégance</t>
  </si>
  <si>
    <t xml:space="preserve">Porteur de projet</t>
  </si>
  <si>
    <t xml:space="preserve">Camille Laurent</t>
  </si>
  <si>
    <t xml:space="preserve">Forme juridique</t>
  </si>
  <si>
    <t xml:space="preserve">SARL</t>
  </si>
  <si>
    <t xml:space="preserve">Adresse</t>
  </si>
  <si>
    <t xml:space="preserve">24 rue Victor Hugo, 44000 Nantes</t>
  </si>
  <si>
    <t xml:space="preserve">Date du prévisionnel</t>
  </si>
  <si>
    <t xml:space="preserve">Comment utiliser ce classeur</t>
  </si>
  <si>
    <t xml:space="preserve">Ce fichier construit un prévisionnel financier complet à partir de vos hypothèses. Vous ne saisissez que les cellules colorées : tout le reste (chiffre d'affaires, charges, compte de résultat, seuil de rentabilité et trésorerie) se calcule automatiquement. Commencez par l'onglet Hypothèses &amp; CA, puis remontez les onglets de gauche à droite. Le Tableau de bord résume la viabilité du projet.</t>
  </si>
  <si>
    <t xml:space="preserve">Repérage des cellules</t>
  </si>
  <si>
    <t xml:space="preserve">Cellule à remplir (hypothèse de saisie).</t>
  </si>
  <si>
    <t xml:space="preserve">Cellule calculée automatiquement — à ne pas modifier.</t>
  </si>
  <si>
    <t xml:space="preserve">En-têtes et intitulés de sections.</t>
  </si>
  <si>
    <t xml:space="preserve">Les 7 onglets</t>
  </si>
  <si>
    <t xml:space="preserve">Hypothèses &amp; CA</t>
  </si>
  <si>
    <t xml:space="preserve">Paramètres d'activité et chiffre d'affaires prévisionnel sur 3 ans.</t>
  </si>
  <si>
    <t xml:space="preserve">Investissement &amp; Financement</t>
  </si>
  <si>
    <t xml:space="preserve">Besoins de démarrage, plan de financement et emprunt.</t>
  </si>
  <si>
    <t xml:space="preserve">Charges &amp; Personnel</t>
  </si>
  <si>
    <t xml:space="preserve">Charges d'exploitation et masse salariale sur 3 ans.</t>
  </si>
  <si>
    <t xml:space="preserve">Compte de résultat &amp; Seuil</t>
  </si>
  <si>
    <t xml:space="preserve">Compte de résultat prévisionnel, rentabilité et seuil de rentabilité.</t>
  </si>
  <si>
    <t xml:space="preserve">Trésorerie an 1</t>
  </si>
  <si>
    <t xml:space="preserve">Plan de trésorerie mois par mois pour la première année.</t>
  </si>
  <si>
    <t xml:space="preserve">Tableau de bord</t>
  </si>
  <si>
    <t xml:space="preserve">Synthèse graphique, indicateurs clés et feux de viabilité.</t>
  </si>
  <si>
    <t xml:space="preserve">Chiffres et noms d'exemple entièrement fictifs — remplacez-les par vos propres données. Montants en euros, hors taxes (HT).</t>
  </si>
  <si>
    <t xml:space="preserve">HYPOTHÈSES &amp; CHIFFRE D'AFFAIRES</t>
  </si>
  <si>
    <t xml:space="preserve">Paramètres d'activité du salon et chiffre d'affaires prévisionnel sur 3 ans.</t>
  </si>
  <si>
    <t xml:space="preserve">PARAMÈTRES GÉNÉRAUX</t>
  </si>
  <si>
    <t xml:space="preserve">Année de démarrage</t>
  </si>
  <si>
    <t xml:space="preserve">Jours d'ouverture par an</t>
  </si>
  <si>
    <t xml:space="preserve">Nombre de fauteuils / postes</t>
  </si>
  <si>
    <t xml:space="preserve">Part vente de produits (% du CA prestations)</t>
  </si>
  <si>
    <t xml:space="preserve">Croissance du CA — Année 2</t>
  </si>
  <si>
    <t xml:space="preserve">Croissance du CA — Année 3</t>
  </si>
  <si>
    <t xml:space="preserve">PRESTATIONS — ANNÉE 1 (hypothèses journalières)</t>
  </si>
  <si>
    <t xml:space="preserve">Prestation</t>
  </si>
  <si>
    <t xml:space="preserve">Prix moyen HT</t>
  </si>
  <si>
    <t xml:space="preserve">Prestations / jour</t>
  </si>
  <si>
    <t xml:space="preserve">CA / jour HT</t>
  </si>
  <si>
    <t xml:space="preserve">CA annuel HT</t>
  </si>
  <si>
    <t xml:space="preserve">Coupe &amp; coiffage femme</t>
  </si>
  <si>
    <t xml:space="preserve">Coupe homme</t>
  </si>
  <si>
    <t xml:space="preserve">Coupe enfant</t>
  </si>
  <si>
    <t xml:space="preserve">Brushing / coiffage</t>
  </si>
  <si>
    <t xml:space="preserve">Coloration</t>
  </si>
  <si>
    <t xml:space="preserve">Mèches / balayage</t>
  </si>
  <si>
    <t xml:space="preserve">Soin capillaire</t>
  </si>
  <si>
    <t xml:space="preserve">Chignon / coiffure événement</t>
  </si>
  <si>
    <t xml:space="preserve">Total prestations</t>
  </si>
  <si>
    <t xml:space="preserve">SYNTHÈSE DU CHIFFRE D'AFFAIRES PRÉVISIONNEL</t>
  </si>
  <si>
    <t xml:space="preserve">Année 1 (2027)</t>
  </si>
  <si>
    <t xml:space="preserve">Année 2 (2028)</t>
  </si>
  <si>
    <t xml:space="preserve">Année 3 (2029)</t>
  </si>
  <si>
    <t xml:space="preserve">CA prestations HT</t>
  </si>
  <si>
    <t xml:space="preserve">CA vente de produits HT</t>
  </si>
  <si>
    <t xml:space="preserve">CHIFFRE D'AFFAIRES TOTAL HT</t>
  </si>
  <si>
    <t xml:space="preserve">INVESTISSEMENT &amp; FINANCEMENT</t>
  </si>
  <si>
    <t xml:space="preserve">Besoins pour démarrer le salon et ressources mobilisées pour les financer.</t>
  </si>
  <si>
    <t xml:space="preserve">BESOINS DE DÉMARRAGE</t>
  </si>
  <si>
    <t xml:space="preserve">Droit au bail / fonds de commerce</t>
  </si>
  <si>
    <t xml:space="preserve">Travaux &amp; agencement</t>
  </si>
  <si>
    <t xml:space="preserve">Mobilier &amp; installations (bacs, fauteuils)</t>
  </si>
  <si>
    <t xml:space="preserve">Matériel de coiffure</t>
  </si>
  <si>
    <t xml:space="preserve">Matériel informatique &amp; caisse</t>
  </si>
  <si>
    <t xml:space="preserve">Enseigne &amp; signalétique</t>
  </si>
  <si>
    <t xml:space="preserve">Stock initial de produits</t>
  </si>
  <si>
    <t xml:space="preserve">Frais d'établissement (honoraires, immatriculation)</t>
  </si>
  <si>
    <t xml:space="preserve">Trésorerie de démarrage</t>
  </si>
  <si>
    <t xml:space="preserve">TOTAL DES BESOINS</t>
  </si>
  <si>
    <t xml:space="preserve">PLAN DE FINANCEMENT (RESSOURCES)</t>
  </si>
  <si>
    <t xml:space="preserve">Apport personnel</t>
  </si>
  <si>
    <t xml:space="preserve">Prêt d'honneur</t>
  </si>
  <si>
    <t xml:space="preserve">Emprunt bancaire</t>
  </si>
  <si>
    <t xml:space="preserve">TOTAL DES RESSOURCES</t>
  </si>
  <si>
    <t xml:space="preserve">Écart ressources − besoins</t>
  </si>
  <si>
    <t xml:space="preserve">dont apports en capital (apport + prêt d'honneur)</t>
  </si>
  <si>
    <t xml:space="preserve">dont investissements hors trésorerie de démarrage</t>
  </si>
  <si>
    <t xml:space="preserve">CARACTÉRISTIQUES DE L'EMPRUNT</t>
  </si>
  <si>
    <t xml:space="preserve">Montant emprunté</t>
  </si>
  <si>
    <t xml:space="preserve">Taux d'intérêt annuel</t>
  </si>
  <si>
    <t xml:space="preserve">Durée (mois)</t>
  </si>
  <si>
    <t xml:space="preserve">Mensualité (capital + intérêts)</t>
  </si>
  <si>
    <t xml:space="preserve">Coût total du crédit</t>
  </si>
  <si>
    <t xml:space="preserve">AMORTISSEMENT DE L'EMPRUNT (simplifié, par an)</t>
  </si>
  <si>
    <t xml:space="preserve">Année</t>
  </si>
  <si>
    <t xml:space="preserve">Capital début</t>
  </si>
  <si>
    <t xml:space="preserve">Intérêts</t>
  </si>
  <si>
    <t xml:space="preserve">Capital remboursé</t>
  </si>
  <si>
    <t xml:space="preserve">Capital fin</t>
  </si>
  <si>
    <t xml:space="preserve">Année 1</t>
  </si>
  <si>
    <t xml:space="preserve">Année 2</t>
  </si>
  <si>
    <t xml:space="preserve">Année 3</t>
  </si>
  <si>
    <t xml:space="preserve">DOTATION AUX AMORTISSEMENTS</t>
  </si>
  <si>
    <t xml:space="preserve">Poste</t>
  </si>
  <si>
    <t xml:space="preserve">Base HT</t>
  </si>
  <si>
    <t xml:space="preserve">Durée (ans)</t>
  </si>
  <si>
    <t xml:space="preserve">Dotation / an</t>
  </si>
  <si>
    <t xml:space="preserve">Mobilier &amp; installations</t>
  </si>
  <si>
    <t xml:space="preserve">TOTAL DOTATION ANNUELLE</t>
  </si>
  <si>
    <t xml:space="preserve">CHARGES &amp; PERSONNEL</t>
  </si>
  <si>
    <t xml:space="preserve">Masse salariale et charges d'exploitation projetées sur 3 ans.</t>
  </si>
  <si>
    <t xml:space="preserve">PARAMÈTRES</t>
  </si>
  <si>
    <t xml:space="preserve">Taux de charges patronales (salariés)</t>
  </si>
  <si>
    <t xml:space="preserve">Cotisations sociales dirigeant (TNS)</t>
  </si>
  <si>
    <t xml:space="preserve">Inflation annuelle des charges</t>
  </si>
  <si>
    <t xml:space="preserve">Évolution annuelle de la masse salariale</t>
  </si>
  <si>
    <t xml:space="preserve">Achats techniques (% du CA prestations)</t>
  </si>
  <si>
    <t xml:space="preserve">Coût des produits revendus (% du CA produits)</t>
  </si>
  <si>
    <t xml:space="preserve">MASSE SALARIALE — ANNÉE 1</t>
  </si>
  <si>
    <t xml:space="preserve">Effectif</t>
  </si>
  <si>
    <t xml:space="preserve">Brut mensuel</t>
  </si>
  <si>
    <t xml:space="preserve">Brut annuel</t>
  </si>
  <si>
    <t xml:space="preserve">Charges sociales</t>
  </si>
  <si>
    <t xml:space="preserve">Coût employeur</t>
  </si>
  <si>
    <t xml:space="preserve">Coiffeur(se) confirmé(e)</t>
  </si>
  <si>
    <t xml:space="preserve">Coiffeur(se)</t>
  </si>
  <si>
    <t xml:space="preserve">Apprenti(e) / assistant(e)</t>
  </si>
  <si>
    <t xml:space="preserve">Rémunération du dirigeant (TNS)</t>
  </si>
  <si>
    <t xml:space="preserve">TOTAL MASSE SALARIALE</t>
  </si>
  <si>
    <t xml:space="preserve">CHARGES EXTERNES &amp; AUTRES — 3 ANS</t>
  </si>
  <si>
    <t xml:space="preserve">Loyer &amp; charges locatives</t>
  </si>
  <si>
    <t xml:space="preserve">Énergie (eau, électricité, chauffage)</t>
  </si>
  <si>
    <t xml:space="preserve">Assurances (RC pro, multirisque)</t>
  </si>
  <si>
    <t xml:space="preserve">Entretien, blanchisserie, nettoyage</t>
  </si>
  <si>
    <t xml:space="preserve">Honoraires comptables &amp; juridiques</t>
  </si>
  <si>
    <t xml:space="preserve">SACEM / SPRE (musique)</t>
  </si>
  <si>
    <t xml:space="preserve">Publicité &amp; communication</t>
  </si>
  <si>
    <t xml:space="preserve">Télécom, logiciel caisse &amp; RDV</t>
  </si>
  <si>
    <t xml:space="preserve">Fournitures &amp; petit équipement</t>
  </si>
  <si>
    <t xml:space="preserve">Frais bancaires</t>
  </si>
  <si>
    <t xml:space="preserve">TOTAL CHARGES EXTERNES</t>
  </si>
  <si>
    <t xml:space="preserve">Impôts &amp; taxes (CFE, contributions)</t>
  </si>
  <si>
    <t xml:space="preserve">SYNTHÈSE 3 ANS — PERSONNEL &amp; ACHATS</t>
  </si>
  <si>
    <t xml:space="preserve">Masse salariale (coût employeur)</t>
  </si>
  <si>
    <t xml:space="preserve">Achats consommés (variables)</t>
  </si>
  <si>
    <t xml:space="preserve">COMPTE DE RÉSULTAT &amp; RENTABILITÉ</t>
  </si>
  <si>
    <t xml:space="preserve">Compte de résultat prévisionnel, soldes intermédiaires de gestion et seuil de rentabilité.</t>
  </si>
  <si>
    <t xml:space="preserve">Compte de résultat prévisionnel (HT)</t>
  </si>
  <si>
    <t xml:space="preserve">Chiffre d'affaires HT</t>
  </si>
  <si>
    <t xml:space="preserve">Achats consommés</t>
  </si>
  <si>
    <t xml:space="preserve">Marge brute</t>
  </si>
  <si>
    <t xml:space="preserve">Charges externes</t>
  </si>
  <si>
    <t xml:space="preserve">Valeur ajoutée</t>
  </si>
  <si>
    <t xml:space="preserve">Impôts &amp; taxes</t>
  </si>
  <si>
    <t xml:space="preserve">Charges de personnel</t>
  </si>
  <si>
    <t xml:space="preserve">Excédent brut d'exploitation (EBE)</t>
  </si>
  <si>
    <t xml:space="preserve">Dotations aux amortissements</t>
  </si>
  <si>
    <t xml:space="preserve">Résultat d'exploitation</t>
  </si>
  <si>
    <t xml:space="preserve">Charges financières (intérêts)</t>
  </si>
  <si>
    <t xml:space="preserve">Résultat courant avant impôt</t>
  </si>
  <si>
    <t xml:space="preserve">Impôt sur les bénéfices (IS)</t>
  </si>
  <si>
    <t xml:space="preserve">RÉSULTAT NET</t>
  </si>
  <si>
    <t xml:space="preserve">Capacité d'autofinancement (CAF)</t>
  </si>
  <si>
    <t xml:space="preserve">RATIOS CLÉS</t>
  </si>
  <si>
    <t xml:space="preserve">Taux de marge brute</t>
  </si>
  <si>
    <t xml:space="preserve">Taux d'EBE / CA</t>
  </si>
  <si>
    <t xml:space="preserve">Taux de résultat net / CA</t>
  </si>
  <si>
    <t xml:space="preserve">SEUIL DE RENTABILITÉ</t>
  </si>
  <si>
    <t xml:space="preserve">Charges fixes</t>
  </si>
  <si>
    <t xml:space="preserve">Charges variables</t>
  </si>
  <si>
    <t xml:space="preserve">Taux de marge sur coûts variables</t>
  </si>
  <si>
    <t xml:space="preserve">Seuil de rentabilité (CA HT)</t>
  </si>
  <si>
    <t xml:space="preserve">Point mort (jours d'activité)</t>
  </si>
  <si>
    <t xml:space="preserve">Marge de sécurité</t>
  </si>
  <si>
    <t xml:space="preserve">PLAN DE TRÉSORERIE — ANNÉE 1</t>
  </si>
  <si>
    <t xml:space="preserve">Encaissements et décaissements mois par mois. La trésorerie de fin de mois ne doit jamais devenir négative.</t>
  </si>
  <si>
    <t xml:space="preserve">En euros (HT)</t>
  </si>
  <si>
    <t xml:space="preserve">Janv.</t>
  </si>
  <si>
    <t xml:space="preserve">Févr.</t>
  </si>
  <si>
    <t xml:space="preserve">Mars</t>
  </si>
  <si>
    <t xml:space="preserve">Avr.</t>
  </si>
  <si>
    <t xml:space="preserve">Mai</t>
  </si>
  <si>
    <t xml:space="preserve">Juin</t>
  </si>
  <si>
    <t xml:space="preserve">Juil.</t>
  </si>
  <si>
    <t xml:space="preserve">Août</t>
  </si>
  <si>
    <t xml:space="preserve">Sept.</t>
  </si>
  <si>
    <t xml:space="preserve">Oct.</t>
  </si>
  <si>
    <t xml:space="preserve">Nov.</t>
  </si>
  <si>
    <t xml:space="preserve">Déc.</t>
  </si>
  <si>
    <t xml:space="preserve">Total</t>
  </si>
  <si>
    <t xml:space="preserve">Coefficient d'activité</t>
  </si>
  <si>
    <t xml:space="preserve">ENCAISSEMENTS</t>
  </si>
  <si>
    <t xml:space="preserve">Recettes prestations</t>
  </si>
  <si>
    <t xml:space="preserve">Recettes produits</t>
  </si>
  <si>
    <t xml:space="preserve">Apports en capital</t>
  </si>
  <si>
    <t xml:space="preserve">Total encaissements</t>
  </si>
  <si>
    <t xml:space="preserve">DÉCAISSEMENTS</t>
  </si>
  <si>
    <t xml:space="preserve">Achats de produits</t>
  </si>
  <si>
    <t xml:space="preserve">Investissements</t>
  </si>
  <si>
    <t xml:space="preserve">Remboursement d'emprunt</t>
  </si>
  <si>
    <t xml:space="preserve">Total décaissements</t>
  </si>
  <si>
    <t xml:space="preserve">Solde du mois</t>
  </si>
  <si>
    <t xml:space="preserve">Trésorerie de fin de mois</t>
  </si>
  <si>
    <t xml:space="preserve">TABLEAU DE BORD</t>
  </si>
  <si>
    <t xml:space="preserve">Synthèse de la viabilité du projet — se met à jour automatiquement avec vos hypothèses.</t>
  </si>
  <si>
    <t xml:space="preserve">CHIFFRE D'AFFAIRES AN 1</t>
  </si>
  <si>
    <t xml:space="preserve">EBE AN 1</t>
  </si>
  <si>
    <t xml:space="preserve">RÉSULTAT NET AN 1</t>
  </si>
  <si>
    <t xml:space="preserve">INVESTISSEMENT TOTAL</t>
  </si>
  <si>
    <t xml:space="preserve">TRÉSORERIE MINI AN 1</t>
  </si>
  <si>
    <t xml:space="preserve">TRAJECTOIRE FINANCIÈRE (3 ANS)</t>
  </si>
  <si>
    <t xml:space="preserve">Chiffre d'affaires</t>
  </si>
  <si>
    <t xml:space="preserve">EBE</t>
  </si>
  <si>
    <t xml:space="preserve">Résultat net</t>
  </si>
  <si>
    <t xml:space="preserve">RÉPARTITION DES CHARGES — ANNÉE 1</t>
  </si>
  <si>
    <t xml:space="preserve">Personnel</t>
  </si>
  <si>
    <t xml:space="preserve">Amortissements</t>
  </si>
  <si>
    <t xml:space="preserve">Intérêts d'emprunt</t>
  </si>
  <si>
    <t xml:space="preserve">FEUX DE VIABILITÉ</t>
  </si>
  <si>
    <t xml:space="preserve">Résultat net positif (An 1)</t>
  </si>
  <si>
    <t xml:space="preserve">Financement ≥ besoins</t>
  </si>
  <si>
    <t xml:space="preserve">Trésorerie jamais négative</t>
  </si>
  <si>
    <t xml:space="preserve">EBE positif (An 1)</t>
  </si>
  <si>
    <t xml:space="preserve">ÉVOLUTION DE LA TRÉSORERIE — ANNÉE 1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</si>
</sst>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dd/mm/yyyy"/>
    <numFmt numFmtId="166" formatCode="0"/>
    <numFmt numFmtId="167" formatCode="0.0%"/>
    <numFmt numFmtId="168" formatCode="#,##0.00&quot; €&quot;"/>
    <numFmt numFmtId="169" formatCode="0.0"/>
    <numFmt numFmtId="170" formatCode="#,##0&quot; €&quot;"/>
    <numFmt numFmtId="171" formatCode="#,##0&quot; €&quot;;\(#,##0&quot; €)&quot;"/>
    <numFmt numFmtId="172" formatCode="0&quot; j&quot;"/>
    <numFmt numFmtId="173" formatCode="0.00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Calibri"/>
      <family val="0"/>
      <charset val="1"/>
    </font>
    <font>
      <sz val="10"/>
      <color rgb="FFFFFF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9.5"/>
      <color rgb="FF6E4A6B"/>
      <name val="Calibri"/>
      <family val="0"/>
      <charset val="1"/>
    </font>
    <font>
      <sz val="10"/>
      <color rgb="FF2B2130"/>
      <name val="Calibri"/>
      <family val="0"/>
      <charset val="1"/>
    </font>
    <font>
      <b val="true"/>
      <sz val="13"/>
      <color rgb="FF4B2E4A"/>
      <name val="Calibri"/>
      <family val="0"/>
      <charset val="1"/>
    </font>
    <font>
      <b val="true"/>
      <sz val="12"/>
      <color rgb="FF4B2E4A"/>
      <name val="Calibri"/>
      <family val="0"/>
      <charset val="1"/>
    </font>
    <font>
      <b val="true"/>
      <sz val="10"/>
      <color rgb="FF9A5E72"/>
      <name val="Calibri"/>
      <family val="0"/>
      <charset val="1"/>
    </font>
    <font>
      <sz val="9"/>
      <color rgb="FF7A6E78"/>
      <name val="Calibri"/>
      <family val="0"/>
      <charset val="1"/>
    </font>
    <font>
      <sz val="9.5"/>
      <color rgb="FFFFFFFF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"/>
      <color rgb="FF2B2130"/>
      <name val="Calibri"/>
      <family val="0"/>
      <charset val="1"/>
    </font>
    <font>
      <sz val="10"/>
      <color rgb="FF7A6E78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sz val="9"/>
      <color rgb="FF2B2130"/>
      <name val="Calibri"/>
      <family val="0"/>
      <charset val="1"/>
    </font>
    <font>
      <b val="true"/>
      <sz val="9"/>
      <color rgb="FF2B2130"/>
      <name val="Calibri"/>
      <family val="0"/>
      <charset val="1"/>
    </font>
    <font>
      <b val="true"/>
      <sz val="9"/>
      <color rgb="FFE7D6E2"/>
      <name val="Calibri"/>
      <family val="0"/>
      <charset val="1"/>
    </font>
    <font>
      <b val="true"/>
      <sz val="15"/>
      <color rgb="FFFFFFFF"/>
      <name val="Calibri"/>
      <family val="0"/>
      <charset val="1"/>
    </font>
    <font>
      <b val="true"/>
      <sz val="10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4B2E4A"/>
        <bgColor rgb="FF5C3A59"/>
      </patternFill>
    </fill>
    <fill>
      <patternFill patternType="solid">
        <fgColor rgb="FFB5788C"/>
        <bgColor rgb="FF9A5E72"/>
      </patternFill>
    </fill>
    <fill>
      <patternFill patternType="solid">
        <fgColor rgb="FF6E4A6B"/>
        <bgColor rgb="FF5C3A59"/>
      </patternFill>
    </fill>
    <fill>
      <patternFill patternType="solid">
        <fgColor rgb="FFFCE9EF"/>
        <bgColor rgb="FFF6EEF2"/>
      </patternFill>
    </fill>
    <fill>
      <patternFill patternType="solid">
        <fgColor rgb="FFFFFFFF"/>
        <bgColor rgb="FFFBF7F9"/>
      </patternFill>
    </fill>
    <fill>
      <patternFill patternType="solid">
        <fgColor rgb="FFF6EEF2"/>
        <bgColor rgb="FFFCE9EF"/>
      </patternFill>
    </fill>
    <fill>
      <patternFill patternType="solid">
        <fgColor rgb="FFFBF7F9"/>
        <bgColor rgb="FFFFFFFF"/>
      </patternFill>
    </fill>
    <fill>
      <patternFill patternType="solid">
        <fgColor rgb="FF5C3A59"/>
        <bgColor rgb="FF4B2E4A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E0D3DB"/>
      </left>
      <right/>
      <top style="thin">
        <color rgb="FFE0D3DB"/>
      </top>
      <bottom style="thin">
        <color rgb="FFE0D3DB"/>
      </bottom>
      <diagonal/>
    </border>
    <border diagonalUp="false" diagonalDown="false">
      <left style="thin">
        <color rgb="FFE0D3DB"/>
      </left>
      <right style="thin">
        <color rgb="FFE0D3DB"/>
      </right>
      <top style="thin">
        <color rgb="FFE0D3DB"/>
      </top>
      <bottom style="thin">
        <color rgb="FFE0D3DB"/>
      </bottom>
      <diagonal/>
    </border>
    <border diagonalUp="false" diagonalDown="false">
      <left/>
      <right/>
      <top/>
      <bottom style="thick">
        <color rgb="FFB5788C"/>
      </bottom>
      <diagonal/>
    </border>
    <border diagonalUp="false" diagonalDown="false">
      <left/>
      <right/>
      <top/>
      <bottom style="thick">
        <color rgb="FF6E4A6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8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5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6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7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8" fillId="5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8" fillId="5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4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8" fillId="5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9" fontId="8" fillId="5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8" fontId="8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70" fontId="8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8" fontId="8" fillId="8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70" fontId="8" fillId="8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5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5" fillId="2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4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5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8" fillId="8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71" fontId="16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70" fontId="1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8" fontId="11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8" fillId="5" borderId="2" xfId="0" applyFont="true" applyBorder="true" applyAlignment="true" applyProtection="false">
      <alignment horizontal="center" vertical="center" textRotation="0" wrapText="false" indent="1" shrinkToFit="false"/>
      <protection locked="true" hidden="false"/>
    </xf>
    <xf numFmtId="164" fontId="15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8" fillId="0" borderId="2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16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16" fillId="7" borderId="2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15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15" fillId="2" borderId="2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14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8" fillId="0" borderId="2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7" fontId="8" fillId="0" borderId="2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70" fontId="15" fillId="2" borderId="2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72" fontId="8" fillId="0" borderId="2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15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8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12" fillId="5" borderId="2" xfId="0" applyFont="true" applyBorder="true" applyAlignment="true" applyProtection="false">
      <alignment horizontal="center" vertical="center" textRotation="0" wrapText="false" indent="1" shrinkToFit="false"/>
      <protection locked="true" hidden="false"/>
    </xf>
    <xf numFmtId="173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5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9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20" fillId="7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2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20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20" fillId="7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8" fillId="2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1" fillId="9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0" fontId="22" fillId="9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0" fontId="22" fillId="9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8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8" fillId="8" borderId="2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23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name val="Calibri"/>
        <charset val="1"/>
        <family val="0"/>
        <b val="1"/>
        <color rgb="FF2E7D4F"/>
      </font>
      <fill>
        <patternFill>
          <bgColor rgb="FFD6EEDD"/>
        </patternFill>
      </fill>
    </dxf>
    <dxf>
      <font>
        <name val="Calibri"/>
        <charset val="1"/>
        <family val="0"/>
        <b val="1"/>
        <color rgb="FFC0392B"/>
      </font>
      <fill>
        <patternFill>
          <bgColor rgb="FFF6DAD6"/>
        </patternFill>
      </fill>
    </dxf>
    <dxf>
      <font>
        <name val="Calibri"/>
        <charset val="1"/>
        <family val="0"/>
        <b val="1"/>
        <color rgb="FFFFFFFF"/>
        <sz val="9"/>
      </font>
      <fill>
        <patternFill>
          <bgColor rgb="FFC0392B"/>
        </patternFill>
      </fill>
    </dxf>
    <dxf>
      <font>
        <name val="Calibri"/>
        <charset val="1"/>
        <family val="0"/>
        <b val="1"/>
        <color rgb="FFFFFFFF"/>
      </font>
      <fill>
        <patternFill>
          <bgColor rgb="FF2E7D4F"/>
        </patternFill>
      </fill>
    </dxf>
    <dxf>
      <font>
        <name val="Calibri"/>
        <charset val="1"/>
        <family val="0"/>
        <b val="1"/>
        <color rgb="FFFFFFFF"/>
      </font>
      <fill>
        <patternFill>
          <bgColor rgb="FFC0392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5E72"/>
      <rgbColor rgb="FF800080"/>
      <rgbColor rgb="FF4F81BD"/>
      <rgbColor rgb="FFD9D9D9"/>
      <rgbColor rgb="FF878787"/>
      <rgbColor rgb="FF9999FF"/>
      <rgbColor rgb="FF6E4A6B"/>
      <rgbColor rgb="FFFBF7F9"/>
      <rgbColor rgb="FFF6EEF2"/>
      <rgbColor rgb="FF660066"/>
      <rgbColor rgb="FFFF8080"/>
      <rgbColor rgb="FF0066CC"/>
      <rgbColor rgb="FFE0D3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CE9EF"/>
      <rgbColor rgb="FFD6EEDD"/>
      <rgbColor rgb="FFE7D6E2"/>
      <rgbColor rgb="FF99CCFF"/>
      <rgbColor rgb="FFFF99CC"/>
      <rgbColor rgb="FFCC99FF"/>
      <rgbColor rgb="FFF6DAD6"/>
      <rgbColor rgb="FF4A7EBB"/>
      <rgbColor rgb="FF33CCCC"/>
      <rgbColor rgb="FF9BBB59"/>
      <rgbColor rgb="FFFFCC00"/>
      <rgbColor rgb="FFFF9900"/>
      <rgbColor rgb="FFFF6600"/>
      <rgbColor rgb="FF7A6E78"/>
      <rgbColor rgb="FFB5788C"/>
      <rgbColor rgb="FF003366"/>
      <rgbColor rgb="FF2E7D4F"/>
      <rgbColor rgb="FF003300"/>
      <rgbColor rgb="FF4B2E4A"/>
      <rgbColor rgb="FFC0392B"/>
      <rgbColor rgb="FFC0504D"/>
      <rgbColor rgb="FF5C3A59"/>
      <rgbColor rgb="FF2B21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CA · EBE · Résultat net (3 ans)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'Tableau de bord'!B13</c:f>
              <c:strCache>
                <c:ptCount val="1"/>
                <c:pt idx="0">
                  <c:v>Chiffre d'affaires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bord'!$C$12:$E$12</c:f>
              <c:strCache>
                <c:ptCount val="3"/>
                <c:pt idx="0">
                  <c:v>Année 1</c:v>
                </c:pt>
                <c:pt idx="1">
                  <c:v>Année 2</c:v>
                </c:pt>
                <c:pt idx="2">
                  <c:v>Année 3</c:v>
                </c:pt>
              </c:strCache>
            </c:strRef>
          </c:cat>
          <c:val>
            <c:numRef>
              <c:f>'Tableau de bord'!$C$13:$E$13</c:f>
              <c:numCache>
                <c:formatCode>#,##0" €"</c:formatCode>
                <c:ptCount val="3"/>
                <c:pt idx="0">
                  <c:v>260467.2</c:v>
                </c:pt>
                <c:pt idx="1">
                  <c:v>281304.576</c:v>
                </c:pt>
                <c:pt idx="2">
                  <c:v>295369.8048</c:v>
                </c:pt>
              </c:numCache>
            </c:numRef>
          </c:val>
        </c:ser>
        <c:ser>
          <c:idx val="1"/>
          <c:order val="1"/>
          <c:tx>
            <c:strRef>
              <c:f>'Tableau de bord'!B14</c:f>
              <c:strCache>
                <c:ptCount val="1"/>
                <c:pt idx="0">
                  <c:v>EBE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bord'!$C$12:$E$12</c:f>
              <c:strCache>
                <c:ptCount val="3"/>
                <c:pt idx="0">
                  <c:v>Année 1</c:v>
                </c:pt>
                <c:pt idx="1">
                  <c:v>Année 2</c:v>
                </c:pt>
                <c:pt idx="2">
                  <c:v>Année 3</c:v>
                </c:pt>
              </c:strCache>
            </c:strRef>
          </c:cat>
          <c:val>
            <c:numRef>
              <c:f>'Tableau de bord'!$C$14:$E$14</c:f>
              <c:numCache>
                <c:formatCode>#,##0" €"</c:formatCode>
                <c:ptCount val="3"/>
                <c:pt idx="0">
                  <c:v>65187.84</c:v>
                </c:pt>
                <c:pt idx="1">
                  <c:v>78742.8672</c:v>
                </c:pt>
                <c:pt idx="2">
                  <c:v>86345.41056</c:v>
                </c:pt>
              </c:numCache>
            </c:numRef>
          </c:val>
        </c:ser>
        <c:ser>
          <c:idx val="2"/>
          <c:order val="2"/>
          <c:tx>
            <c:strRef>
              <c:f>'Tableau de bord'!B15</c:f>
              <c:strCache>
                <c:ptCount val="1"/>
                <c:pt idx="0">
                  <c:v>Résultat net</c:v>
                </c:pt>
              </c:strCache>
            </c:strRef>
          </c:tx>
          <c:spPr>
            <a:solidFill>
              <a:srgbClr val="9bbb59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bord'!$C$12:$E$12</c:f>
              <c:strCache>
                <c:ptCount val="3"/>
                <c:pt idx="0">
                  <c:v>Année 1</c:v>
                </c:pt>
                <c:pt idx="1">
                  <c:v>Année 2</c:v>
                </c:pt>
                <c:pt idx="2">
                  <c:v>Année 3</c:v>
                </c:pt>
              </c:strCache>
            </c:strRef>
          </c:cat>
          <c:val>
            <c:numRef>
              <c:f>'Tableau de bord'!$C$15:$E$15</c:f>
              <c:numCache>
                <c:formatCode>#,##0" €"</c:formatCode>
                <c:ptCount val="3"/>
                <c:pt idx="0">
                  <c:v>45100.2575</c:v>
                </c:pt>
                <c:pt idx="1">
                  <c:v>55473.7004</c:v>
                </c:pt>
                <c:pt idx="2">
                  <c:v>61390.03292</c:v>
                </c:pt>
              </c:numCache>
            </c:numRef>
          </c:val>
        </c:ser>
        <c:gapWidth val="150"/>
        <c:overlap val="0"/>
        <c:axId val="70628666"/>
        <c:axId val="72596082"/>
      </c:barChart>
      <c:catAx>
        <c:axId val="7062866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2596082"/>
        <c:crosses val="autoZero"/>
        <c:auto val="1"/>
        <c:lblAlgn val="ctr"/>
        <c:lblOffset val="100"/>
        <c:noMultiLvlLbl val="0"/>
      </c:catAx>
      <c:valAx>
        <c:axId val="72596082"/>
        <c:scaling>
          <c:orientation val="minMax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0628666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Répartition des charges (An 1)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bord'!$B$18:$B$23</c:f>
              <c:strCache>
                <c:ptCount val="6"/>
                <c:pt idx="0">
                  <c:v>Achats consommés</c:v>
                </c:pt>
                <c:pt idx="1">
                  <c:v>Charges externes</c:v>
                </c:pt>
                <c:pt idx="2">
                  <c:v>Personnel</c:v>
                </c:pt>
                <c:pt idx="3">
                  <c:v>Impôts &amp; taxes</c:v>
                </c:pt>
                <c:pt idx="4">
                  <c:v>Amortissements</c:v>
                </c:pt>
                <c:pt idx="5">
                  <c:v>Intérêts d'emprunt</c:v>
                </c:pt>
              </c:strCache>
            </c:strRef>
          </c:cat>
          <c:val>
            <c:numRef>
              <c:f>'Tableau de bord'!$C$18:$C$23</c:f>
              <c:numCache>
                <c:formatCode>#,##0" €"</c:formatCode>
                <c:ptCount val="6"/>
                <c:pt idx="0">
                  <c:v>36279.36</c:v>
                </c:pt>
                <c:pt idx="1">
                  <c:v>37800</c:v>
                </c:pt>
                <c:pt idx="2">
                  <c:v>120000</c:v>
                </c:pt>
                <c:pt idx="3">
                  <c:v>1200</c:v>
                </c:pt>
                <c:pt idx="4">
                  <c:v>8533.33</c:v>
                </c:pt>
                <c:pt idx="5">
                  <c:v>2187.5</c:v>
                </c:pt>
              </c:numCache>
            </c:numRef>
          </c:val>
        </c:ser>
        <c:gapWidth val="150"/>
        <c:overlap val="0"/>
        <c:axId val="31881541"/>
        <c:axId val="94215633"/>
      </c:barChart>
      <c:catAx>
        <c:axId val="3188154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4215633"/>
        <c:crosses val="autoZero"/>
        <c:auto val="1"/>
        <c:lblAlgn val="ctr"/>
        <c:lblOffset val="100"/>
        <c:noMultiLvlLbl val="0"/>
      </c:catAx>
      <c:valAx>
        <c:axId val="9421563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188154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Trésorerie de fin de mois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'Trésorerie an 1'!$C$5:$N$5</c:f>
              <c:strCache>
                <c:ptCount val="12"/>
                <c:pt idx="0">
                  <c:v>Janv.</c:v>
                </c:pt>
                <c:pt idx="1">
                  <c:v>Févr.</c:v>
                </c:pt>
                <c:pt idx="2">
                  <c:v>Mars</c:v>
                </c:pt>
                <c:pt idx="3">
                  <c:v>Avr.</c:v>
                </c:pt>
                <c:pt idx="4">
                  <c:v>Mai</c:v>
                </c:pt>
                <c:pt idx="5">
                  <c:v>Juin</c:v>
                </c:pt>
                <c:pt idx="6">
                  <c:v>Juil.</c:v>
                </c:pt>
                <c:pt idx="7">
                  <c:v>Août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Déc.</c:v>
                </c:pt>
              </c:strCache>
            </c:strRef>
          </c:cat>
          <c:val>
            <c:numRef>
              <c:f>'Trésorerie an 1'!$C$22:$N$22</c:f>
              <c:numCache>
                <c:formatCode>#,##0" €";\(#,##0" €)"</c:formatCode>
                <c:ptCount val="12"/>
                <c:pt idx="0">
                  <c:v>17724.1</c:v>
                </c:pt>
                <c:pt idx="1">
                  <c:v>19514.08</c:v>
                </c:pt>
                <c:pt idx="2">
                  <c:v>24106.41</c:v>
                </c:pt>
                <c:pt idx="3">
                  <c:v>28698.74</c:v>
                </c:pt>
                <c:pt idx="4">
                  <c:v>34225.19</c:v>
                </c:pt>
                <c:pt idx="5">
                  <c:v>40685.75</c:v>
                </c:pt>
                <c:pt idx="6">
                  <c:v>48080.43</c:v>
                </c:pt>
                <c:pt idx="7">
                  <c:v>48936.3</c:v>
                </c:pt>
                <c:pt idx="8">
                  <c:v>54462.75</c:v>
                </c:pt>
                <c:pt idx="9">
                  <c:v>59055.08</c:v>
                </c:pt>
                <c:pt idx="10">
                  <c:v>63647.41</c:v>
                </c:pt>
                <c:pt idx="11">
                  <c:v>70107.97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25504279"/>
        <c:axId val="49764952"/>
      </c:lineChart>
      <c:catAx>
        <c:axId val="255042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9764952"/>
        <c:crosses val="autoZero"/>
        <c:auto val="1"/>
        <c:lblAlgn val="ctr"/>
        <c:lblOffset val="100"/>
        <c:noMultiLvlLbl val="0"/>
      </c:catAx>
      <c:valAx>
        <c:axId val="49764952"/>
        <c:scaling>
          <c:orientation val="minMax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;\(#,##0&quot; €)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550427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10</xdr:row>
      <xdr:rowOff>0</xdr:rowOff>
    </xdr:from>
    <xdr:to>
      <xdr:col>9</xdr:col>
      <xdr:colOff>858600</xdr:colOff>
      <xdr:row>21</xdr:row>
      <xdr:rowOff>21960</xdr:rowOff>
    </xdr:to>
    <xdr:graphicFrame>
      <xdr:nvGraphicFramePr>
        <xdr:cNvPr id="0" name="Chart 1"/>
        <xdr:cNvGraphicFramePr/>
      </xdr:nvGraphicFramePr>
      <xdr:xfrm>
        <a:off x="5568480" y="2409840"/>
        <a:ext cx="3959640" cy="223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24</xdr:row>
      <xdr:rowOff>0</xdr:rowOff>
    </xdr:from>
    <xdr:to>
      <xdr:col>9</xdr:col>
      <xdr:colOff>858600</xdr:colOff>
      <xdr:row>35</xdr:row>
      <xdr:rowOff>21960</xdr:rowOff>
    </xdr:to>
    <xdr:graphicFrame>
      <xdr:nvGraphicFramePr>
        <xdr:cNvPr id="1" name="Chart 2"/>
        <xdr:cNvGraphicFramePr/>
      </xdr:nvGraphicFramePr>
      <xdr:xfrm>
        <a:off x="5568480" y="5191200"/>
        <a:ext cx="3959640" cy="223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31</xdr:row>
      <xdr:rowOff>0</xdr:rowOff>
    </xdr:from>
    <xdr:to>
      <xdr:col>7</xdr:col>
      <xdr:colOff>644760</xdr:colOff>
      <xdr:row>43</xdr:row>
      <xdr:rowOff>53640</xdr:rowOff>
    </xdr:to>
    <xdr:graphicFrame>
      <xdr:nvGraphicFramePr>
        <xdr:cNvPr id="2" name="Chart 3"/>
        <xdr:cNvGraphicFramePr/>
      </xdr:nvGraphicFramePr>
      <xdr:xfrm>
        <a:off x="141120" y="6638760"/>
        <a:ext cx="7199640" cy="23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5" min="2" style="0" width="30"/>
    <col collapsed="false" customWidth="true" hidden="false" outlineLevel="0" max="6" min="6" style="0" width="22"/>
  </cols>
  <sheetData>
    <row r="2" customFormat="false" ht="33.75" hidden="false" customHeight="true" outlineLevel="0" collapsed="false">
      <c r="B2" s="1" t="s">
        <v>0</v>
      </c>
      <c r="C2" s="1"/>
      <c r="D2" s="1"/>
      <c r="E2" s="1"/>
      <c r="F2" s="1"/>
    </row>
    <row r="3" customFormat="false" ht="19.5" hidden="false" customHeight="true" outlineLevel="0" collapsed="false">
      <c r="B3" s="2" t="s">
        <v>1</v>
      </c>
      <c r="C3" s="2"/>
      <c r="D3" s="2"/>
      <c r="E3" s="2"/>
      <c r="F3" s="2"/>
    </row>
    <row r="5" customFormat="false" ht="19.5" hidden="false" customHeight="true" outlineLevel="0" collapsed="false">
      <c r="B5" s="3" t="s">
        <v>2</v>
      </c>
      <c r="C5" s="3"/>
      <c r="D5" s="3"/>
      <c r="E5" s="3"/>
      <c r="F5" s="3"/>
    </row>
    <row r="6" customFormat="false" ht="15" hidden="false" customHeight="false" outlineLevel="0" collapsed="false">
      <c r="B6" s="4" t="s">
        <v>3</v>
      </c>
      <c r="C6" s="5" t="s">
        <v>4</v>
      </c>
      <c r="D6" s="5"/>
      <c r="E6" s="5"/>
      <c r="F6" s="5"/>
    </row>
    <row r="7" customFormat="false" ht="15" hidden="false" customHeight="false" outlineLevel="0" collapsed="false">
      <c r="B7" s="4" t="s">
        <v>5</v>
      </c>
      <c r="C7" s="5" t="s">
        <v>6</v>
      </c>
      <c r="D7" s="5"/>
      <c r="E7" s="5"/>
      <c r="F7" s="5"/>
    </row>
    <row r="8" customFormat="false" ht="15" hidden="false" customHeight="false" outlineLevel="0" collapsed="false">
      <c r="B8" s="4" t="s">
        <v>7</v>
      </c>
      <c r="C8" s="5" t="s">
        <v>8</v>
      </c>
      <c r="D8" s="5"/>
      <c r="E8" s="5"/>
      <c r="F8" s="5"/>
    </row>
    <row r="9" customFormat="false" ht="15" hidden="false" customHeight="false" outlineLevel="0" collapsed="false">
      <c r="B9" s="4" t="s">
        <v>9</v>
      </c>
      <c r="C9" s="5" t="s">
        <v>10</v>
      </c>
      <c r="D9" s="5"/>
      <c r="E9" s="5"/>
      <c r="F9" s="5"/>
    </row>
    <row r="10" customFormat="false" ht="15" hidden="false" customHeight="false" outlineLevel="0" collapsed="false">
      <c r="B10" s="4" t="s">
        <v>11</v>
      </c>
      <c r="C10" s="6" t="n">
        <v>46447</v>
      </c>
      <c r="D10" s="6"/>
      <c r="E10" s="6"/>
      <c r="F10" s="6"/>
    </row>
    <row r="12" customFormat="false" ht="16.15" hidden="false" customHeight="false" outlineLevel="0" collapsed="false">
      <c r="B12" s="7" t="s">
        <v>12</v>
      </c>
    </row>
    <row r="13" customFormat="false" ht="15" hidden="false" customHeight="true" outlineLevel="0" collapsed="false">
      <c r="B13" s="8" t="s">
        <v>13</v>
      </c>
      <c r="C13" s="8"/>
      <c r="D13" s="8"/>
      <c r="E13" s="8"/>
      <c r="F13" s="8"/>
    </row>
    <row r="14" customFormat="false" ht="15" hidden="false" customHeight="false" outlineLevel="0" collapsed="false">
      <c r="B14" s="8"/>
      <c r="C14" s="8"/>
      <c r="D14" s="8"/>
      <c r="E14" s="8"/>
      <c r="F14" s="8"/>
    </row>
    <row r="15" customFormat="false" ht="15" hidden="false" customHeight="false" outlineLevel="0" collapsed="false">
      <c r="B15" s="8"/>
      <c r="C15" s="8"/>
      <c r="D15" s="8"/>
      <c r="E15" s="8"/>
      <c r="F15" s="8"/>
    </row>
    <row r="17" customFormat="false" ht="15" hidden="false" customHeight="false" outlineLevel="0" collapsed="false">
      <c r="B17" s="9" t="s">
        <v>14</v>
      </c>
    </row>
    <row r="18" customFormat="false" ht="15" hidden="false" customHeight="false" outlineLevel="0" collapsed="false">
      <c r="B18" s="10"/>
      <c r="C18" s="11" t="s">
        <v>15</v>
      </c>
    </row>
    <row r="19" customFormat="false" ht="15" hidden="false" customHeight="false" outlineLevel="0" collapsed="false">
      <c r="B19" s="12"/>
      <c r="C19" s="11" t="s">
        <v>16</v>
      </c>
    </row>
    <row r="20" customFormat="false" ht="15" hidden="false" customHeight="false" outlineLevel="0" collapsed="false">
      <c r="B20" s="13"/>
      <c r="C20" s="11" t="s">
        <v>17</v>
      </c>
    </row>
    <row r="22" customFormat="false" ht="15" hidden="false" customHeight="false" outlineLevel="0" collapsed="false">
      <c r="B22" s="9" t="s">
        <v>18</v>
      </c>
    </row>
    <row r="23" customFormat="false" ht="15" hidden="false" customHeight="false" outlineLevel="0" collapsed="false">
      <c r="B23" s="14" t="s">
        <v>19</v>
      </c>
      <c r="C23" s="15" t="s">
        <v>20</v>
      </c>
      <c r="D23" s="15"/>
      <c r="E23" s="15"/>
      <c r="F23" s="15"/>
    </row>
    <row r="24" customFormat="false" ht="15" hidden="false" customHeight="false" outlineLevel="0" collapsed="false">
      <c r="B24" s="14" t="s">
        <v>21</v>
      </c>
      <c r="C24" s="15" t="s">
        <v>22</v>
      </c>
      <c r="D24" s="15"/>
      <c r="E24" s="15"/>
      <c r="F24" s="15"/>
    </row>
    <row r="25" customFormat="false" ht="15" hidden="false" customHeight="false" outlineLevel="0" collapsed="false">
      <c r="B25" s="14" t="s">
        <v>23</v>
      </c>
      <c r="C25" s="15" t="s">
        <v>24</v>
      </c>
      <c r="D25" s="15"/>
      <c r="E25" s="15"/>
      <c r="F25" s="15"/>
    </row>
    <row r="26" customFormat="false" ht="15" hidden="false" customHeight="false" outlineLevel="0" collapsed="false">
      <c r="B26" s="14" t="s">
        <v>25</v>
      </c>
      <c r="C26" s="15" t="s">
        <v>26</v>
      </c>
      <c r="D26" s="15"/>
      <c r="E26" s="15"/>
      <c r="F26" s="15"/>
    </row>
    <row r="27" customFormat="false" ht="15" hidden="false" customHeight="false" outlineLevel="0" collapsed="false">
      <c r="B27" s="14" t="s">
        <v>27</v>
      </c>
      <c r="C27" s="15" t="s">
        <v>28</v>
      </c>
      <c r="D27" s="15"/>
      <c r="E27" s="15"/>
      <c r="F27" s="15"/>
    </row>
    <row r="28" customFormat="false" ht="15" hidden="false" customHeight="false" outlineLevel="0" collapsed="false">
      <c r="B28" s="14" t="s">
        <v>29</v>
      </c>
      <c r="C28" s="15" t="s">
        <v>30</v>
      </c>
      <c r="D28" s="15"/>
      <c r="E28" s="15"/>
      <c r="F28" s="15"/>
    </row>
    <row r="30" customFormat="false" ht="30" hidden="false" customHeight="true" outlineLevel="0" collapsed="false">
      <c r="B30" s="16" t="s">
        <v>31</v>
      </c>
      <c r="C30" s="16"/>
      <c r="D30" s="16"/>
      <c r="E30" s="16"/>
      <c r="F30" s="16"/>
    </row>
  </sheetData>
  <mergeCells count="16">
    <mergeCell ref="B2:F2"/>
    <mergeCell ref="B3:F3"/>
    <mergeCell ref="B5:F5"/>
    <mergeCell ref="C6:F6"/>
    <mergeCell ref="C7:F7"/>
    <mergeCell ref="C8:F8"/>
    <mergeCell ref="C9:F9"/>
    <mergeCell ref="C10:F10"/>
    <mergeCell ref="B13:F15"/>
    <mergeCell ref="C23:F23"/>
    <mergeCell ref="C24:F24"/>
    <mergeCell ref="C25:F25"/>
    <mergeCell ref="C26:F26"/>
    <mergeCell ref="C27:F27"/>
    <mergeCell ref="C28:F28"/>
    <mergeCell ref="B30:F30"/>
  </mergeCells>
  <dataValidations count="1">
    <dataValidation allowBlank="true" errorStyle="stop" operator="between" showDropDown="false" showErrorMessage="false" showInputMessage="false" sqref="C8" type="list">
      <formula1>"EI,EURL,SARL,SASU,SAS"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8"/>
    <col collapsed="false" customWidth="true" hidden="false" outlineLevel="0" max="6" min="3" style="0" width="16"/>
  </cols>
  <sheetData>
    <row r="2" customFormat="false" ht="33.75" hidden="false" customHeight="true" outlineLevel="0" collapsed="false">
      <c r="B2" s="1" t="s">
        <v>32</v>
      </c>
      <c r="C2" s="1"/>
      <c r="D2" s="1"/>
      <c r="E2" s="1"/>
      <c r="F2" s="1"/>
    </row>
    <row r="3" customFormat="false" ht="18" hidden="false" customHeight="true" outlineLevel="0" collapsed="false">
      <c r="B3" s="17" t="s">
        <v>33</v>
      </c>
      <c r="C3" s="17"/>
      <c r="D3" s="17"/>
      <c r="E3" s="17"/>
      <c r="F3" s="17"/>
    </row>
    <row r="5" customFormat="false" ht="19.5" hidden="false" customHeight="true" outlineLevel="0" collapsed="false">
      <c r="B5" s="3" t="s">
        <v>34</v>
      </c>
      <c r="C5" s="3"/>
      <c r="D5" s="3"/>
    </row>
    <row r="6" customFormat="false" ht="15" hidden="false" customHeight="false" outlineLevel="0" collapsed="false">
      <c r="B6" s="11" t="s">
        <v>35</v>
      </c>
      <c r="C6" s="18" t="n">
        <v>2027</v>
      </c>
    </row>
    <row r="7" customFormat="false" ht="15" hidden="false" customHeight="false" outlineLevel="0" collapsed="false">
      <c r="B7" s="11" t="s">
        <v>36</v>
      </c>
      <c r="C7" s="18" t="n">
        <v>285</v>
      </c>
    </row>
    <row r="8" customFormat="false" ht="15" hidden="false" customHeight="false" outlineLevel="0" collapsed="false">
      <c r="B8" s="11" t="s">
        <v>37</v>
      </c>
      <c r="C8" s="18" t="n">
        <v>3</v>
      </c>
    </row>
    <row r="9" customFormat="false" ht="15" hidden="false" customHeight="false" outlineLevel="0" collapsed="false">
      <c r="B9" s="11" t="s">
        <v>38</v>
      </c>
      <c r="C9" s="19" t="n">
        <v>0.12</v>
      </c>
    </row>
    <row r="10" customFormat="false" ht="15" hidden="false" customHeight="false" outlineLevel="0" collapsed="false">
      <c r="B10" s="11" t="s">
        <v>39</v>
      </c>
      <c r="C10" s="19" t="n">
        <v>0.08</v>
      </c>
    </row>
    <row r="11" customFormat="false" ht="15" hidden="false" customHeight="false" outlineLevel="0" collapsed="false">
      <c r="B11" s="11" t="s">
        <v>40</v>
      </c>
      <c r="C11" s="19" t="n">
        <v>0.05</v>
      </c>
    </row>
    <row r="13" customFormat="false" ht="19.5" hidden="false" customHeight="true" outlineLevel="0" collapsed="false">
      <c r="B13" s="3" t="s">
        <v>41</v>
      </c>
      <c r="C13" s="3"/>
      <c r="D13" s="3"/>
      <c r="E13" s="3"/>
      <c r="F13" s="3"/>
    </row>
    <row r="14" customFormat="false" ht="15" hidden="false" customHeight="false" outlineLevel="0" collapsed="false">
      <c r="B14" s="20" t="s">
        <v>42</v>
      </c>
      <c r="C14" s="20" t="s">
        <v>43</v>
      </c>
      <c r="D14" s="20" t="s">
        <v>44</v>
      </c>
      <c r="E14" s="20" t="s">
        <v>45</v>
      </c>
      <c r="F14" s="20" t="s">
        <v>46</v>
      </c>
    </row>
    <row r="15" customFormat="false" ht="15" hidden="false" customHeight="false" outlineLevel="0" collapsed="false">
      <c r="B15" s="21" t="s">
        <v>47</v>
      </c>
      <c r="C15" s="22" t="n">
        <v>32</v>
      </c>
      <c r="D15" s="23" t="n">
        <v>7</v>
      </c>
      <c r="E15" s="24" t="n">
        <f aca="false">C15*D15</f>
        <v>224</v>
      </c>
      <c r="F15" s="25" t="n">
        <f aca="false">E15*JoursOuv</f>
        <v>63840</v>
      </c>
    </row>
    <row r="16" customFormat="false" ht="15" hidden="false" customHeight="false" outlineLevel="0" collapsed="false">
      <c r="B16" s="21" t="s">
        <v>48</v>
      </c>
      <c r="C16" s="22" t="n">
        <v>20</v>
      </c>
      <c r="D16" s="23" t="n">
        <v>6</v>
      </c>
      <c r="E16" s="26" t="n">
        <f aca="false">C16*D16</f>
        <v>120</v>
      </c>
      <c r="F16" s="27" t="n">
        <f aca="false">E16*JoursOuv</f>
        <v>34200</v>
      </c>
    </row>
    <row r="17" customFormat="false" ht="15" hidden="false" customHeight="false" outlineLevel="0" collapsed="false">
      <c r="B17" s="21" t="s">
        <v>49</v>
      </c>
      <c r="C17" s="22" t="n">
        <v>14</v>
      </c>
      <c r="D17" s="23" t="n">
        <v>2</v>
      </c>
      <c r="E17" s="24" t="n">
        <f aca="false">C17*D17</f>
        <v>28</v>
      </c>
      <c r="F17" s="25" t="n">
        <f aca="false">E17*JoursOuv</f>
        <v>7980</v>
      </c>
    </row>
    <row r="18" customFormat="false" ht="15" hidden="false" customHeight="false" outlineLevel="0" collapsed="false">
      <c r="B18" s="21" t="s">
        <v>50</v>
      </c>
      <c r="C18" s="22" t="n">
        <v>25</v>
      </c>
      <c r="D18" s="23" t="n">
        <v>3</v>
      </c>
      <c r="E18" s="26" t="n">
        <f aca="false">C18*D18</f>
        <v>75</v>
      </c>
      <c r="F18" s="27" t="n">
        <f aca="false">E18*JoursOuv</f>
        <v>21375</v>
      </c>
    </row>
    <row r="19" customFormat="false" ht="15" hidden="false" customHeight="false" outlineLevel="0" collapsed="false">
      <c r="B19" s="21" t="s">
        <v>51</v>
      </c>
      <c r="C19" s="22" t="n">
        <v>55</v>
      </c>
      <c r="D19" s="23" t="n">
        <v>3</v>
      </c>
      <c r="E19" s="24" t="n">
        <f aca="false">C19*D19</f>
        <v>165</v>
      </c>
      <c r="F19" s="25" t="n">
        <f aca="false">E19*JoursOuv</f>
        <v>47025</v>
      </c>
    </row>
    <row r="20" customFormat="false" ht="15" hidden="false" customHeight="false" outlineLevel="0" collapsed="false">
      <c r="B20" s="21" t="s">
        <v>52</v>
      </c>
      <c r="C20" s="22" t="n">
        <v>80</v>
      </c>
      <c r="D20" s="23" t="n">
        <v>1.8</v>
      </c>
      <c r="E20" s="26" t="n">
        <f aca="false">C20*D20</f>
        <v>144</v>
      </c>
      <c r="F20" s="27" t="n">
        <f aca="false">E20*JoursOuv</f>
        <v>41040</v>
      </c>
    </row>
    <row r="21" customFormat="false" ht="15" hidden="false" customHeight="false" outlineLevel="0" collapsed="false">
      <c r="B21" s="21" t="s">
        <v>53</v>
      </c>
      <c r="C21" s="22" t="n">
        <v>18</v>
      </c>
      <c r="D21" s="23" t="n">
        <v>2</v>
      </c>
      <c r="E21" s="24" t="n">
        <f aca="false">C21*D21</f>
        <v>36</v>
      </c>
      <c r="F21" s="25" t="n">
        <f aca="false">E21*JoursOuv</f>
        <v>10260</v>
      </c>
    </row>
    <row r="22" customFormat="false" ht="15" hidden="false" customHeight="false" outlineLevel="0" collapsed="false">
      <c r="B22" s="21" t="s">
        <v>54</v>
      </c>
      <c r="C22" s="22" t="n">
        <v>60</v>
      </c>
      <c r="D22" s="23" t="n">
        <v>0.4</v>
      </c>
      <c r="E22" s="26" t="n">
        <f aca="false">C22*D22</f>
        <v>24</v>
      </c>
      <c r="F22" s="27" t="n">
        <f aca="false">E22*JoursOuv</f>
        <v>6840</v>
      </c>
    </row>
    <row r="23" customFormat="false" ht="15" hidden="false" customHeight="false" outlineLevel="0" collapsed="false">
      <c r="B23" s="28" t="s">
        <v>55</v>
      </c>
      <c r="C23" s="29"/>
      <c r="D23" s="29"/>
      <c r="E23" s="29"/>
      <c r="F23" s="30" t="n">
        <f aca="false">SUM(F15:F22)</f>
        <v>232560</v>
      </c>
    </row>
    <row r="25" customFormat="false" ht="19.5" hidden="false" customHeight="true" outlineLevel="0" collapsed="false">
      <c r="B25" s="3" t="s">
        <v>56</v>
      </c>
      <c r="C25" s="3"/>
      <c r="D25" s="3"/>
      <c r="E25" s="3"/>
    </row>
    <row r="26" customFormat="false" ht="15" hidden="false" customHeight="false" outlineLevel="0" collapsed="false">
      <c r="B26" s="31"/>
      <c r="C26" s="31" t="s">
        <v>57</v>
      </c>
      <c r="D26" s="31" t="s">
        <v>58</v>
      </c>
      <c r="E26" s="31" t="s">
        <v>59</v>
      </c>
    </row>
    <row r="27" customFormat="false" ht="15" hidden="false" customHeight="false" outlineLevel="0" collapsed="false">
      <c r="B27" s="11" t="s">
        <v>60</v>
      </c>
      <c r="C27" s="25" t="n">
        <f aca="false">CA_Prest_1</f>
        <v>232560</v>
      </c>
      <c r="D27" s="25" t="n">
        <f aca="false">C27*(1+Croiss2)</f>
        <v>251164.8</v>
      </c>
      <c r="E27" s="25" t="n">
        <f aca="false">D27*(1+Croiss3)</f>
        <v>263723.04</v>
      </c>
    </row>
    <row r="28" customFormat="false" ht="15" hidden="false" customHeight="false" outlineLevel="0" collapsed="false">
      <c r="B28" s="11" t="s">
        <v>61</v>
      </c>
      <c r="C28" s="25" t="n">
        <f aca="false">C27*PartProduits</f>
        <v>27907.2</v>
      </c>
      <c r="D28" s="25" t="n">
        <f aca="false">D27*PartProduits</f>
        <v>30139.776</v>
      </c>
      <c r="E28" s="25" t="n">
        <f aca="false">E27*PartProduits</f>
        <v>31646.7648</v>
      </c>
    </row>
    <row r="29" customFormat="false" ht="15" hidden="false" customHeight="false" outlineLevel="0" collapsed="false">
      <c r="B29" s="28" t="s">
        <v>62</v>
      </c>
      <c r="C29" s="30" t="n">
        <f aca="false">C27+C28</f>
        <v>260467.2</v>
      </c>
      <c r="D29" s="30" t="n">
        <f aca="false">D27+D28</f>
        <v>281304.576</v>
      </c>
      <c r="E29" s="30" t="n">
        <f aca="false">E27+E28</f>
        <v>295369.8048</v>
      </c>
    </row>
  </sheetData>
  <mergeCells count="5">
    <mergeCell ref="B2:F2"/>
    <mergeCell ref="B3:F3"/>
    <mergeCell ref="B5:D5"/>
    <mergeCell ref="B13:F13"/>
    <mergeCell ref="B25:E25"/>
  </mergeCells>
  <dataValidations count="2">
    <dataValidation allowBlank="true" errorStyle="stop" operator="greaterThanOrEqual" showDropDown="false" showErrorMessage="false" showInputMessage="false" sqref="C15:D22" type="decimal">
      <formula1>0</formula1>
      <formula2>0</formula2>
    </dataValidation>
    <dataValidation allowBlank="true" error="Saisissez un pourcentage entre 0 et 100 %." errorStyle="stop" errorTitle="Pourcentage" operator="between" showDropDown="false" showErrorMessage="false" showInputMessage="false" sqref="C9:C11" type="decimal">
      <formula1>0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0"/>
    <col collapsed="false" customWidth="true" hidden="false" outlineLevel="0" max="3" min="3" style="0" width="16"/>
    <col collapsed="false" customWidth="true" hidden="false" outlineLevel="0" max="4" min="4" style="0" width="15"/>
    <col collapsed="false" customWidth="true" hidden="false" outlineLevel="0" max="6" min="5" style="0" width="16"/>
  </cols>
  <sheetData>
    <row r="2" customFormat="false" ht="33.75" hidden="false" customHeight="true" outlineLevel="0" collapsed="false">
      <c r="B2" s="1" t="s">
        <v>63</v>
      </c>
      <c r="C2" s="1"/>
      <c r="D2" s="1"/>
      <c r="E2" s="1"/>
      <c r="F2" s="1"/>
    </row>
    <row r="3" customFormat="false" ht="18" hidden="false" customHeight="true" outlineLevel="0" collapsed="false">
      <c r="B3" s="17" t="s">
        <v>64</v>
      </c>
      <c r="C3" s="17"/>
      <c r="D3" s="17"/>
      <c r="E3" s="17"/>
      <c r="F3" s="17"/>
    </row>
    <row r="5" customFormat="false" ht="19.5" hidden="false" customHeight="true" outlineLevel="0" collapsed="false">
      <c r="B5" s="3" t="s">
        <v>65</v>
      </c>
      <c r="C5" s="3"/>
    </row>
    <row r="6" customFormat="false" ht="15" hidden="false" customHeight="false" outlineLevel="0" collapsed="false">
      <c r="B6" s="11" t="s">
        <v>66</v>
      </c>
      <c r="C6" s="32" t="n">
        <v>25000</v>
      </c>
    </row>
    <row r="7" customFormat="false" ht="15" hidden="false" customHeight="false" outlineLevel="0" collapsed="false">
      <c r="B7" s="33" t="s">
        <v>67</v>
      </c>
      <c r="C7" s="32" t="n">
        <v>30000</v>
      </c>
    </row>
    <row r="8" customFormat="false" ht="15" hidden="false" customHeight="false" outlineLevel="0" collapsed="false">
      <c r="B8" s="11" t="s">
        <v>68</v>
      </c>
      <c r="C8" s="32" t="n">
        <v>18000</v>
      </c>
    </row>
    <row r="9" customFormat="false" ht="15" hidden="false" customHeight="false" outlineLevel="0" collapsed="false">
      <c r="B9" s="33" t="s">
        <v>69</v>
      </c>
      <c r="C9" s="32" t="n">
        <v>8000</v>
      </c>
    </row>
    <row r="10" customFormat="false" ht="15" hidden="false" customHeight="false" outlineLevel="0" collapsed="false">
      <c r="B10" s="11" t="s">
        <v>70</v>
      </c>
      <c r="C10" s="32" t="n">
        <v>3000</v>
      </c>
    </row>
    <row r="11" customFormat="false" ht="15" hidden="false" customHeight="false" outlineLevel="0" collapsed="false">
      <c r="B11" s="33" t="s">
        <v>71</v>
      </c>
      <c r="C11" s="32" t="n">
        <v>4000</v>
      </c>
    </row>
    <row r="12" customFormat="false" ht="15" hidden="false" customHeight="false" outlineLevel="0" collapsed="false">
      <c r="B12" s="11" t="s">
        <v>72</v>
      </c>
      <c r="C12" s="32" t="n">
        <v>6000</v>
      </c>
    </row>
    <row r="13" customFormat="false" ht="15" hidden="false" customHeight="false" outlineLevel="0" collapsed="false">
      <c r="B13" s="33" t="s">
        <v>73</v>
      </c>
      <c r="C13" s="32" t="n">
        <v>3500</v>
      </c>
    </row>
    <row r="14" customFormat="false" ht="15" hidden="false" customHeight="false" outlineLevel="0" collapsed="false">
      <c r="B14" s="11" t="s">
        <v>74</v>
      </c>
      <c r="C14" s="32" t="n">
        <v>15000</v>
      </c>
    </row>
    <row r="15" customFormat="false" ht="15" hidden="false" customHeight="false" outlineLevel="0" collapsed="false">
      <c r="B15" s="28" t="s">
        <v>75</v>
      </c>
      <c r="C15" s="30" t="n">
        <f aca="false">SUM(C6:C14)</f>
        <v>112500</v>
      </c>
    </row>
    <row r="17" customFormat="false" ht="19.5" hidden="false" customHeight="true" outlineLevel="0" collapsed="false">
      <c r="B17" s="3" t="s">
        <v>76</v>
      </c>
      <c r="C17" s="3"/>
    </row>
    <row r="18" customFormat="false" ht="15" hidden="false" customHeight="false" outlineLevel="0" collapsed="false">
      <c r="B18" s="11" t="s">
        <v>77</v>
      </c>
      <c r="C18" s="32" t="n">
        <v>42000</v>
      </c>
    </row>
    <row r="19" customFormat="false" ht="15" hidden="false" customHeight="false" outlineLevel="0" collapsed="false">
      <c r="B19" s="11" t="s">
        <v>78</v>
      </c>
      <c r="C19" s="32" t="n">
        <v>8000</v>
      </c>
    </row>
    <row r="20" customFormat="false" ht="15" hidden="false" customHeight="false" outlineLevel="0" collapsed="false">
      <c r="B20" s="11" t="s">
        <v>79</v>
      </c>
      <c r="C20" s="32" t="n">
        <v>62500</v>
      </c>
    </row>
    <row r="21" customFormat="false" ht="15" hidden="false" customHeight="false" outlineLevel="0" collapsed="false">
      <c r="B21" s="28" t="s">
        <v>80</v>
      </c>
      <c r="C21" s="30" t="n">
        <f aca="false">SUM(C18:C20)</f>
        <v>112500</v>
      </c>
    </row>
    <row r="22" customFormat="false" ht="15" hidden="false" customHeight="false" outlineLevel="0" collapsed="false">
      <c r="B22" s="34" t="s">
        <v>81</v>
      </c>
      <c r="C22" s="35" t="n">
        <f aca="false">C21-C15</f>
        <v>0</v>
      </c>
    </row>
    <row r="23" customFormat="false" ht="15" hidden="false" customHeight="false" outlineLevel="0" collapsed="false">
      <c r="B23" s="36" t="s">
        <v>82</v>
      </c>
      <c r="C23" s="37" t="n">
        <f aca="false">C18+C19</f>
        <v>50000</v>
      </c>
    </row>
    <row r="24" customFormat="false" ht="15" hidden="false" customHeight="false" outlineLevel="0" collapsed="false">
      <c r="B24" s="36" t="s">
        <v>83</v>
      </c>
      <c r="C24" s="37" t="n">
        <f aca="false">C15-C14</f>
        <v>97500</v>
      </c>
    </row>
    <row r="26" customFormat="false" ht="19.5" hidden="false" customHeight="true" outlineLevel="0" collapsed="false">
      <c r="B26" s="3" t="s">
        <v>84</v>
      </c>
      <c r="C26" s="3"/>
    </row>
    <row r="27" customFormat="false" ht="15" hidden="false" customHeight="false" outlineLevel="0" collapsed="false">
      <c r="B27" s="11" t="s">
        <v>85</v>
      </c>
      <c r="C27" s="25" t="n">
        <f aca="false">EmpruntMontant</f>
        <v>62500</v>
      </c>
    </row>
    <row r="28" customFormat="false" ht="15" hidden="false" customHeight="false" outlineLevel="0" collapsed="false">
      <c r="B28" s="11" t="s">
        <v>86</v>
      </c>
      <c r="C28" s="19" t="n">
        <v>0.035</v>
      </c>
    </row>
    <row r="29" customFormat="false" ht="15" hidden="false" customHeight="false" outlineLevel="0" collapsed="false">
      <c r="B29" s="11" t="s">
        <v>87</v>
      </c>
      <c r="C29" s="18" t="n">
        <v>84</v>
      </c>
    </row>
    <row r="30" customFormat="false" ht="15" hidden="false" customHeight="false" outlineLevel="0" collapsed="false">
      <c r="B30" s="11" t="s">
        <v>88</v>
      </c>
      <c r="C30" s="38" t="n">
        <f aca="false">ROUND(C27*(EmpruntTaux/12)/(1-(1+EmpruntTaux/12)^(-EmpruntDuree)),2)</f>
        <v>839.99</v>
      </c>
    </row>
    <row r="31" customFormat="false" ht="15" hidden="false" customHeight="false" outlineLevel="0" collapsed="false">
      <c r="B31" s="11" t="s">
        <v>89</v>
      </c>
      <c r="C31" s="25" t="n">
        <f aca="false">C30*EmpruntDuree-C27</f>
        <v>8059.16</v>
      </c>
    </row>
    <row r="33" customFormat="false" ht="19.5" hidden="false" customHeight="true" outlineLevel="0" collapsed="false">
      <c r="B33" s="3" t="s">
        <v>90</v>
      </c>
      <c r="C33" s="3"/>
      <c r="D33" s="3"/>
      <c r="E33" s="3"/>
      <c r="F33" s="3"/>
    </row>
    <row r="34" customFormat="false" ht="15" hidden="false" customHeight="false" outlineLevel="0" collapsed="false">
      <c r="B34" s="31" t="s">
        <v>91</v>
      </c>
      <c r="C34" s="31" t="s">
        <v>92</v>
      </c>
      <c r="D34" s="31" t="s">
        <v>93</v>
      </c>
      <c r="E34" s="31" t="s">
        <v>94</v>
      </c>
      <c r="F34" s="31" t="s">
        <v>95</v>
      </c>
    </row>
    <row r="35" customFormat="false" ht="15" hidden="false" customHeight="false" outlineLevel="0" collapsed="false">
      <c r="B35" s="39" t="s">
        <v>96</v>
      </c>
      <c r="C35" s="25" t="n">
        <f aca="false">EmpruntMontant</f>
        <v>62500</v>
      </c>
      <c r="D35" s="25" t="n">
        <f aca="false">ROUND(C35*EmpruntTaux,2)</f>
        <v>2187.5</v>
      </c>
      <c r="E35" s="25" t="n">
        <f aca="false">ROUND(Mensualite*12-D35,2)</f>
        <v>7892.38</v>
      </c>
      <c r="F35" s="25" t="n">
        <f aca="false">C35-E35</f>
        <v>54607.62</v>
      </c>
    </row>
    <row r="36" customFormat="false" ht="15" hidden="false" customHeight="false" outlineLevel="0" collapsed="false">
      <c r="B36" s="39" t="s">
        <v>97</v>
      </c>
      <c r="C36" s="25" t="n">
        <f aca="false">F35</f>
        <v>54607.62</v>
      </c>
      <c r="D36" s="25" t="n">
        <f aca="false">ROUND(C36*EmpruntTaux,2)</f>
        <v>1911.27</v>
      </c>
      <c r="E36" s="25" t="n">
        <f aca="false">ROUND(Mensualite*12-D36,2)</f>
        <v>8168.61</v>
      </c>
      <c r="F36" s="25" t="n">
        <f aca="false">C36-E36</f>
        <v>46439.01</v>
      </c>
    </row>
    <row r="37" customFormat="false" ht="15" hidden="false" customHeight="false" outlineLevel="0" collapsed="false">
      <c r="B37" s="39" t="s">
        <v>98</v>
      </c>
      <c r="C37" s="25" t="n">
        <f aca="false">F36</f>
        <v>46439.01</v>
      </c>
      <c r="D37" s="25" t="n">
        <f aca="false">ROUND(C37*EmpruntTaux,2)</f>
        <v>1625.37</v>
      </c>
      <c r="E37" s="25" t="n">
        <f aca="false">ROUND(Mensualite*12-D37,2)</f>
        <v>8454.51</v>
      </c>
      <c r="F37" s="25" t="n">
        <f aca="false">C37-E37</f>
        <v>37984.5</v>
      </c>
    </row>
    <row r="39" customFormat="false" ht="19.5" hidden="false" customHeight="true" outlineLevel="0" collapsed="false">
      <c r="B39" s="3" t="s">
        <v>99</v>
      </c>
      <c r="C39" s="3"/>
      <c r="D39" s="3"/>
      <c r="E39" s="3"/>
    </row>
    <row r="40" customFormat="false" ht="15" hidden="false" customHeight="false" outlineLevel="0" collapsed="false">
      <c r="B40" s="31" t="s">
        <v>100</v>
      </c>
      <c r="C40" s="31" t="s">
        <v>101</v>
      </c>
      <c r="D40" s="31" t="s">
        <v>102</v>
      </c>
      <c r="E40" s="31" t="s">
        <v>103</v>
      </c>
    </row>
    <row r="41" customFormat="false" ht="15" hidden="false" customHeight="false" outlineLevel="0" collapsed="false">
      <c r="B41" s="11" t="s">
        <v>67</v>
      </c>
      <c r="C41" s="25" t="n">
        <f aca="false">C7</f>
        <v>30000</v>
      </c>
      <c r="D41" s="40" t="n">
        <v>9</v>
      </c>
      <c r="E41" s="25" t="n">
        <f aca="false">ROUND(C41/D41,2)</f>
        <v>3333.33</v>
      </c>
    </row>
    <row r="42" customFormat="false" ht="15" hidden="false" customHeight="false" outlineLevel="0" collapsed="false">
      <c r="B42" s="33" t="s">
        <v>104</v>
      </c>
      <c r="C42" s="25" t="n">
        <f aca="false">C8</f>
        <v>18000</v>
      </c>
      <c r="D42" s="40" t="n">
        <v>10</v>
      </c>
      <c r="E42" s="25" t="n">
        <f aca="false">ROUND(C42/D42,2)</f>
        <v>1800</v>
      </c>
    </row>
    <row r="43" customFormat="false" ht="15" hidden="false" customHeight="false" outlineLevel="0" collapsed="false">
      <c r="B43" s="11" t="s">
        <v>69</v>
      </c>
      <c r="C43" s="25" t="n">
        <f aca="false">C9</f>
        <v>8000</v>
      </c>
      <c r="D43" s="40" t="n">
        <v>5</v>
      </c>
      <c r="E43" s="25" t="n">
        <f aca="false">ROUND(C43/D43,2)</f>
        <v>1600</v>
      </c>
    </row>
    <row r="44" customFormat="false" ht="15" hidden="false" customHeight="false" outlineLevel="0" collapsed="false">
      <c r="B44" s="33" t="s">
        <v>70</v>
      </c>
      <c r="C44" s="25" t="n">
        <f aca="false">C10</f>
        <v>3000</v>
      </c>
      <c r="D44" s="40" t="n">
        <v>3</v>
      </c>
      <c r="E44" s="25" t="n">
        <f aca="false">ROUND(C44/D44,2)</f>
        <v>1000</v>
      </c>
    </row>
    <row r="45" customFormat="false" ht="15" hidden="false" customHeight="false" outlineLevel="0" collapsed="false">
      <c r="B45" s="11" t="s">
        <v>71</v>
      </c>
      <c r="C45" s="25" t="n">
        <f aca="false">C11</f>
        <v>4000</v>
      </c>
      <c r="D45" s="40" t="n">
        <v>5</v>
      </c>
      <c r="E45" s="25" t="n">
        <f aca="false">ROUND(C45/D45,2)</f>
        <v>800</v>
      </c>
    </row>
    <row r="46" customFormat="false" ht="15" hidden="false" customHeight="false" outlineLevel="0" collapsed="false">
      <c r="B46" s="28" t="s">
        <v>105</v>
      </c>
      <c r="C46" s="29"/>
      <c r="D46" s="29"/>
      <c r="E46" s="30" t="n">
        <f aca="false">SUM(E41:E45)</f>
        <v>8533.33</v>
      </c>
    </row>
  </sheetData>
  <mergeCells count="7">
    <mergeCell ref="B2:F2"/>
    <mergeCell ref="B3:F3"/>
    <mergeCell ref="B5:C5"/>
    <mergeCell ref="B17:C17"/>
    <mergeCell ref="B26:C26"/>
    <mergeCell ref="B33:F33"/>
    <mergeCell ref="B39:E39"/>
  </mergeCells>
  <conditionalFormatting sqref="C22">
    <cfRule type="cellIs" priority="2" operator="greaterThanOrEqual" aboveAverage="0" equalAverage="0" bottom="0" percent="0" rank="0" text="" dxfId="0">
      <formula>0</formula>
    </cfRule>
    <cfRule type="cellIs" priority="3" operator="less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0"/>
    <col collapsed="false" customWidth="true" hidden="false" outlineLevel="0" max="6" min="3" style="0" width="15"/>
    <col collapsed="false" customWidth="true" hidden="false" outlineLevel="0" max="7" min="7" style="0" width="16"/>
  </cols>
  <sheetData>
    <row r="2" customFormat="false" ht="33.75" hidden="false" customHeight="true" outlineLevel="0" collapsed="false">
      <c r="B2" s="1" t="s">
        <v>106</v>
      </c>
      <c r="C2" s="1"/>
      <c r="D2" s="1"/>
      <c r="E2" s="1"/>
      <c r="F2" s="1"/>
      <c r="G2" s="1"/>
    </row>
    <row r="3" customFormat="false" ht="18" hidden="false" customHeight="true" outlineLevel="0" collapsed="false">
      <c r="B3" s="17" t="s">
        <v>107</v>
      </c>
      <c r="C3" s="17"/>
      <c r="D3" s="17"/>
      <c r="E3" s="17"/>
      <c r="F3" s="17"/>
      <c r="G3" s="17"/>
    </row>
    <row r="5" customFormat="false" ht="19.5" hidden="false" customHeight="true" outlineLevel="0" collapsed="false">
      <c r="B5" s="3" t="s">
        <v>108</v>
      </c>
      <c r="C5" s="3"/>
    </row>
    <row r="6" customFormat="false" ht="15" hidden="false" customHeight="false" outlineLevel="0" collapsed="false">
      <c r="B6" s="11" t="s">
        <v>109</v>
      </c>
      <c r="C6" s="19" t="n">
        <v>0.42</v>
      </c>
    </row>
    <row r="7" customFormat="false" ht="15" hidden="false" customHeight="false" outlineLevel="0" collapsed="false">
      <c r="B7" s="11" t="s">
        <v>110</v>
      </c>
      <c r="C7" s="19" t="n">
        <v>0.45</v>
      </c>
    </row>
    <row r="8" customFormat="false" ht="15" hidden="false" customHeight="false" outlineLevel="0" collapsed="false">
      <c r="B8" s="11" t="s">
        <v>111</v>
      </c>
      <c r="C8" s="19" t="n">
        <v>0.02</v>
      </c>
    </row>
    <row r="9" customFormat="false" ht="15" hidden="false" customHeight="false" outlineLevel="0" collapsed="false">
      <c r="B9" s="11" t="s">
        <v>112</v>
      </c>
      <c r="C9" s="19" t="n">
        <v>0.03</v>
      </c>
    </row>
    <row r="10" customFormat="false" ht="15" hidden="false" customHeight="false" outlineLevel="0" collapsed="false">
      <c r="B10" s="11" t="s">
        <v>113</v>
      </c>
      <c r="C10" s="19" t="n">
        <v>0.09</v>
      </c>
    </row>
    <row r="11" customFormat="false" ht="15" hidden="false" customHeight="false" outlineLevel="0" collapsed="false">
      <c r="B11" s="11" t="s">
        <v>114</v>
      </c>
      <c r="C11" s="19" t="n">
        <v>0.55</v>
      </c>
    </row>
    <row r="13" customFormat="false" ht="19.5" hidden="false" customHeight="true" outlineLevel="0" collapsed="false">
      <c r="B13" s="3" t="s">
        <v>115</v>
      </c>
      <c r="C13" s="3"/>
      <c r="D13" s="3"/>
      <c r="E13" s="3"/>
      <c r="F13" s="3"/>
      <c r="G13" s="3"/>
    </row>
    <row r="14" customFormat="false" ht="15" hidden="false" customHeight="false" outlineLevel="0" collapsed="false">
      <c r="B14" s="20" t="s">
        <v>100</v>
      </c>
      <c r="C14" s="20" t="s">
        <v>116</v>
      </c>
      <c r="D14" s="20" t="s">
        <v>117</v>
      </c>
      <c r="E14" s="20" t="s">
        <v>118</v>
      </c>
      <c r="F14" s="20" t="s">
        <v>119</v>
      </c>
      <c r="G14" s="20" t="s">
        <v>120</v>
      </c>
    </row>
    <row r="15" customFormat="false" ht="15" hidden="false" customHeight="false" outlineLevel="0" collapsed="false">
      <c r="B15" s="21" t="s">
        <v>121</v>
      </c>
      <c r="C15" s="40" t="n">
        <v>1</v>
      </c>
      <c r="D15" s="32" t="n">
        <v>2100</v>
      </c>
      <c r="E15" s="25" t="n">
        <f aca="false">IF($B15="","",N(C15)*N(D15)*12)</f>
        <v>25200</v>
      </c>
      <c r="F15" s="25" t="n">
        <f aca="false">IF($B15="","",E15*TauxPatronal)</f>
        <v>10584</v>
      </c>
      <c r="G15" s="25" t="n">
        <f aca="false">IF($B15="","",E15+F15)</f>
        <v>35784</v>
      </c>
    </row>
    <row r="16" customFormat="false" ht="15" hidden="false" customHeight="false" outlineLevel="0" collapsed="false">
      <c r="B16" s="21" t="s">
        <v>122</v>
      </c>
      <c r="C16" s="40" t="n">
        <v>1</v>
      </c>
      <c r="D16" s="32" t="n">
        <v>1950</v>
      </c>
      <c r="E16" s="25" t="n">
        <f aca="false">IF($B16="","",N(C16)*N(D16)*12)</f>
        <v>23400</v>
      </c>
      <c r="F16" s="25" t="n">
        <f aca="false">IF($B16="","",E16*TauxPatronal)</f>
        <v>9828</v>
      </c>
      <c r="G16" s="25" t="n">
        <f aca="false">IF($B16="","",E16+F16)</f>
        <v>33228</v>
      </c>
    </row>
    <row r="17" customFormat="false" ht="15" hidden="false" customHeight="false" outlineLevel="0" collapsed="false">
      <c r="B17" s="21" t="s">
        <v>123</v>
      </c>
      <c r="C17" s="40" t="n">
        <v>1</v>
      </c>
      <c r="D17" s="32" t="n">
        <v>950</v>
      </c>
      <c r="E17" s="25" t="n">
        <f aca="false">IF($B17="","",N(C17)*N(D17)*12)</f>
        <v>11400</v>
      </c>
      <c r="F17" s="25" t="n">
        <f aca="false">IF($B17="","",E17*TauxPatronal)</f>
        <v>4788</v>
      </c>
      <c r="G17" s="25" t="n">
        <f aca="false">IF($B17="","",E17+F17)</f>
        <v>16188</v>
      </c>
    </row>
    <row r="18" customFormat="false" ht="15" hidden="false" customHeight="false" outlineLevel="0" collapsed="false">
      <c r="B18" s="21"/>
      <c r="C18" s="40"/>
      <c r="D18" s="32"/>
      <c r="E18" s="25" t="str">
        <f aca="false">IF($B18="","",N(C18)*N(D18)*12)</f>
        <v/>
      </c>
      <c r="F18" s="25" t="str">
        <f aca="false">IF($B18="","",E18*TauxPatronal)</f>
        <v/>
      </c>
      <c r="G18" s="25" t="str">
        <f aca="false">IF($B18="","",E18+F18)</f>
        <v/>
      </c>
    </row>
    <row r="19" customFormat="false" ht="15" hidden="false" customHeight="false" outlineLevel="0" collapsed="false">
      <c r="B19" s="21" t="s">
        <v>124</v>
      </c>
      <c r="C19" s="40" t="n">
        <v>1</v>
      </c>
      <c r="D19" s="32" t="n">
        <v>2000</v>
      </c>
      <c r="E19" s="25" t="n">
        <f aca="false">N(C19)*N(D19)*12</f>
        <v>24000</v>
      </c>
      <c r="F19" s="25" t="n">
        <f aca="false">E19*TauxTNS</f>
        <v>10800</v>
      </c>
      <c r="G19" s="25" t="n">
        <f aca="false">E19+F19</f>
        <v>34800</v>
      </c>
    </row>
    <row r="20" customFormat="false" ht="15" hidden="false" customHeight="false" outlineLevel="0" collapsed="false">
      <c r="B20" s="28" t="s">
        <v>125</v>
      </c>
      <c r="C20" s="29"/>
      <c r="D20" s="29"/>
      <c r="E20" s="30" t="n">
        <f aca="false">SUM(E15:E19)</f>
        <v>84000</v>
      </c>
      <c r="F20" s="29"/>
      <c r="G20" s="30" t="n">
        <f aca="false">SUM(G15:G19)</f>
        <v>120000</v>
      </c>
    </row>
    <row r="22" customFormat="false" ht="19.5" hidden="false" customHeight="true" outlineLevel="0" collapsed="false">
      <c r="B22" s="3" t="s">
        <v>126</v>
      </c>
      <c r="C22" s="3"/>
      <c r="D22" s="3"/>
      <c r="E22" s="3"/>
    </row>
    <row r="23" customFormat="false" ht="15" hidden="false" customHeight="false" outlineLevel="0" collapsed="false">
      <c r="B23" s="31" t="s">
        <v>100</v>
      </c>
      <c r="C23" s="31" t="s">
        <v>96</v>
      </c>
      <c r="D23" s="31" t="s">
        <v>97</v>
      </c>
      <c r="E23" s="31" t="s">
        <v>98</v>
      </c>
    </row>
    <row r="24" customFormat="false" ht="15" hidden="false" customHeight="false" outlineLevel="0" collapsed="false">
      <c r="B24" s="11" t="s">
        <v>127</v>
      </c>
      <c r="C24" s="32" t="n">
        <v>21600</v>
      </c>
      <c r="D24" s="25" t="n">
        <f aca="false">C24*(1+Inflation)</f>
        <v>22032</v>
      </c>
      <c r="E24" s="25" t="n">
        <f aca="false">D24*(1+Inflation)</f>
        <v>22472.64</v>
      </c>
    </row>
    <row r="25" customFormat="false" ht="15" hidden="false" customHeight="false" outlineLevel="0" collapsed="false">
      <c r="B25" s="33" t="s">
        <v>128</v>
      </c>
      <c r="C25" s="32" t="n">
        <v>4200</v>
      </c>
      <c r="D25" s="25" t="n">
        <f aca="false">C25*(1+Inflation)</f>
        <v>4284</v>
      </c>
      <c r="E25" s="25" t="n">
        <f aca="false">D25*(1+Inflation)</f>
        <v>4369.68</v>
      </c>
    </row>
    <row r="26" customFormat="false" ht="15" hidden="false" customHeight="false" outlineLevel="0" collapsed="false">
      <c r="B26" s="11" t="s">
        <v>129</v>
      </c>
      <c r="C26" s="32" t="n">
        <v>1600</v>
      </c>
      <c r="D26" s="25" t="n">
        <f aca="false">C26*(1+Inflation)</f>
        <v>1632</v>
      </c>
      <c r="E26" s="25" t="n">
        <f aca="false">D26*(1+Inflation)</f>
        <v>1664.64</v>
      </c>
    </row>
    <row r="27" customFormat="false" ht="15" hidden="false" customHeight="false" outlineLevel="0" collapsed="false">
      <c r="B27" s="33" t="s">
        <v>130</v>
      </c>
      <c r="C27" s="32" t="n">
        <v>1800</v>
      </c>
      <c r="D27" s="25" t="n">
        <f aca="false">C27*(1+Inflation)</f>
        <v>1836</v>
      </c>
      <c r="E27" s="25" t="n">
        <f aca="false">D27*(1+Inflation)</f>
        <v>1872.72</v>
      </c>
    </row>
    <row r="28" customFormat="false" ht="15" hidden="false" customHeight="false" outlineLevel="0" collapsed="false">
      <c r="B28" s="11" t="s">
        <v>131</v>
      </c>
      <c r="C28" s="32" t="n">
        <v>2400</v>
      </c>
      <c r="D28" s="25" t="n">
        <f aca="false">C28*(1+Inflation)</f>
        <v>2448</v>
      </c>
      <c r="E28" s="25" t="n">
        <f aca="false">D28*(1+Inflation)</f>
        <v>2496.96</v>
      </c>
    </row>
    <row r="29" customFormat="false" ht="15" hidden="false" customHeight="false" outlineLevel="0" collapsed="false">
      <c r="B29" s="33" t="s">
        <v>132</v>
      </c>
      <c r="C29" s="32" t="n">
        <v>500</v>
      </c>
      <c r="D29" s="25" t="n">
        <f aca="false">C29*(1+Inflation)</f>
        <v>510</v>
      </c>
      <c r="E29" s="25" t="n">
        <f aca="false">D29*(1+Inflation)</f>
        <v>520.2</v>
      </c>
    </row>
    <row r="30" customFormat="false" ht="15" hidden="false" customHeight="false" outlineLevel="0" collapsed="false">
      <c r="B30" s="11" t="s">
        <v>133</v>
      </c>
      <c r="C30" s="32" t="n">
        <v>2400</v>
      </c>
      <c r="D30" s="25" t="n">
        <f aca="false">C30*(1+Inflation)</f>
        <v>2448</v>
      </c>
      <c r="E30" s="25" t="n">
        <f aca="false">D30*(1+Inflation)</f>
        <v>2496.96</v>
      </c>
    </row>
    <row r="31" customFormat="false" ht="15" hidden="false" customHeight="false" outlineLevel="0" collapsed="false">
      <c r="B31" s="33" t="s">
        <v>134</v>
      </c>
      <c r="C31" s="32" t="n">
        <v>1200</v>
      </c>
      <c r="D31" s="25" t="n">
        <f aca="false">C31*(1+Inflation)</f>
        <v>1224</v>
      </c>
      <c r="E31" s="25" t="n">
        <f aca="false">D31*(1+Inflation)</f>
        <v>1248.48</v>
      </c>
    </row>
    <row r="32" customFormat="false" ht="15" hidden="false" customHeight="false" outlineLevel="0" collapsed="false">
      <c r="B32" s="11" t="s">
        <v>135</v>
      </c>
      <c r="C32" s="32" t="n">
        <v>1500</v>
      </c>
      <c r="D32" s="25" t="n">
        <f aca="false">C32*(1+Inflation)</f>
        <v>1530</v>
      </c>
      <c r="E32" s="25" t="n">
        <f aca="false">D32*(1+Inflation)</f>
        <v>1560.6</v>
      </c>
    </row>
    <row r="33" customFormat="false" ht="15" hidden="false" customHeight="false" outlineLevel="0" collapsed="false">
      <c r="B33" s="33" t="s">
        <v>136</v>
      </c>
      <c r="C33" s="32" t="n">
        <v>600</v>
      </c>
      <c r="D33" s="25" t="n">
        <f aca="false">C33*(1+Inflation)</f>
        <v>612</v>
      </c>
      <c r="E33" s="25" t="n">
        <f aca="false">D33*(1+Inflation)</f>
        <v>624.24</v>
      </c>
    </row>
    <row r="34" customFormat="false" ht="15" hidden="false" customHeight="false" outlineLevel="0" collapsed="false">
      <c r="B34" s="28" t="s">
        <v>137</v>
      </c>
      <c r="C34" s="30" t="n">
        <f aca="false">SUM(C24:C33)</f>
        <v>37800</v>
      </c>
      <c r="D34" s="30" t="n">
        <f aca="false">SUM(D24:D33)</f>
        <v>38556</v>
      </c>
      <c r="E34" s="30" t="n">
        <f aca="false">SUM(E24:E33)</f>
        <v>39327.12</v>
      </c>
    </row>
    <row r="35" customFormat="false" ht="15" hidden="false" customHeight="false" outlineLevel="0" collapsed="false">
      <c r="B35" s="11" t="s">
        <v>138</v>
      </c>
      <c r="C35" s="32" t="n">
        <v>1200</v>
      </c>
      <c r="D35" s="25" t="n">
        <f aca="false">C35*(1+Inflation)</f>
        <v>1224</v>
      </c>
      <c r="E35" s="25" t="n">
        <f aca="false">D35*(1+Inflation)</f>
        <v>1248.48</v>
      </c>
    </row>
    <row r="37" customFormat="false" ht="19.5" hidden="false" customHeight="true" outlineLevel="0" collapsed="false">
      <c r="B37" s="3" t="s">
        <v>139</v>
      </c>
      <c r="C37" s="3"/>
      <c r="D37" s="3"/>
      <c r="E37" s="3"/>
    </row>
    <row r="38" customFormat="false" ht="15" hidden="false" customHeight="false" outlineLevel="0" collapsed="false">
      <c r="B38" s="31"/>
      <c r="C38" s="31" t="s">
        <v>96</v>
      </c>
      <c r="D38" s="31" t="s">
        <v>97</v>
      </c>
      <c r="E38" s="31" t="s">
        <v>98</v>
      </c>
    </row>
    <row r="39" customFormat="false" ht="15" hidden="false" customHeight="false" outlineLevel="0" collapsed="false">
      <c r="B39" s="11" t="s">
        <v>140</v>
      </c>
      <c r="C39" s="25" t="n">
        <f aca="false">G20</f>
        <v>120000</v>
      </c>
      <c r="D39" s="25" t="n">
        <f aca="false">C39*(1+CroissPerso)</f>
        <v>123600</v>
      </c>
      <c r="E39" s="25" t="n">
        <f aca="false">D39*(1+CroissPerso)</f>
        <v>127308</v>
      </c>
    </row>
    <row r="40" customFormat="false" ht="15" hidden="false" customHeight="false" outlineLevel="0" collapsed="false">
      <c r="B40" s="11" t="s">
        <v>141</v>
      </c>
      <c r="C40" s="25" t="n">
        <f aca="false">TauxAchatTech*CA_Prest_1+TauxRevente*CA_Prod_1</f>
        <v>36279.36</v>
      </c>
      <c r="D40" s="25" t="n">
        <f aca="false">TauxAchatTech*CA_Prest_2+TauxRevente*CA_Prod_2</f>
        <v>39181.7088</v>
      </c>
      <c r="E40" s="25" t="n">
        <f aca="false">TauxAchatTech*CA_Prest_3+TauxRevente*CA_Prod_3</f>
        <v>41140.79424</v>
      </c>
    </row>
  </sheetData>
  <mergeCells count="6">
    <mergeCell ref="B2:G2"/>
    <mergeCell ref="B3:G3"/>
    <mergeCell ref="B5:C5"/>
    <mergeCell ref="B13:G13"/>
    <mergeCell ref="B22:E22"/>
    <mergeCell ref="B37:E37"/>
  </mergeCells>
  <dataValidations count="1">
    <dataValidation allowBlank="true" errorStyle="stop" operator="between" showDropDown="false" showErrorMessage="false" showInputMessage="false" sqref="C6:C11" type="decimal">
      <formula1>0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2"/>
    <col collapsed="false" customWidth="true" hidden="false" outlineLevel="0" max="5" min="3" style="0" width="16"/>
  </cols>
  <sheetData>
    <row r="2" customFormat="false" ht="33.75" hidden="false" customHeight="true" outlineLevel="0" collapsed="false">
      <c r="B2" s="1" t="s">
        <v>142</v>
      </c>
      <c r="C2" s="1"/>
      <c r="D2" s="1"/>
      <c r="E2" s="1"/>
    </row>
    <row r="3" customFormat="false" ht="18" hidden="false" customHeight="true" outlineLevel="0" collapsed="false">
      <c r="B3" s="17" t="s">
        <v>143</v>
      </c>
      <c r="C3" s="17"/>
      <c r="D3" s="17"/>
      <c r="E3" s="17"/>
    </row>
    <row r="5" customFormat="false" ht="15" hidden="false" customHeight="false" outlineLevel="0" collapsed="false">
      <c r="B5" s="41" t="s">
        <v>144</v>
      </c>
      <c r="C5" s="42" t="s">
        <v>57</v>
      </c>
      <c r="D5" s="42" t="s">
        <v>58</v>
      </c>
      <c r="E5" s="42" t="s">
        <v>59</v>
      </c>
    </row>
    <row r="6" customFormat="false" ht="15" hidden="false" customHeight="false" outlineLevel="0" collapsed="false">
      <c r="B6" s="43" t="s">
        <v>145</v>
      </c>
      <c r="C6" s="44" t="n">
        <f aca="false">CA_Tot_1</f>
        <v>260467.2</v>
      </c>
      <c r="D6" s="44" t="n">
        <f aca="false">CA_Tot_2</f>
        <v>281304.576</v>
      </c>
      <c r="E6" s="44" t="n">
        <f aca="false">CA_Tot_3</f>
        <v>295369.8048</v>
      </c>
    </row>
    <row r="7" customFormat="false" ht="15" hidden="false" customHeight="false" outlineLevel="0" collapsed="false">
      <c r="B7" s="43" t="s">
        <v>146</v>
      </c>
      <c r="C7" s="44" t="n">
        <f aca="false">-Achats_1</f>
        <v>-36279.36</v>
      </c>
      <c r="D7" s="44" t="n">
        <f aca="false">-Achats_2</f>
        <v>-39181.7088</v>
      </c>
      <c r="E7" s="44" t="n">
        <f aca="false">-Achats_3</f>
        <v>-41140.79424</v>
      </c>
    </row>
    <row r="8" customFormat="false" ht="15" hidden="false" customHeight="false" outlineLevel="0" collapsed="false">
      <c r="B8" s="45" t="s">
        <v>147</v>
      </c>
      <c r="C8" s="46" t="n">
        <f aca="false">C6+C7</f>
        <v>224187.84</v>
      </c>
      <c r="D8" s="46" t="n">
        <f aca="false">D6+D7</f>
        <v>242122.8672</v>
      </c>
      <c r="E8" s="46" t="n">
        <f aca="false">E6+E7</f>
        <v>254229.01056</v>
      </c>
    </row>
    <row r="9" customFormat="false" ht="15" hidden="false" customHeight="false" outlineLevel="0" collapsed="false">
      <c r="B9" s="43" t="s">
        <v>148</v>
      </c>
      <c r="C9" s="44" t="n">
        <f aca="false">-ChargesExt_1</f>
        <v>-37800</v>
      </c>
      <c r="D9" s="44" t="n">
        <f aca="false">-ChargesExt_2</f>
        <v>-38556</v>
      </c>
      <c r="E9" s="44" t="n">
        <f aca="false">-ChargesExt_3</f>
        <v>-39327.12</v>
      </c>
    </row>
    <row r="10" customFormat="false" ht="15" hidden="false" customHeight="false" outlineLevel="0" collapsed="false">
      <c r="B10" s="45" t="s">
        <v>149</v>
      </c>
      <c r="C10" s="46" t="n">
        <f aca="false">C8+C9</f>
        <v>186387.84</v>
      </c>
      <c r="D10" s="46" t="n">
        <f aca="false">D8+D9</f>
        <v>203566.8672</v>
      </c>
      <c r="E10" s="46" t="n">
        <f aca="false">E8+E9</f>
        <v>214901.89056</v>
      </c>
    </row>
    <row r="11" customFormat="false" ht="15" hidden="false" customHeight="false" outlineLevel="0" collapsed="false">
      <c r="B11" s="43" t="s">
        <v>150</v>
      </c>
      <c r="C11" s="44" t="n">
        <f aca="false">-ImpotsTaxes_1</f>
        <v>-1200</v>
      </c>
      <c r="D11" s="44" t="n">
        <f aca="false">-ImpotsTaxes_2</f>
        <v>-1224</v>
      </c>
      <c r="E11" s="44" t="n">
        <f aca="false">-ImpotsTaxes_3</f>
        <v>-1248.48</v>
      </c>
    </row>
    <row r="12" customFormat="false" ht="15" hidden="false" customHeight="false" outlineLevel="0" collapsed="false">
      <c r="B12" s="43" t="s">
        <v>151</v>
      </c>
      <c r="C12" s="44" t="n">
        <f aca="false">-MasseSal_1</f>
        <v>-120000</v>
      </c>
      <c r="D12" s="44" t="n">
        <f aca="false">-MasseSal_2</f>
        <v>-123600</v>
      </c>
      <c r="E12" s="44" t="n">
        <f aca="false">-MasseSal_3</f>
        <v>-127308</v>
      </c>
    </row>
    <row r="13" customFormat="false" ht="15" hidden="false" customHeight="false" outlineLevel="0" collapsed="false">
      <c r="B13" s="47" t="s">
        <v>152</v>
      </c>
      <c r="C13" s="48" t="n">
        <f aca="false">C10+C11+C12</f>
        <v>65187.84</v>
      </c>
      <c r="D13" s="48" t="n">
        <f aca="false">D10+D11+D12</f>
        <v>78742.8672</v>
      </c>
      <c r="E13" s="48" t="n">
        <f aca="false">E10+E11+E12</f>
        <v>86345.41056</v>
      </c>
    </row>
    <row r="14" customFormat="false" ht="15" hidden="false" customHeight="false" outlineLevel="0" collapsed="false">
      <c r="B14" s="43" t="s">
        <v>153</v>
      </c>
      <c r="C14" s="44" t="n">
        <f aca="false">-DAP</f>
        <v>-8533.33</v>
      </c>
      <c r="D14" s="44" t="n">
        <f aca="false">-DAP</f>
        <v>-8533.33</v>
      </c>
      <c r="E14" s="44" t="n">
        <f aca="false">-DAP</f>
        <v>-8533.33</v>
      </c>
    </row>
    <row r="15" customFormat="false" ht="15" hidden="false" customHeight="false" outlineLevel="0" collapsed="false">
      <c r="B15" s="45" t="s">
        <v>154</v>
      </c>
      <c r="C15" s="46" t="n">
        <f aca="false">C13+C14</f>
        <v>56654.51</v>
      </c>
      <c r="D15" s="46" t="n">
        <f aca="false">D13+D14</f>
        <v>70209.5372</v>
      </c>
      <c r="E15" s="46" t="n">
        <f aca="false">E13+E14</f>
        <v>77812.08056</v>
      </c>
    </row>
    <row r="16" customFormat="false" ht="15" hidden="false" customHeight="false" outlineLevel="0" collapsed="false">
      <c r="B16" s="43" t="s">
        <v>155</v>
      </c>
      <c r="C16" s="44" t="n">
        <f aca="false">-Interets_1</f>
        <v>-2187.5</v>
      </c>
      <c r="D16" s="44" t="n">
        <f aca="false">-Interets_2</f>
        <v>-1911.27</v>
      </c>
      <c r="E16" s="44" t="n">
        <f aca="false">-Interets_3</f>
        <v>-1625.37</v>
      </c>
    </row>
    <row r="17" customFormat="false" ht="15" hidden="false" customHeight="false" outlineLevel="0" collapsed="false">
      <c r="B17" s="45" t="s">
        <v>156</v>
      </c>
      <c r="C17" s="46" t="n">
        <f aca="false">C15+C16</f>
        <v>54467.01</v>
      </c>
      <c r="D17" s="46" t="n">
        <f aca="false">D15+D16</f>
        <v>68298.2672</v>
      </c>
      <c r="E17" s="46" t="n">
        <f aca="false">E15+E16</f>
        <v>76186.71056</v>
      </c>
    </row>
    <row r="18" customFormat="false" ht="15" hidden="false" customHeight="false" outlineLevel="0" collapsed="false">
      <c r="B18" s="43" t="s">
        <v>157</v>
      </c>
      <c r="C18" s="44" t="n">
        <f aca="false">-IF(C17&lt;=0,0,MIN(C17,42500)*0.15+MAX(0,C17-42500)*0.25)</f>
        <v>-9366.75250000001</v>
      </c>
      <c r="D18" s="44" t="n">
        <f aca="false">-IF(D17&lt;=0,0,MIN(D17,42500)*0.15+MAX(0,D17-42500)*0.25)</f>
        <v>-12824.5668</v>
      </c>
      <c r="E18" s="44" t="n">
        <f aca="false">-IF(E17&lt;=0,0,MIN(E17,42500)*0.15+MAX(0,E17-42500)*0.25)</f>
        <v>-14796.67764</v>
      </c>
    </row>
    <row r="19" customFormat="false" ht="15" hidden="false" customHeight="false" outlineLevel="0" collapsed="false">
      <c r="B19" s="47" t="s">
        <v>158</v>
      </c>
      <c r="C19" s="48" t="n">
        <f aca="false">C17+C18</f>
        <v>45100.2575</v>
      </c>
      <c r="D19" s="48" t="n">
        <f aca="false">D17+D18</f>
        <v>55473.7004</v>
      </c>
      <c r="E19" s="48" t="n">
        <f aca="false">E17+E18</f>
        <v>61390.03292</v>
      </c>
    </row>
    <row r="20" customFormat="false" ht="15" hidden="false" customHeight="false" outlineLevel="0" collapsed="false">
      <c r="B20" s="45" t="s">
        <v>159</v>
      </c>
      <c r="C20" s="46" t="n">
        <f aca="false">C19-C14</f>
        <v>53633.5875</v>
      </c>
      <c r="D20" s="46" t="n">
        <f aca="false">D19-D14</f>
        <v>64007.0304</v>
      </c>
      <c r="E20" s="46" t="n">
        <f aca="false">E19-E14</f>
        <v>69923.36292</v>
      </c>
    </row>
    <row r="22" customFormat="false" ht="19.5" hidden="false" customHeight="true" outlineLevel="0" collapsed="false">
      <c r="B22" s="3" t="s">
        <v>160</v>
      </c>
      <c r="C22" s="3"/>
      <c r="D22" s="3"/>
      <c r="E22" s="3"/>
    </row>
    <row r="23" customFormat="false" ht="15" hidden="false" customHeight="false" outlineLevel="0" collapsed="false">
      <c r="B23" s="49"/>
      <c r="C23" s="49" t="s">
        <v>96</v>
      </c>
      <c r="D23" s="49" t="s">
        <v>97</v>
      </c>
      <c r="E23" s="49" t="s">
        <v>98</v>
      </c>
    </row>
    <row r="24" customFormat="false" ht="15" hidden="false" customHeight="false" outlineLevel="0" collapsed="false">
      <c r="B24" s="43" t="s">
        <v>161</v>
      </c>
      <c r="C24" s="50" t="n">
        <f aca="false">IF(CA_Tot_1=0,0,C8/CA_Tot_1)</f>
        <v>0.860714285714286</v>
      </c>
      <c r="D24" s="50" t="n">
        <f aca="false">IF(CA_Tot_2=0,0,D8/CA_Tot_2)</f>
        <v>0.860714285714286</v>
      </c>
      <c r="E24" s="50" t="n">
        <f aca="false">IF(CA_Tot_3=0,0,E8/CA_Tot_3)</f>
        <v>0.860714285714286</v>
      </c>
    </row>
    <row r="25" customFormat="false" ht="15" hidden="false" customHeight="false" outlineLevel="0" collapsed="false">
      <c r="B25" s="43" t="s">
        <v>162</v>
      </c>
      <c r="C25" s="50" t="n">
        <f aca="false">IF(CA_Tot_1=0,0,C13/CA_Tot_1)</f>
        <v>0.250272740675218</v>
      </c>
      <c r="D25" s="50" t="n">
        <f aca="false">IF(CA_Tot_2=0,0,D13/CA_Tot_2)</f>
        <v>0.279920320954893</v>
      </c>
      <c r="E25" s="50" t="n">
        <f aca="false">IF(CA_Tot_3=0,0,E13/CA_Tot_3)</f>
        <v>0.29232984941865</v>
      </c>
    </row>
    <row r="26" customFormat="false" ht="15" hidden="false" customHeight="false" outlineLevel="0" collapsed="false">
      <c r="B26" s="43" t="s">
        <v>163</v>
      </c>
      <c r="C26" s="50" t="n">
        <f aca="false">IF(CA_Tot_1=0,0,C19/CA_Tot_1)</f>
        <v>0.173151389119244</v>
      </c>
      <c r="D26" s="50" t="n">
        <f aca="false">IF(CA_Tot_2=0,0,D19/CA_Tot_2)</f>
        <v>0.197201557076697</v>
      </c>
      <c r="E26" s="50" t="n">
        <f aca="false">IF(CA_Tot_3=0,0,E19/CA_Tot_3)</f>
        <v>0.207841261775449</v>
      </c>
    </row>
    <row r="28" customFormat="false" ht="19.5" hidden="false" customHeight="true" outlineLevel="0" collapsed="false">
      <c r="B28" s="3" t="s">
        <v>164</v>
      </c>
      <c r="C28" s="3"/>
      <c r="D28" s="3"/>
      <c r="E28" s="3"/>
    </row>
    <row r="29" customFormat="false" ht="15" hidden="false" customHeight="false" outlineLevel="0" collapsed="false">
      <c r="B29" s="49"/>
      <c r="C29" s="49" t="s">
        <v>96</v>
      </c>
      <c r="D29" s="49" t="s">
        <v>97</v>
      </c>
      <c r="E29" s="49" t="s">
        <v>98</v>
      </c>
    </row>
    <row r="30" customFormat="false" ht="15" hidden="false" customHeight="false" outlineLevel="0" collapsed="false">
      <c r="B30" s="43" t="s">
        <v>165</v>
      </c>
      <c r="C30" s="51" t="n">
        <f aca="false">ChargesExt_1+ImpotsTaxes_1+MasseSal_1+DAP+Interets_1</f>
        <v>169720.83</v>
      </c>
      <c r="D30" s="51" t="n">
        <f aca="false">ChargesExt_2+ImpotsTaxes_2+MasseSal_2+DAP+Interets_2</f>
        <v>173824.6</v>
      </c>
      <c r="E30" s="51" t="n">
        <f aca="false">ChargesExt_3+ImpotsTaxes_3+MasseSal_3+DAP+Interets_3</f>
        <v>178042.3</v>
      </c>
    </row>
    <row r="31" customFormat="false" ht="15" hidden="false" customHeight="false" outlineLevel="0" collapsed="false">
      <c r="B31" s="43" t="s">
        <v>166</v>
      </c>
      <c r="C31" s="51" t="n">
        <f aca="false">Achats_1</f>
        <v>36279.36</v>
      </c>
      <c r="D31" s="51" t="n">
        <f aca="false">Achats_2</f>
        <v>39181.7088</v>
      </c>
      <c r="E31" s="51" t="n">
        <f aca="false">Achats_3</f>
        <v>41140.79424</v>
      </c>
    </row>
    <row r="32" customFormat="false" ht="15" hidden="false" customHeight="false" outlineLevel="0" collapsed="false">
      <c r="B32" s="43" t="s">
        <v>167</v>
      </c>
      <c r="C32" s="52" t="n">
        <f aca="false">IF(CA_Tot_1=0,0,(CA_Tot_1-C31)/CA_Tot_1)</f>
        <v>0.860714285714286</v>
      </c>
      <c r="D32" s="52" t="n">
        <f aca="false">IF(CA_Tot_2=0,0,(CA_Tot_2-D31)/CA_Tot_2)</f>
        <v>0.860714285714286</v>
      </c>
      <c r="E32" s="52" t="n">
        <f aca="false">IF(CA_Tot_3=0,0,(CA_Tot_3-E31)/CA_Tot_3)</f>
        <v>0.860714285714286</v>
      </c>
    </row>
    <row r="33" customFormat="false" ht="15" hidden="false" customHeight="false" outlineLevel="0" collapsed="false">
      <c r="B33" s="47" t="s">
        <v>168</v>
      </c>
      <c r="C33" s="53" t="n">
        <f aca="false">IF(C32=0,0,C30/C32)</f>
        <v>197186.026556017</v>
      </c>
      <c r="D33" s="53" t="n">
        <f aca="false">IF(D32=0,0,D30/D32)</f>
        <v>201953.892116183</v>
      </c>
      <c r="E33" s="53" t="n">
        <f aca="false">IF(E32=0,0,E30/E32)</f>
        <v>206854.124481328</v>
      </c>
    </row>
    <row r="34" customFormat="false" ht="15" hidden="false" customHeight="false" outlineLevel="0" collapsed="false">
      <c r="B34" s="43" t="s">
        <v>169</v>
      </c>
      <c r="C34" s="54" t="n">
        <f aca="false">IF(CA_Tot_1=0,0,ROUND(C33/CA_Tot_1*JoursOuv,0))</f>
        <v>216</v>
      </c>
      <c r="D34" s="54" t="n">
        <f aca="false">IF(CA_Tot_2=0,0,ROUND(D33/CA_Tot_2*JoursOuv,0))</f>
        <v>205</v>
      </c>
      <c r="E34" s="54" t="n">
        <f aca="false">IF(CA_Tot_3=0,0,ROUND(E33/CA_Tot_3*JoursOuv,0))</f>
        <v>200</v>
      </c>
    </row>
    <row r="35" customFormat="false" ht="15" hidden="false" customHeight="false" outlineLevel="0" collapsed="false">
      <c r="B35" s="43" t="s">
        <v>170</v>
      </c>
      <c r="C35" s="51" t="n">
        <f aca="false">CA_Tot_1-C33</f>
        <v>63281.1734439835</v>
      </c>
      <c r="D35" s="51" t="n">
        <f aca="false">CA_Tot_2-D33</f>
        <v>79350.6838838174</v>
      </c>
      <c r="E35" s="51" t="n">
        <f aca="false">CA_Tot_3-E33</f>
        <v>88515.6803186722</v>
      </c>
    </row>
  </sheetData>
  <mergeCells count="4">
    <mergeCell ref="B2:E2"/>
    <mergeCell ref="B3:E3"/>
    <mergeCell ref="B22:E22"/>
    <mergeCell ref="B28:E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O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2"/>
    <col collapsed="false" customWidth="true" hidden="false" outlineLevel="0" max="14" min="3" style="0" width="10"/>
    <col collapsed="false" customWidth="true" hidden="false" outlineLevel="0" max="15" min="15" style="0" width="13"/>
  </cols>
  <sheetData>
    <row r="2" customFormat="false" ht="33.75" hidden="false" customHeight="true" outlineLevel="0" collapsed="false">
      <c r="B2" s="1" t="s">
        <v>171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customFormat="false" ht="18" hidden="false" customHeight="true" outlineLevel="0" collapsed="false">
      <c r="B3" s="17" t="s">
        <v>172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5" customFormat="false" ht="15" hidden="false" customHeight="false" outlineLevel="0" collapsed="false">
      <c r="B5" s="55" t="s">
        <v>173</v>
      </c>
      <c r="C5" s="56" t="s">
        <v>174</v>
      </c>
      <c r="D5" s="56" t="s">
        <v>175</v>
      </c>
      <c r="E5" s="56" t="s">
        <v>176</v>
      </c>
      <c r="F5" s="56" t="s">
        <v>177</v>
      </c>
      <c r="G5" s="56" t="s">
        <v>178</v>
      </c>
      <c r="H5" s="56" t="s">
        <v>179</v>
      </c>
      <c r="I5" s="56" t="s">
        <v>180</v>
      </c>
      <c r="J5" s="56" t="s">
        <v>181</v>
      </c>
      <c r="K5" s="56" t="s">
        <v>182</v>
      </c>
      <c r="L5" s="56" t="s">
        <v>183</v>
      </c>
      <c r="M5" s="56" t="s">
        <v>184</v>
      </c>
      <c r="N5" s="56" t="s">
        <v>185</v>
      </c>
      <c r="O5" s="57" t="s">
        <v>186</v>
      </c>
    </row>
    <row r="6" customFormat="false" ht="15" hidden="false" customHeight="false" outlineLevel="0" collapsed="false">
      <c r="B6" s="36" t="s">
        <v>187</v>
      </c>
      <c r="C6" s="58" t="n">
        <v>0.9</v>
      </c>
      <c r="D6" s="58" t="n">
        <v>0.85</v>
      </c>
      <c r="E6" s="58" t="n">
        <v>1</v>
      </c>
      <c r="F6" s="58" t="n">
        <v>1</v>
      </c>
      <c r="G6" s="58" t="n">
        <v>1.05</v>
      </c>
      <c r="H6" s="58" t="n">
        <v>1.1</v>
      </c>
      <c r="I6" s="58" t="n">
        <v>1.15</v>
      </c>
      <c r="J6" s="58" t="n">
        <v>0.8</v>
      </c>
      <c r="K6" s="58" t="n">
        <v>1.05</v>
      </c>
      <c r="L6" s="58" t="n">
        <v>1</v>
      </c>
      <c r="M6" s="58" t="n">
        <v>1</v>
      </c>
      <c r="N6" s="58" t="n">
        <v>1.1</v>
      </c>
      <c r="O6" s="59" t="n">
        <f aca="false">SUM(C6:N6)</f>
        <v>12</v>
      </c>
    </row>
    <row r="7" customFormat="false" ht="15" hidden="false" customHeight="false" outlineLevel="0" collapsed="false">
      <c r="B7" s="60" t="s">
        <v>188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</row>
    <row r="8" customFormat="false" ht="15" hidden="false" customHeight="false" outlineLevel="0" collapsed="false">
      <c r="B8" s="11" t="s">
        <v>189</v>
      </c>
      <c r="C8" s="62" t="n">
        <f aca="false">ROUND(CA_Prest_1*C6/$O$6,2)</f>
        <v>17442</v>
      </c>
      <c r="D8" s="62" t="n">
        <f aca="false">ROUND(CA_Prest_1*D6/$O$6,2)</f>
        <v>16473</v>
      </c>
      <c r="E8" s="62" t="n">
        <f aca="false">ROUND(CA_Prest_1*E6/$O$6,2)</f>
        <v>19380</v>
      </c>
      <c r="F8" s="62" t="n">
        <f aca="false">ROUND(CA_Prest_1*F6/$O$6,2)</f>
        <v>19380</v>
      </c>
      <c r="G8" s="62" t="n">
        <f aca="false">ROUND(CA_Prest_1*G6/$O$6,2)</f>
        <v>20349</v>
      </c>
      <c r="H8" s="62" t="n">
        <f aca="false">ROUND(CA_Prest_1*H6/$O$6,2)</f>
        <v>21318</v>
      </c>
      <c r="I8" s="62" t="n">
        <f aca="false">ROUND(CA_Prest_1*I6/$O$6,2)</f>
        <v>22287</v>
      </c>
      <c r="J8" s="62" t="n">
        <f aca="false">ROUND(CA_Prest_1*J6/$O$6,2)</f>
        <v>15504</v>
      </c>
      <c r="K8" s="62" t="n">
        <f aca="false">ROUND(CA_Prest_1*K6/$O$6,2)</f>
        <v>20349</v>
      </c>
      <c r="L8" s="62" t="n">
        <f aca="false">ROUND(CA_Prest_1*L6/$O$6,2)</f>
        <v>19380</v>
      </c>
      <c r="M8" s="62" t="n">
        <f aca="false">ROUND(CA_Prest_1*M6/$O$6,2)</f>
        <v>19380</v>
      </c>
      <c r="N8" s="62" t="n">
        <f aca="false">ROUND(CA_Prest_1*N6/$O$6,2)</f>
        <v>21318</v>
      </c>
      <c r="O8" s="63" t="n">
        <f aca="false">SUM(C8:N8)</f>
        <v>232560</v>
      </c>
    </row>
    <row r="9" customFormat="false" ht="15" hidden="false" customHeight="false" outlineLevel="0" collapsed="false">
      <c r="B9" s="11" t="s">
        <v>190</v>
      </c>
      <c r="C9" s="62" t="n">
        <f aca="false">ROUND(CA_Prod_1*C6/$O$6,2)</f>
        <v>2093.04</v>
      </c>
      <c r="D9" s="62" t="n">
        <f aca="false">ROUND(CA_Prod_1*D6/$O$6,2)</f>
        <v>1976.76</v>
      </c>
      <c r="E9" s="62" t="n">
        <f aca="false">ROUND(CA_Prod_1*E6/$O$6,2)</f>
        <v>2325.6</v>
      </c>
      <c r="F9" s="62" t="n">
        <f aca="false">ROUND(CA_Prod_1*F6/$O$6,2)</f>
        <v>2325.6</v>
      </c>
      <c r="G9" s="62" t="n">
        <f aca="false">ROUND(CA_Prod_1*G6/$O$6,2)</f>
        <v>2441.88</v>
      </c>
      <c r="H9" s="62" t="n">
        <f aca="false">ROUND(CA_Prod_1*H6/$O$6,2)</f>
        <v>2558.16</v>
      </c>
      <c r="I9" s="62" t="n">
        <f aca="false">ROUND(CA_Prod_1*I6/$O$6,2)</f>
        <v>2674.44</v>
      </c>
      <c r="J9" s="62" t="n">
        <f aca="false">ROUND(CA_Prod_1*J6/$O$6,2)</f>
        <v>1860.48</v>
      </c>
      <c r="K9" s="62" t="n">
        <f aca="false">ROUND(CA_Prod_1*K6/$O$6,2)</f>
        <v>2441.88</v>
      </c>
      <c r="L9" s="62" t="n">
        <f aca="false">ROUND(CA_Prod_1*L6/$O$6,2)</f>
        <v>2325.6</v>
      </c>
      <c r="M9" s="62" t="n">
        <f aca="false">ROUND(CA_Prod_1*M6/$O$6,2)</f>
        <v>2325.6</v>
      </c>
      <c r="N9" s="62" t="n">
        <f aca="false">ROUND(CA_Prod_1*N6/$O$6,2)</f>
        <v>2558.16</v>
      </c>
      <c r="O9" s="63" t="n">
        <f aca="false">SUM(C9:N9)</f>
        <v>27907.2</v>
      </c>
    </row>
    <row r="10" customFormat="false" ht="15" hidden="false" customHeight="false" outlineLevel="0" collapsed="false">
      <c r="B10" s="11" t="s">
        <v>191</v>
      </c>
      <c r="C10" s="62" t="n">
        <f aca="false">Apports</f>
        <v>50000</v>
      </c>
      <c r="D10" s="62" t="n">
        <f aca="false">0</f>
        <v>0</v>
      </c>
      <c r="E10" s="62" t="n">
        <f aca="false">0</f>
        <v>0</v>
      </c>
      <c r="F10" s="62" t="n">
        <f aca="false">0</f>
        <v>0</v>
      </c>
      <c r="G10" s="62" t="n">
        <f aca="false">0</f>
        <v>0</v>
      </c>
      <c r="H10" s="62" t="n">
        <f aca="false">0</f>
        <v>0</v>
      </c>
      <c r="I10" s="62" t="n">
        <f aca="false">0</f>
        <v>0</v>
      </c>
      <c r="J10" s="62" t="n">
        <f aca="false">0</f>
        <v>0</v>
      </c>
      <c r="K10" s="62" t="n">
        <f aca="false">0</f>
        <v>0</v>
      </c>
      <c r="L10" s="62" t="n">
        <f aca="false">0</f>
        <v>0</v>
      </c>
      <c r="M10" s="62" t="n">
        <f aca="false">0</f>
        <v>0</v>
      </c>
      <c r="N10" s="62" t="n">
        <f aca="false">0</f>
        <v>0</v>
      </c>
      <c r="O10" s="63" t="n">
        <f aca="false">SUM(C10:N10)</f>
        <v>50000</v>
      </c>
    </row>
    <row r="11" customFormat="false" ht="15" hidden="false" customHeight="false" outlineLevel="0" collapsed="false">
      <c r="B11" s="11" t="s">
        <v>79</v>
      </c>
      <c r="C11" s="62" t="n">
        <f aca="false">EmpruntMontant</f>
        <v>62500</v>
      </c>
      <c r="D11" s="62" t="n">
        <f aca="false">0</f>
        <v>0</v>
      </c>
      <c r="E11" s="62" t="n">
        <f aca="false">0</f>
        <v>0</v>
      </c>
      <c r="F11" s="62" t="n">
        <f aca="false">0</f>
        <v>0</v>
      </c>
      <c r="G11" s="62" t="n">
        <f aca="false">0</f>
        <v>0</v>
      </c>
      <c r="H11" s="62" t="n">
        <f aca="false">0</f>
        <v>0</v>
      </c>
      <c r="I11" s="62" t="n">
        <f aca="false">0</f>
        <v>0</v>
      </c>
      <c r="J11" s="62" t="n">
        <f aca="false">0</f>
        <v>0</v>
      </c>
      <c r="K11" s="62" t="n">
        <f aca="false">0</f>
        <v>0</v>
      </c>
      <c r="L11" s="62" t="n">
        <f aca="false">0</f>
        <v>0</v>
      </c>
      <c r="M11" s="62" t="n">
        <f aca="false">0</f>
        <v>0</v>
      </c>
      <c r="N11" s="62" t="n">
        <f aca="false">0</f>
        <v>0</v>
      </c>
      <c r="O11" s="63" t="n">
        <f aca="false">SUM(C11:N11)</f>
        <v>62500</v>
      </c>
    </row>
    <row r="12" customFormat="false" ht="15" hidden="false" customHeight="false" outlineLevel="0" collapsed="false">
      <c r="B12" s="34" t="s">
        <v>192</v>
      </c>
      <c r="C12" s="64" t="n">
        <f aca="false">SUM(C8:C11)</f>
        <v>132035.04</v>
      </c>
      <c r="D12" s="64" t="n">
        <f aca="false">SUM(D8:D11)</f>
        <v>18449.76</v>
      </c>
      <c r="E12" s="64" t="n">
        <f aca="false">SUM(E8:E11)</f>
        <v>21705.6</v>
      </c>
      <c r="F12" s="64" t="n">
        <f aca="false">SUM(F8:F11)</f>
        <v>21705.6</v>
      </c>
      <c r="G12" s="64" t="n">
        <f aca="false">SUM(G8:G11)</f>
        <v>22790.88</v>
      </c>
      <c r="H12" s="64" t="n">
        <f aca="false">SUM(H8:H11)</f>
        <v>23876.16</v>
      </c>
      <c r="I12" s="64" t="n">
        <f aca="false">SUM(I8:I11)</f>
        <v>24961.44</v>
      </c>
      <c r="J12" s="64" t="n">
        <f aca="false">SUM(J8:J11)</f>
        <v>17364.48</v>
      </c>
      <c r="K12" s="64" t="n">
        <f aca="false">SUM(K8:K11)</f>
        <v>22790.88</v>
      </c>
      <c r="L12" s="64" t="n">
        <f aca="false">SUM(L8:L11)</f>
        <v>21705.6</v>
      </c>
      <c r="M12" s="64" t="n">
        <f aca="false">SUM(M8:M11)</f>
        <v>21705.6</v>
      </c>
      <c r="N12" s="64" t="n">
        <f aca="false">SUM(N8:N11)</f>
        <v>23876.16</v>
      </c>
      <c r="O12" s="63" t="n">
        <f aca="false">SUM(C12:N12)</f>
        <v>372967.2</v>
      </c>
    </row>
    <row r="13" customFormat="false" ht="15" hidden="false" customHeight="false" outlineLevel="0" collapsed="false">
      <c r="B13" s="60" t="s">
        <v>193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</row>
    <row r="14" customFormat="false" ht="15" hidden="false" customHeight="false" outlineLevel="0" collapsed="false">
      <c r="B14" s="11" t="s">
        <v>194</v>
      </c>
      <c r="C14" s="62" t="n">
        <f aca="false">ROUND(Achats_1*C6/$O$6,2)</f>
        <v>2720.95</v>
      </c>
      <c r="D14" s="62" t="n">
        <f aca="false">ROUND(Achats_1*D6/$O$6,2)</f>
        <v>2569.79</v>
      </c>
      <c r="E14" s="62" t="n">
        <f aca="false">ROUND(Achats_1*E6/$O$6,2)</f>
        <v>3023.28</v>
      </c>
      <c r="F14" s="62" t="n">
        <f aca="false">ROUND(Achats_1*F6/$O$6,2)</f>
        <v>3023.28</v>
      </c>
      <c r="G14" s="62" t="n">
        <f aca="false">ROUND(Achats_1*G6/$O$6,2)</f>
        <v>3174.44</v>
      </c>
      <c r="H14" s="62" t="n">
        <f aca="false">ROUND(Achats_1*H6/$O$6,2)</f>
        <v>3325.61</v>
      </c>
      <c r="I14" s="62" t="n">
        <f aca="false">ROUND(Achats_1*I6/$O$6,2)</f>
        <v>3476.77</v>
      </c>
      <c r="J14" s="62" t="n">
        <f aca="false">ROUND(Achats_1*J6/$O$6,2)</f>
        <v>2418.62</v>
      </c>
      <c r="K14" s="62" t="n">
        <f aca="false">ROUND(Achats_1*K6/$O$6,2)</f>
        <v>3174.44</v>
      </c>
      <c r="L14" s="62" t="n">
        <f aca="false">ROUND(Achats_1*L6/$O$6,2)</f>
        <v>3023.28</v>
      </c>
      <c r="M14" s="62" t="n">
        <f aca="false">ROUND(Achats_1*M6/$O$6,2)</f>
        <v>3023.28</v>
      </c>
      <c r="N14" s="62" t="n">
        <f aca="false">ROUND(Achats_1*N6/$O$6,2)</f>
        <v>3325.61</v>
      </c>
      <c r="O14" s="63" t="n">
        <f aca="false">SUM(C14:N14)</f>
        <v>36279.35</v>
      </c>
    </row>
    <row r="15" customFormat="false" ht="15" hidden="false" customHeight="false" outlineLevel="0" collapsed="false">
      <c r="B15" s="11" t="s">
        <v>148</v>
      </c>
      <c r="C15" s="62" t="n">
        <f aca="false">ROUND(ChargesExt_1/12,2)</f>
        <v>3150</v>
      </c>
      <c r="D15" s="62" t="n">
        <f aca="false">ROUND(ChargesExt_1/12,2)</f>
        <v>3150</v>
      </c>
      <c r="E15" s="62" t="n">
        <f aca="false">ROUND(ChargesExt_1/12,2)</f>
        <v>3150</v>
      </c>
      <c r="F15" s="62" t="n">
        <f aca="false">ROUND(ChargesExt_1/12,2)</f>
        <v>3150</v>
      </c>
      <c r="G15" s="62" t="n">
        <f aca="false">ROUND(ChargesExt_1/12,2)</f>
        <v>3150</v>
      </c>
      <c r="H15" s="62" t="n">
        <f aca="false">ROUND(ChargesExt_1/12,2)</f>
        <v>3150</v>
      </c>
      <c r="I15" s="62" t="n">
        <f aca="false">ROUND(ChargesExt_1/12,2)</f>
        <v>3150</v>
      </c>
      <c r="J15" s="62" t="n">
        <f aca="false">ROUND(ChargesExt_1/12,2)</f>
        <v>3150</v>
      </c>
      <c r="K15" s="62" t="n">
        <f aca="false">ROUND(ChargesExt_1/12,2)</f>
        <v>3150</v>
      </c>
      <c r="L15" s="62" t="n">
        <f aca="false">ROUND(ChargesExt_1/12,2)</f>
        <v>3150</v>
      </c>
      <c r="M15" s="62" t="n">
        <f aca="false">ROUND(ChargesExt_1/12,2)</f>
        <v>3150</v>
      </c>
      <c r="N15" s="62" t="n">
        <f aca="false">ROUND(ChargesExt_1/12,2)</f>
        <v>3150</v>
      </c>
      <c r="O15" s="63" t="n">
        <f aca="false">SUM(C15:N15)</f>
        <v>37800</v>
      </c>
    </row>
    <row r="16" customFormat="false" ht="15" hidden="false" customHeight="false" outlineLevel="0" collapsed="false">
      <c r="B16" s="11" t="s">
        <v>151</v>
      </c>
      <c r="C16" s="62" t="n">
        <f aca="false">ROUND(MasseSal_1/12,2)</f>
        <v>10000</v>
      </c>
      <c r="D16" s="62" t="n">
        <f aca="false">ROUND(MasseSal_1/12,2)</f>
        <v>10000</v>
      </c>
      <c r="E16" s="62" t="n">
        <f aca="false">ROUND(MasseSal_1/12,2)</f>
        <v>10000</v>
      </c>
      <c r="F16" s="62" t="n">
        <f aca="false">ROUND(MasseSal_1/12,2)</f>
        <v>10000</v>
      </c>
      <c r="G16" s="62" t="n">
        <f aca="false">ROUND(MasseSal_1/12,2)</f>
        <v>10000</v>
      </c>
      <c r="H16" s="62" t="n">
        <f aca="false">ROUND(MasseSal_1/12,2)</f>
        <v>10000</v>
      </c>
      <c r="I16" s="62" t="n">
        <f aca="false">ROUND(MasseSal_1/12,2)</f>
        <v>10000</v>
      </c>
      <c r="J16" s="62" t="n">
        <f aca="false">ROUND(MasseSal_1/12,2)</f>
        <v>10000</v>
      </c>
      <c r="K16" s="62" t="n">
        <f aca="false">ROUND(MasseSal_1/12,2)</f>
        <v>10000</v>
      </c>
      <c r="L16" s="62" t="n">
        <f aca="false">ROUND(MasseSal_1/12,2)</f>
        <v>10000</v>
      </c>
      <c r="M16" s="62" t="n">
        <f aca="false">ROUND(MasseSal_1/12,2)</f>
        <v>10000</v>
      </c>
      <c r="N16" s="62" t="n">
        <f aca="false">ROUND(MasseSal_1/12,2)</f>
        <v>10000</v>
      </c>
      <c r="O16" s="63" t="n">
        <f aca="false">SUM(C16:N16)</f>
        <v>120000</v>
      </c>
    </row>
    <row r="17" customFormat="false" ht="15" hidden="false" customHeight="false" outlineLevel="0" collapsed="false">
      <c r="B17" s="11" t="s">
        <v>150</v>
      </c>
      <c r="C17" s="62" t="n">
        <f aca="false">ROUND(ImpotsTaxes_1/12,2)</f>
        <v>100</v>
      </c>
      <c r="D17" s="62" t="n">
        <f aca="false">ROUND(ImpotsTaxes_1/12,2)</f>
        <v>100</v>
      </c>
      <c r="E17" s="62" t="n">
        <f aca="false">ROUND(ImpotsTaxes_1/12,2)</f>
        <v>100</v>
      </c>
      <c r="F17" s="62" t="n">
        <f aca="false">ROUND(ImpotsTaxes_1/12,2)</f>
        <v>100</v>
      </c>
      <c r="G17" s="62" t="n">
        <f aca="false">ROUND(ImpotsTaxes_1/12,2)</f>
        <v>100</v>
      </c>
      <c r="H17" s="62" t="n">
        <f aca="false">ROUND(ImpotsTaxes_1/12,2)</f>
        <v>100</v>
      </c>
      <c r="I17" s="62" t="n">
        <f aca="false">ROUND(ImpotsTaxes_1/12,2)</f>
        <v>100</v>
      </c>
      <c r="J17" s="62" t="n">
        <f aca="false">ROUND(ImpotsTaxes_1/12,2)</f>
        <v>100</v>
      </c>
      <c r="K17" s="62" t="n">
        <f aca="false">ROUND(ImpotsTaxes_1/12,2)</f>
        <v>100</v>
      </c>
      <c r="L17" s="62" t="n">
        <f aca="false">ROUND(ImpotsTaxes_1/12,2)</f>
        <v>100</v>
      </c>
      <c r="M17" s="62" t="n">
        <f aca="false">ROUND(ImpotsTaxes_1/12,2)</f>
        <v>100</v>
      </c>
      <c r="N17" s="62" t="n">
        <f aca="false">ROUND(ImpotsTaxes_1/12,2)</f>
        <v>100</v>
      </c>
      <c r="O17" s="63" t="n">
        <f aca="false">SUM(C17:N17)</f>
        <v>1200</v>
      </c>
    </row>
    <row r="18" customFormat="false" ht="15" hidden="false" customHeight="false" outlineLevel="0" collapsed="false">
      <c r="B18" s="11" t="s">
        <v>195</v>
      </c>
      <c r="C18" s="62" t="n">
        <f aca="false">InvestHorsTreso</f>
        <v>97500</v>
      </c>
      <c r="D18" s="62" t="n">
        <f aca="false">0</f>
        <v>0</v>
      </c>
      <c r="E18" s="62" t="n">
        <f aca="false">0</f>
        <v>0</v>
      </c>
      <c r="F18" s="62" t="n">
        <f aca="false">0</f>
        <v>0</v>
      </c>
      <c r="G18" s="62" t="n">
        <f aca="false">0</f>
        <v>0</v>
      </c>
      <c r="H18" s="62" t="n">
        <f aca="false">0</f>
        <v>0</v>
      </c>
      <c r="I18" s="62" t="n">
        <f aca="false">0</f>
        <v>0</v>
      </c>
      <c r="J18" s="62" t="n">
        <f aca="false">0</f>
        <v>0</v>
      </c>
      <c r="K18" s="62" t="n">
        <f aca="false">0</f>
        <v>0</v>
      </c>
      <c r="L18" s="62" t="n">
        <f aca="false">0</f>
        <v>0</v>
      </c>
      <c r="M18" s="62" t="n">
        <f aca="false">0</f>
        <v>0</v>
      </c>
      <c r="N18" s="62" t="n">
        <f aca="false">0</f>
        <v>0</v>
      </c>
      <c r="O18" s="63" t="n">
        <f aca="false">SUM(C18:N18)</f>
        <v>97500</v>
      </c>
    </row>
    <row r="19" customFormat="false" ht="15" hidden="false" customHeight="false" outlineLevel="0" collapsed="false">
      <c r="B19" s="11" t="s">
        <v>196</v>
      </c>
      <c r="C19" s="62" t="n">
        <f aca="false">Mensualite</f>
        <v>839.99</v>
      </c>
      <c r="D19" s="62" t="n">
        <f aca="false">Mensualite</f>
        <v>839.99</v>
      </c>
      <c r="E19" s="62" t="n">
        <f aca="false">Mensualite</f>
        <v>839.99</v>
      </c>
      <c r="F19" s="62" t="n">
        <f aca="false">Mensualite</f>
        <v>839.99</v>
      </c>
      <c r="G19" s="62" t="n">
        <f aca="false">Mensualite</f>
        <v>839.99</v>
      </c>
      <c r="H19" s="62" t="n">
        <f aca="false">Mensualite</f>
        <v>839.99</v>
      </c>
      <c r="I19" s="62" t="n">
        <f aca="false">Mensualite</f>
        <v>839.99</v>
      </c>
      <c r="J19" s="62" t="n">
        <f aca="false">Mensualite</f>
        <v>839.99</v>
      </c>
      <c r="K19" s="62" t="n">
        <f aca="false">Mensualite</f>
        <v>839.99</v>
      </c>
      <c r="L19" s="62" t="n">
        <f aca="false">Mensualite</f>
        <v>839.99</v>
      </c>
      <c r="M19" s="62" t="n">
        <f aca="false">Mensualite</f>
        <v>839.99</v>
      </c>
      <c r="N19" s="62" t="n">
        <f aca="false">Mensualite</f>
        <v>839.99</v>
      </c>
      <c r="O19" s="63" t="n">
        <f aca="false">SUM(C19:N19)</f>
        <v>10079.88</v>
      </c>
    </row>
    <row r="20" customFormat="false" ht="15" hidden="false" customHeight="false" outlineLevel="0" collapsed="false">
      <c r="B20" s="34" t="s">
        <v>197</v>
      </c>
      <c r="C20" s="64" t="n">
        <f aca="false">SUM(C14:C19)</f>
        <v>114310.94</v>
      </c>
      <c r="D20" s="64" t="n">
        <f aca="false">SUM(D14:D19)</f>
        <v>16659.78</v>
      </c>
      <c r="E20" s="64" t="n">
        <f aca="false">SUM(E14:E19)</f>
        <v>17113.27</v>
      </c>
      <c r="F20" s="64" t="n">
        <f aca="false">SUM(F14:F19)</f>
        <v>17113.27</v>
      </c>
      <c r="G20" s="64" t="n">
        <f aca="false">SUM(G14:G19)</f>
        <v>17264.43</v>
      </c>
      <c r="H20" s="64" t="n">
        <f aca="false">SUM(H14:H19)</f>
        <v>17415.6</v>
      </c>
      <c r="I20" s="64" t="n">
        <f aca="false">SUM(I14:I19)</f>
        <v>17566.76</v>
      </c>
      <c r="J20" s="64" t="n">
        <f aca="false">SUM(J14:J19)</f>
        <v>16508.61</v>
      </c>
      <c r="K20" s="64" t="n">
        <f aca="false">SUM(K14:K19)</f>
        <v>17264.43</v>
      </c>
      <c r="L20" s="64" t="n">
        <f aca="false">SUM(L14:L19)</f>
        <v>17113.27</v>
      </c>
      <c r="M20" s="64" t="n">
        <f aca="false">SUM(M14:M19)</f>
        <v>17113.27</v>
      </c>
      <c r="N20" s="64" t="n">
        <f aca="false">SUM(N14:N19)</f>
        <v>17415.6</v>
      </c>
      <c r="O20" s="63" t="n">
        <f aca="false">SUM(C20:N20)</f>
        <v>302859.23</v>
      </c>
    </row>
    <row r="21" customFormat="false" ht="15" hidden="false" customHeight="false" outlineLevel="0" collapsed="false">
      <c r="B21" s="34" t="s">
        <v>198</v>
      </c>
      <c r="C21" s="65" t="n">
        <f aca="false">C12-C20</f>
        <v>17724.1</v>
      </c>
      <c r="D21" s="65" t="n">
        <f aca="false">D12-D20</f>
        <v>1789.98</v>
      </c>
      <c r="E21" s="65" t="n">
        <f aca="false">E12-E20</f>
        <v>4592.33</v>
      </c>
      <c r="F21" s="65" t="n">
        <f aca="false">F12-F20</f>
        <v>4592.33</v>
      </c>
      <c r="G21" s="65" t="n">
        <f aca="false">G12-G20</f>
        <v>5526.45</v>
      </c>
      <c r="H21" s="65" t="n">
        <f aca="false">H12-H20</f>
        <v>6460.56</v>
      </c>
      <c r="I21" s="65" t="n">
        <f aca="false">I12-I20</f>
        <v>7394.68</v>
      </c>
      <c r="J21" s="65" t="n">
        <f aca="false">J12-J20</f>
        <v>855.869999999999</v>
      </c>
      <c r="K21" s="65" t="n">
        <f aca="false">K12-K20</f>
        <v>5526.45</v>
      </c>
      <c r="L21" s="65" t="n">
        <f aca="false">L12-L20</f>
        <v>4592.33</v>
      </c>
      <c r="M21" s="65" t="n">
        <f aca="false">M12-M20</f>
        <v>4592.33</v>
      </c>
      <c r="N21" s="65" t="n">
        <f aca="false">N12-N20</f>
        <v>6460.56</v>
      </c>
      <c r="O21" s="66" t="n">
        <f aca="false">SUM(C21:N21)</f>
        <v>70107.97</v>
      </c>
    </row>
    <row r="22" customFormat="false" ht="15" hidden="false" customHeight="false" outlineLevel="0" collapsed="false">
      <c r="B22" s="28" t="s">
        <v>199</v>
      </c>
      <c r="C22" s="67" t="n">
        <f aca="false">C21</f>
        <v>17724.1</v>
      </c>
      <c r="D22" s="67" t="n">
        <f aca="false">C22+D21</f>
        <v>19514.08</v>
      </c>
      <c r="E22" s="67" t="n">
        <f aca="false">D22+E21</f>
        <v>24106.41</v>
      </c>
      <c r="F22" s="67" t="n">
        <f aca="false">E22+F21</f>
        <v>28698.74</v>
      </c>
      <c r="G22" s="67" t="n">
        <f aca="false">F22+G21</f>
        <v>34225.19</v>
      </c>
      <c r="H22" s="67" t="n">
        <f aca="false">G22+H21</f>
        <v>40685.75</v>
      </c>
      <c r="I22" s="67" t="n">
        <f aca="false">H22+I21</f>
        <v>48080.43</v>
      </c>
      <c r="J22" s="67" t="n">
        <f aca="false">I22+J21</f>
        <v>48936.3</v>
      </c>
      <c r="K22" s="67" t="n">
        <f aca="false">J22+K21</f>
        <v>54462.75</v>
      </c>
      <c r="L22" s="67" t="n">
        <f aca="false">K22+L21</f>
        <v>59055.08</v>
      </c>
      <c r="M22" s="67" t="n">
        <f aca="false">L22+M21</f>
        <v>63647.41</v>
      </c>
      <c r="N22" s="67" t="n">
        <f aca="false">M22+N21</f>
        <v>70107.97</v>
      </c>
      <c r="O22" s="29"/>
    </row>
  </sheetData>
  <mergeCells count="2">
    <mergeCell ref="B2:O2"/>
    <mergeCell ref="B3:O3"/>
  </mergeCells>
  <conditionalFormatting sqref="C22:N22">
    <cfRule type="cellIs" priority="2" operator="lessThan" aboveAverage="0" equalAverage="0" bottom="0" percent="0" rank="0" text="" dxfId="2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5"/>
    <col collapsed="false" customWidth="true" hidden="false" outlineLevel="0" max="5" min="4" style="0" width="14"/>
    <col collapsed="false" customWidth="true" hidden="false" outlineLevel="0" max="6" min="6" style="0" width="4"/>
    <col collapsed="false" customWidth="true" hidden="false" outlineLevel="0" max="7" min="7" style="0" width="16"/>
    <col collapsed="false" customWidth="true" hidden="false" outlineLevel="0" max="10" min="8" style="0" width="14"/>
  </cols>
  <sheetData>
    <row r="2" customFormat="false" ht="33.75" hidden="false" customHeight="true" outlineLevel="0" collapsed="false">
      <c r="B2" s="1" t="s">
        <v>200</v>
      </c>
      <c r="C2" s="1"/>
      <c r="D2" s="1"/>
      <c r="E2" s="1"/>
      <c r="F2" s="1"/>
      <c r="G2" s="1"/>
      <c r="H2" s="1"/>
      <c r="I2" s="1"/>
      <c r="J2" s="1"/>
    </row>
    <row r="3" customFormat="false" ht="18" hidden="false" customHeight="true" outlineLevel="0" collapsed="false">
      <c r="B3" s="17" t="s">
        <v>201</v>
      </c>
      <c r="C3" s="17"/>
      <c r="D3" s="17"/>
      <c r="E3" s="17"/>
      <c r="F3" s="17"/>
      <c r="G3" s="17"/>
      <c r="H3" s="17"/>
      <c r="I3" s="17"/>
      <c r="J3" s="17"/>
    </row>
    <row r="5" customFormat="false" ht="15" hidden="false" customHeight="true" outlineLevel="0" collapsed="false">
      <c r="B5" s="68" t="s">
        <v>202</v>
      </c>
      <c r="C5" s="68"/>
      <c r="D5" s="68" t="s">
        <v>203</v>
      </c>
      <c r="E5" s="68"/>
      <c r="G5" s="68" t="s">
        <v>204</v>
      </c>
      <c r="H5" s="68"/>
    </row>
    <row r="6" customFormat="false" ht="24" hidden="false" customHeight="true" outlineLevel="0" collapsed="false">
      <c r="B6" s="69" t="n">
        <f aca="false">CA_Tot_1</f>
        <v>260467.2</v>
      </c>
      <c r="C6" s="69"/>
      <c r="D6" s="69" t="n">
        <f aca="false">EBE_1</f>
        <v>65187.84</v>
      </c>
      <c r="E6" s="69"/>
      <c r="G6" s="69" t="n">
        <f aca="false">ResNet_1</f>
        <v>45100.2575</v>
      </c>
      <c r="H6" s="69"/>
    </row>
    <row r="8" customFormat="false" ht="15" hidden="false" customHeight="true" outlineLevel="0" collapsed="false">
      <c r="B8" s="68" t="s">
        <v>164</v>
      </c>
      <c r="C8" s="68"/>
      <c r="D8" s="68" t="s">
        <v>205</v>
      </c>
      <c r="E8" s="68"/>
      <c r="G8" s="68" t="s">
        <v>206</v>
      </c>
      <c r="H8" s="68"/>
    </row>
    <row r="9" customFormat="false" ht="24" hidden="false" customHeight="true" outlineLevel="0" collapsed="false">
      <c r="B9" s="70" t="n">
        <f aca="false">Seuil_1</f>
        <v>197186.026556017</v>
      </c>
      <c r="C9" s="70"/>
      <c r="D9" s="70" t="n">
        <f aca="false">InvestTotal</f>
        <v>112500</v>
      </c>
      <c r="E9" s="70"/>
      <c r="G9" s="70" t="n">
        <f aca="false">MIN('Trésorerie an 1'!$C$22:$N$22)</f>
        <v>17724.1</v>
      </c>
      <c r="H9" s="70"/>
    </row>
    <row r="11" customFormat="false" ht="19.5" hidden="false" customHeight="true" outlineLevel="0" collapsed="false">
      <c r="B11" s="3" t="s">
        <v>207</v>
      </c>
      <c r="C11" s="3"/>
      <c r="D11" s="3"/>
      <c r="E11" s="3"/>
    </row>
    <row r="12" customFormat="false" ht="15" hidden="false" customHeight="false" outlineLevel="0" collapsed="false">
      <c r="B12" s="49"/>
      <c r="C12" s="49" t="s">
        <v>96</v>
      </c>
      <c r="D12" s="49" t="s">
        <v>97</v>
      </c>
      <c r="E12" s="49" t="s">
        <v>98</v>
      </c>
    </row>
    <row r="13" customFormat="false" ht="15" hidden="false" customHeight="false" outlineLevel="0" collapsed="false">
      <c r="B13" s="43" t="s">
        <v>208</v>
      </c>
      <c r="C13" s="51" t="n">
        <f aca="false">CA_Tot_1</f>
        <v>260467.2</v>
      </c>
      <c r="D13" s="51" t="n">
        <f aca="false">CA_Tot_2</f>
        <v>281304.576</v>
      </c>
      <c r="E13" s="51" t="n">
        <f aca="false">CA_Tot_3</f>
        <v>295369.8048</v>
      </c>
    </row>
    <row r="14" customFormat="false" ht="15" hidden="false" customHeight="false" outlineLevel="0" collapsed="false">
      <c r="B14" s="43" t="s">
        <v>209</v>
      </c>
      <c r="C14" s="51" t="n">
        <f aca="false">EBE_1</f>
        <v>65187.84</v>
      </c>
      <c r="D14" s="51" t="n">
        <f aca="false">EBE_2</f>
        <v>78742.8672</v>
      </c>
      <c r="E14" s="51" t="n">
        <f aca="false">EBE_3</f>
        <v>86345.41056</v>
      </c>
    </row>
    <row r="15" customFormat="false" ht="15" hidden="false" customHeight="false" outlineLevel="0" collapsed="false">
      <c r="B15" s="43" t="s">
        <v>210</v>
      </c>
      <c r="C15" s="51" t="n">
        <f aca="false">ResNet_1</f>
        <v>45100.2575</v>
      </c>
      <c r="D15" s="51" t="n">
        <f aca="false">ResNet_2</f>
        <v>55473.7004</v>
      </c>
      <c r="E15" s="51" t="n">
        <f aca="false">ResNet_3</f>
        <v>61390.03292</v>
      </c>
    </row>
    <row r="17" customFormat="false" ht="19.5" hidden="false" customHeight="true" outlineLevel="0" collapsed="false">
      <c r="B17" s="3" t="s">
        <v>211</v>
      </c>
      <c r="C17" s="3"/>
    </row>
    <row r="18" customFormat="false" ht="15" hidden="false" customHeight="false" outlineLevel="0" collapsed="false">
      <c r="B18" s="43" t="s">
        <v>146</v>
      </c>
      <c r="C18" s="51" t="n">
        <f aca="false">Achats_1</f>
        <v>36279.36</v>
      </c>
    </row>
    <row r="19" customFormat="false" ht="15" hidden="false" customHeight="false" outlineLevel="0" collapsed="false">
      <c r="B19" s="71" t="s">
        <v>148</v>
      </c>
      <c r="C19" s="72" t="n">
        <f aca="false">ChargesExt_1</f>
        <v>37800</v>
      </c>
    </row>
    <row r="20" customFormat="false" ht="15" hidden="false" customHeight="false" outlineLevel="0" collapsed="false">
      <c r="B20" s="43" t="s">
        <v>212</v>
      </c>
      <c r="C20" s="51" t="n">
        <f aca="false">MasseSal_1</f>
        <v>120000</v>
      </c>
    </row>
    <row r="21" customFormat="false" ht="15" hidden="false" customHeight="false" outlineLevel="0" collapsed="false">
      <c r="B21" s="71" t="s">
        <v>150</v>
      </c>
      <c r="C21" s="72" t="n">
        <f aca="false">ImpotsTaxes_1</f>
        <v>1200</v>
      </c>
    </row>
    <row r="22" customFormat="false" ht="15" hidden="false" customHeight="false" outlineLevel="0" collapsed="false">
      <c r="B22" s="43" t="s">
        <v>213</v>
      </c>
      <c r="C22" s="51" t="n">
        <f aca="false">DAP</f>
        <v>8533.33</v>
      </c>
    </row>
    <row r="23" customFormat="false" ht="15" hidden="false" customHeight="false" outlineLevel="0" collapsed="false">
      <c r="B23" s="71" t="s">
        <v>214</v>
      </c>
      <c r="C23" s="72" t="n">
        <f aca="false">Interets_1</f>
        <v>2187.5</v>
      </c>
    </row>
    <row r="25" customFormat="false" ht="19.5" hidden="false" customHeight="true" outlineLevel="0" collapsed="false">
      <c r="B25" s="3" t="s">
        <v>215</v>
      </c>
      <c r="C25" s="3"/>
      <c r="D25" s="3"/>
      <c r="E25" s="3"/>
    </row>
    <row r="26" customFormat="false" ht="15" hidden="false" customHeight="false" outlineLevel="0" collapsed="false">
      <c r="B26" s="43" t="s">
        <v>216</v>
      </c>
      <c r="C26" s="43"/>
      <c r="D26" s="43"/>
      <c r="E26" s="73" t="str">
        <f aca="false">IF(ResNet_1&gt;0,"OK","À revoir")</f>
        <v>OK</v>
      </c>
    </row>
    <row r="27" customFormat="false" ht="15" hidden="false" customHeight="false" outlineLevel="0" collapsed="false">
      <c r="B27" s="43" t="s">
        <v>217</v>
      </c>
      <c r="C27" s="43"/>
      <c r="D27" s="43"/>
      <c r="E27" s="73" t="str">
        <f aca="false">IF(InvestTotal&lt;=Apports+EmpruntMontant,"OK","À revoir")</f>
        <v>OK</v>
      </c>
    </row>
    <row r="28" customFormat="false" ht="15" hidden="false" customHeight="false" outlineLevel="0" collapsed="false">
      <c r="B28" s="43" t="s">
        <v>218</v>
      </c>
      <c r="C28" s="43"/>
      <c r="D28" s="43"/>
      <c r="E28" s="73" t="str">
        <f aca="false">IF(MIN('Trésorerie an 1'!$C$22:$N$22)&gt;=0,"OK","À revoir")</f>
        <v>OK</v>
      </c>
    </row>
    <row r="29" customFormat="false" ht="15" hidden="false" customHeight="false" outlineLevel="0" collapsed="false">
      <c r="B29" s="43" t="s">
        <v>219</v>
      </c>
      <c r="C29" s="43"/>
      <c r="D29" s="43"/>
      <c r="E29" s="73" t="str">
        <f aca="false">IF(EBE_1&gt;0,"OK","À revoir")</f>
        <v>OK</v>
      </c>
    </row>
    <row r="31" customFormat="false" ht="19.5" hidden="false" customHeight="true" outlineLevel="0" collapsed="false">
      <c r="B31" s="3" t="s">
        <v>220</v>
      </c>
      <c r="C31" s="3"/>
      <c r="D31" s="3"/>
      <c r="E31" s="3"/>
      <c r="F31" s="3"/>
      <c r="G31" s="3"/>
      <c r="H31" s="3"/>
      <c r="I31" s="3"/>
      <c r="J31" s="3"/>
    </row>
  </sheetData>
  <mergeCells count="22">
    <mergeCell ref="B2:J2"/>
    <mergeCell ref="B3:J3"/>
    <mergeCell ref="B5:C5"/>
    <mergeCell ref="D5:E5"/>
    <mergeCell ref="G5:H5"/>
    <mergeCell ref="B6:C6"/>
    <mergeCell ref="D6:E6"/>
    <mergeCell ref="G6:H6"/>
    <mergeCell ref="B8:C8"/>
    <mergeCell ref="D8:E8"/>
    <mergeCell ref="G8:H8"/>
    <mergeCell ref="B9:C9"/>
    <mergeCell ref="D9:E9"/>
    <mergeCell ref="G9:H9"/>
    <mergeCell ref="B11:E11"/>
    <mergeCell ref="B17:C17"/>
    <mergeCell ref="B25:E25"/>
    <mergeCell ref="B26:D26"/>
    <mergeCell ref="B27:D27"/>
    <mergeCell ref="B28:D28"/>
    <mergeCell ref="B29:D29"/>
    <mergeCell ref="B31:J31"/>
  </mergeCells>
  <conditionalFormatting sqref="C18:C23">
    <cfRule type="dataBar" priority="2">
      <dataBar showValue="1" minLength="10" maxLength="90">
        <cfvo type="min" val="0"/>
        <cfvo type="max" val="0"/>
        <color rgb="FFB5788C"/>
      </dataBar>
      <extLst>
        <ext xmlns:x14="http://schemas.microsoft.com/office/spreadsheetml/2009/9/main" uri="{B025F937-C7B1-47D3-B67F-A62EFF666E3E}">
          <x14:id>{DEF8D15F-59E2-4B2F-ABC0-9F9AF4C22085}</x14:id>
        </ext>
      </extLst>
    </cfRule>
  </conditionalFormatting>
  <conditionalFormatting sqref="E26">
    <cfRule type="cellIs" priority="3" operator="equal" aboveAverage="0" equalAverage="0" bottom="0" percent="0" rank="0" text="" dxfId="3">
      <formula>"OK"</formula>
    </cfRule>
    <cfRule type="cellIs" priority="4" operator="equal" aboveAverage="0" equalAverage="0" bottom="0" percent="0" rank="0" text="" dxfId="4">
      <formula>"À revoir"</formula>
    </cfRule>
  </conditionalFormatting>
  <conditionalFormatting sqref="E27">
    <cfRule type="cellIs" priority="5" operator="equal" aboveAverage="0" equalAverage="0" bottom="0" percent="0" rank="0" text="" dxfId="3">
      <formula>"OK"</formula>
    </cfRule>
    <cfRule type="cellIs" priority="6" operator="equal" aboveAverage="0" equalAverage="0" bottom="0" percent="0" rank="0" text="" dxfId="4">
      <formula>"À revoir"</formula>
    </cfRule>
  </conditionalFormatting>
  <conditionalFormatting sqref="E28">
    <cfRule type="cellIs" priority="7" operator="equal" aboveAverage="0" equalAverage="0" bottom="0" percent="0" rank="0" text="" dxfId="3">
      <formula>"OK"</formula>
    </cfRule>
    <cfRule type="cellIs" priority="8" operator="equal" aboveAverage="0" equalAverage="0" bottom="0" percent="0" rank="0" text="" dxfId="4">
      <formula>"À revoir"</formula>
    </cfRule>
  </conditionalFormatting>
  <conditionalFormatting sqref="E29">
    <cfRule type="cellIs" priority="9" operator="equal" aboveAverage="0" equalAverage="0" bottom="0" percent="0" rank="0" text="" dxfId="3">
      <formula>"OK"</formula>
    </cfRule>
    <cfRule type="cellIs" priority="10" operator="equal" aboveAverage="0" equalAverage="0" bottom="0" percent="0" rank="0" text="" dxfId="4">
      <formula>"À revoir"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EF8D15F-59E2-4B2F-ABC0-9F9AF4C22085}">
            <x14:dataBar minLength="10" maxLength="90" axisPosition="none" gradient="true">
              <x14:cfvo type="min"/>
              <x14:cfvo type="max"/>
              <x14:negativeFillColor rgb="FFB5788C"/>
              <x14:axisColor rgb="FF000000"/>
            </x14:dataBar>
          </x14:cfRule>
          <xm:sqref>C18:C23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2026-09-27T15:34:32Z</dcterms:created>
  <dc:creator>openpyxl</dc:creator>
  <dc:description/>
  <dc:language>en-US</dc:language>
  <cp:lastModifiedBy/>
  <dcterms:modified xsi:type="dcterms:W3CDTF">2026-09-27T15:34:33Z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